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filterPrivacy="1" showInkAnnotation="0"/>
  <xr:revisionPtr revIDLastSave="0" documentId="13_ncr:1_{DC65CAFD-BCCD-4307-8605-64FF0CF318F5}" xr6:coauthVersionLast="47" xr6:coauthVersionMax="47" xr10:uidLastSave="{00000000-0000-0000-0000-000000000000}"/>
  <workbookProtection workbookPassword="C02C" lockStructure="1"/>
  <bookViews>
    <workbookView xWindow="28680" yWindow="-120" windowWidth="29040" windowHeight="15840" tabRatio="852" xr2:uid="{00000000-000D-0000-FFFF-FFFF00000000}"/>
  </bookViews>
  <sheets>
    <sheet name="INTRODUCTION" sheetId="70" r:id="rId1"/>
    <sheet name="MODE D'EMPLOI" sheetId="59" r:id="rId2"/>
    <sheet name="IDENTIFICATION" sheetId="66" r:id="rId3"/>
    <sheet name="MENU DÉROULANT" sheetId="54" state="hidden" r:id="rId4"/>
    <sheet name="FORMULAIRE PGA Eau potable" sheetId="44" r:id="rId5"/>
    <sheet name="CALCULS Eau potable" sheetId="52" state="hidden" r:id="rId6"/>
    <sheet name="SOMMAIRE PGA Eau potable" sheetId="42" r:id="rId7"/>
    <sheet name="FORMULAIRE PGA Eaux usées" sheetId="78" r:id="rId8"/>
    <sheet name="CALCULS Eaux usées" sheetId="79" state="hidden" r:id="rId9"/>
    <sheet name="SOMMAIRE PGA Eaux usées" sheetId="80" r:id="rId10"/>
    <sheet name="FORMULAIRE PGA Eaux pluviales " sheetId="81" r:id="rId11"/>
    <sheet name="CALCULS Eaux pluviales" sheetId="82" state="hidden" r:id="rId12"/>
    <sheet name="SOMMAIRE PGA Eaux pluviales" sheetId="84" r:id="rId13"/>
    <sheet name="CALCULS Eau" sheetId="75" state="hidden" r:id="rId14"/>
    <sheet name="SOMMAIRE PGA EAU" sheetId="77" r:id="rId15"/>
    <sheet name="Liste municipalités" sheetId="53" r:id="rId16"/>
    <sheet name="AIDE" sheetId="87" r:id="rId17"/>
  </sheets>
  <definedNames>
    <definedName name="_xlnm.Print_Titles" localSheetId="13">'CALCULS Eau'!$1:$3</definedName>
    <definedName name="_xlnm.Print_Titles" localSheetId="5">'CALCULS Eau potable'!$1:$3</definedName>
    <definedName name="_xlnm.Print_Titles" localSheetId="11">'CALCULS Eaux pluviales'!$1:$3</definedName>
    <definedName name="_xlnm.Print_Titles" localSheetId="8">'CALCULS Eaux usées'!$1:$3</definedName>
    <definedName name="_xlnm.Print_Titles" localSheetId="2">IDENTIFICATION!$1:$4</definedName>
    <definedName name="_xlnm.Print_Titles" localSheetId="15">'Liste municipalités'!$1:$4</definedName>
    <definedName name="_xlnm.Print_Titles" localSheetId="3">'MENU DÉROULANT'!$1:$3</definedName>
    <definedName name="_xlnm.Print_Titles" localSheetId="1">'MODE D''EMPLOI'!$1:$3</definedName>
    <definedName name="_xlnm.Print_Titles" localSheetId="6">'SOMMAIRE PGA Eau potable'!$1:$7</definedName>
    <definedName name="_xlnm.Print_Titles" localSheetId="12">'SOMMAIRE PGA Eaux pluviales'!$1:$7</definedName>
    <definedName name="_xlnm.Print_Titles" localSheetId="9">'SOMMAIRE PGA Eaux usées'!$1:$7</definedName>
    <definedName name="_xlnm.Print_Area" localSheetId="16">AIDE!$A$1:$U$288</definedName>
    <definedName name="_xlnm.Print_Area" localSheetId="13">'CALCULS Eau'!$B$1:$AB$443</definedName>
    <definedName name="_xlnm.Print_Area" localSheetId="5">'CALCULS Eau potable'!$A$1:$AF$409</definedName>
    <definedName name="_xlnm.Print_Area" localSheetId="11">'CALCULS Eaux pluviales'!$A$1:$AF$409</definedName>
    <definedName name="_xlnm.Print_Area" localSheetId="8">'CALCULS Eaux usées'!$A$1:$AF$409</definedName>
    <definedName name="_xlnm.Print_Area" localSheetId="4">'FORMULAIRE PGA Eau potable'!$A$1:$R$730</definedName>
    <definedName name="_xlnm.Print_Area" localSheetId="10">'FORMULAIRE PGA Eaux pluviales '!$A$1:$R$730</definedName>
    <definedName name="_xlnm.Print_Area" localSheetId="7">'FORMULAIRE PGA Eaux usées'!$A$1:$R$730</definedName>
    <definedName name="_xlnm.Print_Area" localSheetId="2">IDENTIFICATION!$A$1:$R$141</definedName>
    <definedName name="_xlnm.Print_Area" localSheetId="0">INTRODUCTION!$A$1:$R$51</definedName>
    <definedName name="_xlnm.Print_Area" localSheetId="15">'Liste municipalités'!$A$1:$E$1151</definedName>
    <definedName name="_xlnm.Print_Area" localSheetId="3">'MENU DÉROULANT'!$A$1:$I$119</definedName>
    <definedName name="_xlnm.Print_Area" localSheetId="1">'MODE D''EMPLOI'!$A$1:$U$161</definedName>
    <definedName name="_xlnm.Print_Area" localSheetId="14">'SOMMAIRE PGA EAU'!$A$1:$AV$80</definedName>
    <definedName name="_xlnm.Print_Area" localSheetId="6">'SOMMAIRE PGA Eau potable'!$A$1:$CD$137</definedName>
    <definedName name="_xlnm.Print_Area" localSheetId="12">'SOMMAIRE PGA Eaux pluviales'!$A$1:$CD$137</definedName>
    <definedName name="_xlnm.Print_Area" localSheetId="9">'SOMMAIRE PGA Eaux usées'!$A$1:$CD$137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30" i="81" l="1"/>
  <c r="I172" i="81"/>
  <c r="J172" i="81"/>
  <c r="I171" i="81" s="1"/>
  <c r="I168" i="81"/>
  <c r="J168" i="81"/>
  <c r="I169" i="81" s="1"/>
  <c r="I244" i="81"/>
  <c r="J244" i="81"/>
  <c r="I243" i="81" s="1"/>
  <c r="I240" i="81"/>
  <c r="J240" i="81"/>
  <c r="I241" i="81" s="1"/>
  <c r="I288" i="81"/>
  <c r="J288" i="81"/>
  <c r="I287" i="81" s="1"/>
  <c r="I284" i="81"/>
  <c r="J284" i="81"/>
  <c r="I285" i="81" s="1"/>
  <c r="I331" i="81"/>
  <c r="I327" i="81"/>
  <c r="J331" i="81"/>
  <c r="J327" i="81"/>
  <c r="I328" i="81" s="1"/>
  <c r="I372" i="81"/>
  <c r="J372" i="81"/>
  <c r="I371" i="81" s="1"/>
  <c r="I368" i="81"/>
  <c r="J368" i="81"/>
  <c r="I369" i="81" s="1"/>
  <c r="I500" i="81"/>
  <c r="J500" i="81"/>
  <c r="I499" i="81" s="1"/>
  <c r="I496" i="81"/>
  <c r="J496" i="81"/>
  <c r="I497" i="81" s="1"/>
  <c r="I573" i="81"/>
  <c r="J573" i="81"/>
  <c r="I572" i="81" s="1"/>
  <c r="I569" i="81"/>
  <c r="J569" i="81"/>
  <c r="I570" i="81" s="1"/>
  <c r="Q6" i="77" l="1"/>
  <c r="B6" i="77"/>
  <c r="B6" i="80"/>
  <c r="B3" i="78"/>
  <c r="V3" i="80"/>
  <c r="F222" i="52" l="1"/>
  <c r="L36" i="82"/>
  <c r="K36" i="82" s="1"/>
  <c r="E58" i="81"/>
  <c r="E59" i="81"/>
  <c r="E60" i="81"/>
  <c r="E57" i="81"/>
  <c r="E58" i="78"/>
  <c r="E59" i="78"/>
  <c r="E60" i="78"/>
  <c r="E57" i="78"/>
  <c r="D40" i="81"/>
  <c r="D39" i="81"/>
  <c r="D38" i="81"/>
  <c r="D37" i="81"/>
  <c r="D40" i="78"/>
  <c r="D39" i="78"/>
  <c r="D38" i="78"/>
  <c r="D37" i="78"/>
  <c r="E55" i="81" l="1"/>
  <c r="E55" i="78"/>
  <c r="G11" i="75" l="1"/>
  <c r="AR4" i="77" s="1"/>
  <c r="B138" i="66"/>
  <c r="N378" i="82" l="1"/>
  <c r="N354" i="82"/>
  <c r="H51" i="52" l="1"/>
  <c r="L51" i="52"/>
  <c r="BZ112" i="42"/>
  <c r="AJ112" i="42"/>
  <c r="BF76" i="42"/>
  <c r="BJ113" i="42"/>
  <c r="T113" i="42"/>
  <c r="AB76" i="42"/>
  <c r="AX13" i="42"/>
  <c r="CA13" i="42"/>
  <c r="K331" i="52"/>
  <c r="N330" i="52"/>
  <c r="K355" i="52"/>
  <c r="N354" i="52"/>
  <c r="K379" i="52"/>
  <c r="N378" i="52"/>
  <c r="N378" i="79"/>
  <c r="J378" i="79"/>
  <c r="N354" i="79"/>
  <c r="J354" i="79"/>
  <c r="N330" i="79"/>
  <c r="J330" i="79"/>
  <c r="F51" i="79"/>
  <c r="J51" i="79"/>
  <c r="CA13" i="80"/>
  <c r="BF76" i="80"/>
  <c r="AX13" i="80"/>
  <c r="AB76" i="80"/>
  <c r="BI112" i="80"/>
  <c r="BZ112" i="80"/>
  <c r="AJ112" i="80"/>
  <c r="S112" i="80"/>
  <c r="J378" i="82"/>
  <c r="J354" i="82"/>
  <c r="J330" i="82"/>
  <c r="H51" i="82"/>
  <c r="AX13" i="84"/>
  <c r="AB76" i="84"/>
  <c r="BI112" i="84"/>
  <c r="S112" i="84"/>
  <c r="N330" i="82"/>
  <c r="L51" i="82"/>
  <c r="BF76" i="84"/>
  <c r="BZ112" i="84"/>
  <c r="AJ112" i="84"/>
  <c r="CB13" i="84"/>
  <c r="J51" i="82"/>
  <c r="BR112" i="84"/>
  <c r="AB112" i="84"/>
  <c r="AQ76" i="84"/>
  <c r="BL13" i="84"/>
  <c r="B7" i="84"/>
  <c r="B73" i="81" l="1"/>
  <c r="L74" i="81"/>
  <c r="B6" i="84"/>
  <c r="B3" i="81"/>
  <c r="B693" i="81" l="1"/>
  <c r="B685" i="81"/>
  <c r="B675" i="81"/>
  <c r="B635" i="81"/>
  <c r="B627" i="81"/>
  <c r="B621" i="81"/>
  <c r="B613" i="81"/>
  <c r="B609" i="81"/>
  <c r="B694" i="81"/>
  <c r="B676" i="81"/>
  <c r="B630" i="81"/>
  <c r="B614" i="81"/>
  <c r="B698" i="81"/>
  <c r="B690" i="81"/>
  <c r="B682" i="81"/>
  <c r="B672" i="81"/>
  <c r="B634" i="81"/>
  <c r="B626" i="81"/>
  <c r="B618" i="81"/>
  <c r="B606" i="81"/>
  <c r="B610" i="81"/>
  <c r="B686" i="81"/>
  <c r="B636" i="81"/>
  <c r="B622" i="81"/>
  <c r="B608" i="81"/>
  <c r="B695" i="81"/>
  <c r="B689" i="81"/>
  <c r="B679" i="81"/>
  <c r="B671" i="81"/>
  <c r="B631" i="81"/>
  <c r="B625" i="81"/>
  <c r="B617" i="81"/>
  <c r="B607" i="81"/>
  <c r="B605" i="81"/>
  <c r="M393" i="75"/>
  <c r="M392" i="75"/>
  <c r="M362" i="75" l="1"/>
  <c r="M361" i="75"/>
  <c r="M330" i="75"/>
  <c r="M329" i="75"/>
  <c r="D431" i="75" l="1"/>
  <c r="D430" i="75"/>
  <c r="O430" i="75" s="1"/>
  <c r="D429" i="75"/>
  <c r="O429" i="75" s="1"/>
  <c r="L31" i="82" l="1"/>
  <c r="L31" i="79"/>
  <c r="D134" i="84" l="1"/>
  <c r="BF36" i="84"/>
  <c r="K36" i="84"/>
  <c r="D36" i="84"/>
  <c r="BF35" i="84"/>
  <c r="K35" i="84"/>
  <c r="D35" i="84"/>
  <c r="BF34" i="84"/>
  <c r="K34" i="84"/>
  <c r="D34" i="84"/>
  <c r="BX4" i="84"/>
  <c r="K403" i="82" l="1"/>
  <c r="BX116" i="84" s="1"/>
  <c r="J403" i="82"/>
  <c r="BV116" i="84" s="1"/>
  <c r="I403" i="82"/>
  <c r="BT116" i="84" s="1"/>
  <c r="H403" i="82"/>
  <c r="BR116" i="84" s="1"/>
  <c r="G403" i="82"/>
  <c r="BP116" i="84" s="1"/>
  <c r="F403" i="82"/>
  <c r="BN116" i="84" s="1"/>
  <c r="E403" i="82"/>
  <c r="BL116" i="84" s="1"/>
  <c r="K401" i="82"/>
  <c r="BH116" i="84" s="1"/>
  <c r="J401" i="82"/>
  <c r="BF116" i="84" s="1"/>
  <c r="I401" i="82"/>
  <c r="BD116" i="84" s="1"/>
  <c r="H401" i="82"/>
  <c r="BB116" i="84" s="1"/>
  <c r="G401" i="82"/>
  <c r="AZ116" i="84" s="1"/>
  <c r="F401" i="82"/>
  <c r="AX116" i="84" s="1"/>
  <c r="E401" i="82"/>
  <c r="AV116" i="84" s="1"/>
  <c r="K391" i="82"/>
  <c r="AH116" i="84" s="1"/>
  <c r="J391" i="82"/>
  <c r="AF116" i="84" s="1"/>
  <c r="I391" i="82"/>
  <c r="AD116" i="84" s="1"/>
  <c r="H391" i="82"/>
  <c r="AB116" i="84" s="1"/>
  <c r="G391" i="82"/>
  <c r="Z116" i="84" s="1"/>
  <c r="F391" i="82"/>
  <c r="X116" i="84" s="1"/>
  <c r="E391" i="82"/>
  <c r="V116" i="84" s="1"/>
  <c r="K389" i="82"/>
  <c r="R116" i="84" s="1"/>
  <c r="J389" i="82"/>
  <c r="P116" i="84" s="1"/>
  <c r="I389" i="82"/>
  <c r="N116" i="84" s="1"/>
  <c r="H389" i="82"/>
  <c r="L116" i="84" s="1"/>
  <c r="G389" i="82"/>
  <c r="J116" i="84" s="1"/>
  <c r="F389" i="82"/>
  <c r="H116" i="84" s="1"/>
  <c r="E389" i="82"/>
  <c r="F116" i="84" s="1"/>
  <c r="K372" i="82"/>
  <c r="K370" i="82"/>
  <c r="D366" i="82"/>
  <c r="D365" i="82"/>
  <c r="D364" i="82"/>
  <c r="D363" i="82"/>
  <c r="D362" i="82"/>
  <c r="K348" i="82"/>
  <c r="K346" i="82"/>
  <c r="D342" i="82"/>
  <c r="D341" i="82"/>
  <c r="D340" i="82"/>
  <c r="D339" i="82"/>
  <c r="D338" i="82"/>
  <c r="D337" i="82"/>
  <c r="K324" i="82"/>
  <c r="K322" i="82"/>
  <c r="D318" i="82"/>
  <c r="D317" i="82"/>
  <c r="D316" i="82"/>
  <c r="D315" i="82"/>
  <c r="D314" i="82"/>
  <c r="F226" i="82"/>
  <c r="AU67" i="84" s="1"/>
  <c r="F225" i="82"/>
  <c r="F224" i="82"/>
  <c r="D169" i="75" s="1"/>
  <c r="F223" i="82"/>
  <c r="AU61" i="84" s="1"/>
  <c r="F222" i="82"/>
  <c r="I209" i="82"/>
  <c r="G209" i="82"/>
  <c r="I208" i="82"/>
  <c r="G208" i="82"/>
  <c r="I207" i="82"/>
  <c r="G207" i="82"/>
  <c r="G205" i="82"/>
  <c r="G204" i="82"/>
  <c r="G203" i="82"/>
  <c r="N198" i="82"/>
  <c r="G198" i="82"/>
  <c r="N197" i="82"/>
  <c r="G197" i="82"/>
  <c r="N196" i="82"/>
  <c r="G196" i="82"/>
  <c r="N194" i="82"/>
  <c r="G194" i="82"/>
  <c r="N193" i="82"/>
  <c r="G193" i="82"/>
  <c r="N192" i="82"/>
  <c r="G192" i="82"/>
  <c r="L146" i="82"/>
  <c r="E146" i="82"/>
  <c r="D146" i="82"/>
  <c r="Q151" i="82" s="1"/>
  <c r="E145" i="82"/>
  <c r="D145" i="82"/>
  <c r="Q153" i="82" s="1"/>
  <c r="L144" i="82"/>
  <c r="E144" i="82"/>
  <c r="D144" i="82"/>
  <c r="Q155" i="82" s="1"/>
  <c r="L143" i="82"/>
  <c r="E143" i="82"/>
  <c r="D143" i="82"/>
  <c r="Q157" i="82" s="1"/>
  <c r="L142" i="82"/>
  <c r="E142" i="82"/>
  <c r="D142" i="82"/>
  <c r="Q159" i="82" s="1"/>
  <c r="L141" i="82"/>
  <c r="E141" i="82"/>
  <c r="D141" i="82"/>
  <c r="Q161" i="82" s="1"/>
  <c r="D140" i="82"/>
  <c r="L115" i="82"/>
  <c r="D115" i="82" s="1"/>
  <c r="Q129" i="82" s="1"/>
  <c r="E115" i="82"/>
  <c r="L114" i="82"/>
  <c r="E114" i="82"/>
  <c r="D114" i="82"/>
  <c r="Q127" i="82" s="1"/>
  <c r="L113" i="82"/>
  <c r="E113" i="82"/>
  <c r="D113" i="82"/>
  <c r="Q125" i="82" s="1"/>
  <c r="L112" i="82"/>
  <c r="E112" i="82"/>
  <c r="D112" i="82"/>
  <c r="Q123" i="82" s="1"/>
  <c r="L111" i="82"/>
  <c r="E111" i="82"/>
  <c r="D111" i="82"/>
  <c r="Q121" i="82" s="1"/>
  <c r="L110" i="82"/>
  <c r="E110" i="82"/>
  <c r="D110" i="82"/>
  <c r="Q119" i="82" s="1"/>
  <c r="D109" i="82"/>
  <c r="J102" i="82"/>
  <c r="L96" i="82" s="1"/>
  <c r="G102" i="82"/>
  <c r="J95" i="82" s="1"/>
  <c r="J101" i="82"/>
  <c r="G101" i="82"/>
  <c r="J100" i="82"/>
  <c r="G100" i="82"/>
  <c r="J99" i="82"/>
  <c r="G99" i="82"/>
  <c r="J96" i="82"/>
  <c r="F94" i="82"/>
  <c r="E94" i="82"/>
  <c r="D94" i="82"/>
  <c r="F93" i="82"/>
  <c r="E93" i="82"/>
  <c r="D93" i="82"/>
  <c r="F92" i="82"/>
  <c r="E92" i="82"/>
  <c r="D92" i="82"/>
  <c r="F86" i="82"/>
  <c r="E86" i="82"/>
  <c r="D86" i="82"/>
  <c r="F85" i="82"/>
  <c r="E85" i="82"/>
  <c r="D85" i="82"/>
  <c r="F84" i="82"/>
  <c r="E84" i="82"/>
  <c r="D84" i="82"/>
  <c r="F83" i="82"/>
  <c r="E83" i="82"/>
  <c r="D83" i="82"/>
  <c r="F82" i="82"/>
  <c r="E82" i="82"/>
  <c r="D82" i="82"/>
  <c r="I81" i="82"/>
  <c r="F81" i="82"/>
  <c r="E81" i="82"/>
  <c r="D81" i="82"/>
  <c r="I80" i="82"/>
  <c r="F80" i="82"/>
  <c r="E80" i="82"/>
  <c r="D80" i="82"/>
  <c r="I79" i="82"/>
  <c r="F79" i="82"/>
  <c r="E79" i="82"/>
  <c r="D79" i="82"/>
  <c r="I78" i="82"/>
  <c r="F78" i="82"/>
  <c r="E78" i="82"/>
  <c r="D78" i="82"/>
  <c r="I77" i="82"/>
  <c r="F77" i="82"/>
  <c r="E77" i="82"/>
  <c r="D77" i="82"/>
  <c r="K76" i="82"/>
  <c r="J76" i="82"/>
  <c r="I64" i="82"/>
  <c r="H83" i="75" s="1"/>
  <c r="H64" i="82"/>
  <c r="G83" i="75" s="1"/>
  <c r="G64" i="82"/>
  <c r="F83" i="75" s="1"/>
  <c r="F64" i="82"/>
  <c r="E83" i="75" s="1"/>
  <c r="E64" i="82"/>
  <c r="D83" i="75" s="1"/>
  <c r="I63" i="82"/>
  <c r="H80" i="75" s="1"/>
  <c r="H63" i="82"/>
  <c r="G80" i="75" s="1"/>
  <c r="G63" i="82"/>
  <c r="F80" i="75" s="1"/>
  <c r="F63" i="82"/>
  <c r="E80" i="75" s="1"/>
  <c r="E63" i="82"/>
  <c r="D80" i="75" s="1"/>
  <c r="I62" i="82"/>
  <c r="H77" i="75" s="1"/>
  <c r="H62" i="82"/>
  <c r="G77" i="75" s="1"/>
  <c r="G62" i="82"/>
  <c r="F77" i="75" s="1"/>
  <c r="F62" i="82"/>
  <c r="E77" i="75" s="1"/>
  <c r="E62" i="82"/>
  <c r="D77" i="75" s="1"/>
  <c r="I61" i="82"/>
  <c r="H74" i="75" s="1"/>
  <c r="H61" i="82"/>
  <c r="G74" i="75" s="1"/>
  <c r="G61" i="82"/>
  <c r="F74" i="75" s="1"/>
  <c r="F61" i="82"/>
  <c r="E74" i="75" s="1"/>
  <c r="E61" i="82"/>
  <c r="D74" i="75" s="1"/>
  <c r="I54" i="82"/>
  <c r="E54" i="82"/>
  <c r="I53" i="82"/>
  <c r="E53" i="82"/>
  <c r="I52" i="82"/>
  <c r="E52" i="82"/>
  <c r="D50" i="82"/>
  <c r="D41" i="82"/>
  <c r="D33" i="82"/>
  <c r="L29" i="82"/>
  <c r="L27" i="82"/>
  <c r="H26" i="82"/>
  <c r="G26" i="82"/>
  <c r="E26" i="82"/>
  <c r="L25" i="82"/>
  <c r="G25" i="82"/>
  <c r="E25" i="82"/>
  <c r="D84" i="75" s="1"/>
  <c r="G24" i="82"/>
  <c r="E24" i="82"/>
  <c r="D81" i="75" s="1"/>
  <c r="L23" i="82"/>
  <c r="H23" i="82"/>
  <c r="G23" i="82"/>
  <c r="E23" i="82"/>
  <c r="G22" i="82"/>
  <c r="E22" i="82"/>
  <c r="L21" i="82"/>
  <c r="G21" i="82"/>
  <c r="F21" i="82" s="1"/>
  <c r="L22" i="82" s="1"/>
  <c r="E21" i="82"/>
  <c r="B728" i="81"/>
  <c r="B716" i="81"/>
  <c r="L698" i="81"/>
  <c r="M697" i="81" s="1"/>
  <c r="K697" i="81" s="1"/>
  <c r="G698" i="81"/>
  <c r="G697" i="81" s="1"/>
  <c r="L695" i="81"/>
  <c r="G695" i="81"/>
  <c r="L694" i="81"/>
  <c r="G694" i="81"/>
  <c r="L693" i="81"/>
  <c r="M692" i="81" s="1"/>
  <c r="K392" i="82" s="1"/>
  <c r="G693" i="81"/>
  <c r="L690" i="81"/>
  <c r="G690" i="81"/>
  <c r="L689" i="81"/>
  <c r="M688" i="81" s="1"/>
  <c r="J392" i="82" s="1"/>
  <c r="G689" i="81"/>
  <c r="L686" i="81"/>
  <c r="G686" i="81"/>
  <c r="G684" i="81" s="1"/>
  <c r="L685" i="81"/>
  <c r="M684" i="81" s="1"/>
  <c r="I392" i="82" s="1"/>
  <c r="G685" i="81"/>
  <c r="L682" i="81"/>
  <c r="M681" i="81" s="1"/>
  <c r="G682" i="81"/>
  <c r="G681" i="81" s="1"/>
  <c r="L679" i="81"/>
  <c r="M678" i="81" s="1"/>
  <c r="G679" i="81"/>
  <c r="G678" i="81" s="1"/>
  <c r="L676" i="81"/>
  <c r="G676" i="81"/>
  <c r="L675" i="81"/>
  <c r="G675" i="81"/>
  <c r="L672" i="81"/>
  <c r="G672" i="81"/>
  <c r="L671" i="81"/>
  <c r="G671" i="81"/>
  <c r="N670" i="81"/>
  <c r="I670" i="81"/>
  <c r="L636" i="81"/>
  <c r="M371" i="82" s="1"/>
  <c r="G636" i="81"/>
  <c r="M370" i="82" s="1"/>
  <c r="L635" i="81"/>
  <c r="M347" i="82" s="1"/>
  <c r="G635" i="81"/>
  <c r="M346" i="82" s="1"/>
  <c r="L634" i="81"/>
  <c r="M323" i="82" s="1"/>
  <c r="G634" i="81"/>
  <c r="M322" i="82" s="1"/>
  <c r="L631" i="81"/>
  <c r="M325" i="82" s="1"/>
  <c r="G631" i="81"/>
  <c r="L630" i="81"/>
  <c r="M190" i="82" s="1"/>
  <c r="O190" i="82" s="1"/>
  <c r="G630" i="81"/>
  <c r="F190" i="82" s="1"/>
  <c r="L627" i="81"/>
  <c r="G627" i="81"/>
  <c r="L626" i="81"/>
  <c r="G626" i="81"/>
  <c r="L625" i="81"/>
  <c r="M191" i="82" s="1"/>
  <c r="G625" i="81"/>
  <c r="F191" i="82" s="1"/>
  <c r="L622" i="81"/>
  <c r="M198" i="82" s="1"/>
  <c r="G622" i="81"/>
  <c r="F198" i="82" s="1"/>
  <c r="L621" i="81"/>
  <c r="G621" i="81"/>
  <c r="L618" i="81"/>
  <c r="M197" i="82" s="1"/>
  <c r="G618" i="81"/>
  <c r="F197" i="82" s="1"/>
  <c r="L617" i="81"/>
  <c r="G617" i="81"/>
  <c r="L614" i="81"/>
  <c r="M196" i="82" s="1"/>
  <c r="G614" i="81"/>
  <c r="F196" i="82" s="1"/>
  <c r="L613" i="81"/>
  <c r="G613" i="81"/>
  <c r="L610" i="81"/>
  <c r="L64" i="82" s="1"/>
  <c r="G610" i="81"/>
  <c r="L62" i="82" s="1"/>
  <c r="AF20" i="84" s="1"/>
  <c r="L609" i="81"/>
  <c r="L63" i="82" s="1"/>
  <c r="BB16" i="84" s="1"/>
  <c r="G609" i="81"/>
  <c r="L61" i="82" s="1"/>
  <c r="L608" i="81"/>
  <c r="G608" i="81"/>
  <c r="L607" i="81"/>
  <c r="G607" i="81"/>
  <c r="L606" i="81"/>
  <c r="G606" i="81"/>
  <c r="J22" i="82" s="1"/>
  <c r="L605" i="81"/>
  <c r="J24" i="82" s="1"/>
  <c r="G605" i="81"/>
  <c r="J21" i="82" s="1"/>
  <c r="N604" i="81"/>
  <c r="I604" i="81"/>
  <c r="N15" i="81"/>
  <c r="N565" i="81"/>
  <c r="M565" i="81"/>
  <c r="L565" i="81"/>
  <c r="K565" i="81"/>
  <c r="J565" i="81"/>
  <c r="I565" i="81"/>
  <c r="H565" i="81"/>
  <c r="G565" i="81"/>
  <c r="F565" i="81"/>
  <c r="E565" i="81"/>
  <c r="O564" i="81"/>
  <c r="F364" i="82" s="1"/>
  <c r="B564" i="81"/>
  <c r="O563" i="81"/>
  <c r="F363" i="82" s="1"/>
  <c r="B563" i="81"/>
  <c r="N558" i="81"/>
  <c r="M558" i="81"/>
  <c r="L558" i="81"/>
  <c r="K558" i="81"/>
  <c r="J558" i="81"/>
  <c r="I558" i="81"/>
  <c r="H558" i="81"/>
  <c r="G558" i="81"/>
  <c r="F558" i="81"/>
  <c r="E558" i="81"/>
  <c r="O557" i="81"/>
  <c r="F340" i="82" s="1"/>
  <c r="B557" i="81"/>
  <c r="O556" i="81"/>
  <c r="F339" i="82" s="1"/>
  <c r="B556" i="81"/>
  <c r="N550" i="81"/>
  <c r="M550" i="81"/>
  <c r="L550" i="81"/>
  <c r="K550" i="81"/>
  <c r="J550" i="81"/>
  <c r="I550" i="81"/>
  <c r="H550" i="81"/>
  <c r="G550" i="81"/>
  <c r="F550" i="81"/>
  <c r="E550" i="81"/>
  <c r="O549" i="81"/>
  <c r="F316" i="82" s="1"/>
  <c r="B549" i="81"/>
  <c r="O548" i="81"/>
  <c r="F315" i="82" s="1"/>
  <c r="B548" i="81"/>
  <c r="N538" i="81"/>
  <c r="M538" i="81"/>
  <c r="L538" i="81"/>
  <c r="K538" i="81"/>
  <c r="J538" i="81"/>
  <c r="I538" i="81"/>
  <c r="H538" i="81"/>
  <c r="G538" i="81"/>
  <c r="F538" i="81"/>
  <c r="E538" i="81"/>
  <c r="O537" i="81"/>
  <c r="E364" i="82" s="1"/>
  <c r="B537" i="81"/>
  <c r="O536" i="81"/>
  <c r="E363" i="82" s="1"/>
  <c r="F372" i="75" s="1"/>
  <c r="B536" i="81"/>
  <c r="N531" i="81"/>
  <c r="M531" i="81"/>
  <c r="L531" i="81"/>
  <c r="K531" i="81"/>
  <c r="J531" i="81"/>
  <c r="I531" i="81"/>
  <c r="H531" i="81"/>
  <c r="G531" i="81"/>
  <c r="F531" i="81"/>
  <c r="E531" i="81"/>
  <c r="O530" i="81"/>
  <c r="E340" i="82" s="1"/>
  <c r="B530" i="81"/>
  <c r="O529" i="81"/>
  <c r="E339" i="82" s="1"/>
  <c r="B529" i="81"/>
  <c r="N523" i="81"/>
  <c r="M523" i="81"/>
  <c r="L523" i="81"/>
  <c r="K523" i="81"/>
  <c r="J523" i="81"/>
  <c r="I523" i="81"/>
  <c r="H523" i="81"/>
  <c r="G523" i="81"/>
  <c r="F523" i="81"/>
  <c r="E523" i="81"/>
  <c r="O522" i="81"/>
  <c r="E316" i="82" s="1"/>
  <c r="B522" i="81"/>
  <c r="O521" i="81"/>
  <c r="E315" i="82" s="1"/>
  <c r="B521" i="81"/>
  <c r="K14" i="81"/>
  <c r="O492" i="81"/>
  <c r="B492" i="81"/>
  <c r="O491" i="81"/>
  <c r="B491" i="81"/>
  <c r="O490" i="81"/>
  <c r="B490" i="81"/>
  <c r="O489" i="81"/>
  <c r="B489" i="81"/>
  <c r="O488" i="81"/>
  <c r="B488" i="81"/>
  <c r="N487" i="81"/>
  <c r="N260" i="82" s="1"/>
  <c r="M487" i="81"/>
  <c r="M260" i="82" s="1"/>
  <c r="L487" i="81"/>
  <c r="L260" i="82" s="1"/>
  <c r="K487" i="81"/>
  <c r="K260" i="82" s="1"/>
  <c r="J487" i="81"/>
  <c r="J260" i="82" s="1"/>
  <c r="I487" i="81"/>
  <c r="I260" i="82" s="1"/>
  <c r="H487" i="81"/>
  <c r="H260" i="82" s="1"/>
  <c r="G487" i="81"/>
  <c r="G260" i="82" s="1"/>
  <c r="F487" i="81"/>
  <c r="F260" i="82" s="1"/>
  <c r="E487" i="81"/>
  <c r="E260" i="82" s="1"/>
  <c r="O260" i="82" s="1"/>
  <c r="O486" i="81"/>
  <c r="B486" i="81"/>
  <c r="O485" i="81"/>
  <c r="B485" i="81"/>
  <c r="O484" i="81"/>
  <c r="B484" i="81"/>
  <c r="O483" i="81"/>
  <c r="B483" i="81"/>
  <c r="O482" i="81"/>
  <c r="B482" i="81"/>
  <c r="N481" i="81"/>
  <c r="N259" i="82" s="1"/>
  <c r="M481" i="81"/>
  <c r="M259" i="82" s="1"/>
  <c r="L481" i="81"/>
  <c r="L259" i="82" s="1"/>
  <c r="K481" i="81"/>
  <c r="K259" i="82" s="1"/>
  <c r="J481" i="81"/>
  <c r="J259" i="82" s="1"/>
  <c r="I481" i="81"/>
  <c r="I259" i="82" s="1"/>
  <c r="H481" i="81"/>
  <c r="H259" i="82" s="1"/>
  <c r="G481" i="81"/>
  <c r="G259" i="82" s="1"/>
  <c r="F481" i="81"/>
  <c r="F259" i="82" s="1"/>
  <c r="E481" i="81"/>
  <c r="E259" i="82" s="1"/>
  <c r="O478" i="81"/>
  <c r="B478" i="81"/>
  <c r="O477" i="81"/>
  <c r="J301" i="82" s="1"/>
  <c r="B477" i="81"/>
  <c r="O476" i="81"/>
  <c r="B476" i="81"/>
  <c r="O475" i="81"/>
  <c r="B475" i="81"/>
  <c r="O474" i="81"/>
  <c r="B474" i="81"/>
  <c r="O473" i="81"/>
  <c r="B473" i="81"/>
  <c r="N472" i="81"/>
  <c r="M472" i="81"/>
  <c r="M258" i="82" s="1"/>
  <c r="L472" i="81"/>
  <c r="K472" i="81"/>
  <c r="J472" i="81"/>
  <c r="I472" i="81"/>
  <c r="I258" i="82" s="1"/>
  <c r="H472" i="81"/>
  <c r="G472" i="81"/>
  <c r="F472" i="81"/>
  <c r="E472" i="81"/>
  <c r="E258" i="82" s="1"/>
  <c r="O470" i="81"/>
  <c r="B470" i="81"/>
  <c r="O469" i="81"/>
  <c r="B469" i="81"/>
  <c r="O468" i="81"/>
  <c r="B468" i="81"/>
  <c r="O467" i="81"/>
  <c r="B467" i="81"/>
  <c r="O466" i="81"/>
  <c r="B466" i="81"/>
  <c r="O465" i="81"/>
  <c r="B465" i="81"/>
  <c r="N464" i="81"/>
  <c r="N257" i="82" s="1"/>
  <c r="M464" i="81"/>
  <c r="M257" i="82" s="1"/>
  <c r="L464" i="81"/>
  <c r="L257" i="82" s="1"/>
  <c r="K464" i="81"/>
  <c r="K257" i="82" s="1"/>
  <c r="J464" i="81"/>
  <c r="J257" i="82" s="1"/>
  <c r="I464" i="81"/>
  <c r="I257" i="82" s="1"/>
  <c r="H464" i="81"/>
  <c r="H257" i="82" s="1"/>
  <c r="G464" i="81"/>
  <c r="G257" i="82" s="1"/>
  <c r="F464" i="81"/>
  <c r="F257" i="82" s="1"/>
  <c r="E464" i="81"/>
  <c r="E257" i="82" s="1"/>
  <c r="O463" i="81"/>
  <c r="B463" i="81"/>
  <c r="O462" i="81"/>
  <c r="B462" i="81"/>
  <c r="O461" i="81"/>
  <c r="B461" i="81"/>
  <c r="O460" i="81"/>
  <c r="B460" i="81"/>
  <c r="O459" i="81"/>
  <c r="B459" i="81"/>
  <c r="O458" i="81"/>
  <c r="B458" i="81"/>
  <c r="N457" i="81"/>
  <c r="N256" i="82" s="1"/>
  <c r="M457" i="81"/>
  <c r="M256" i="82" s="1"/>
  <c r="L457" i="81"/>
  <c r="L256" i="82" s="1"/>
  <c r="K457" i="81"/>
  <c r="K256" i="82" s="1"/>
  <c r="J457" i="81"/>
  <c r="J256" i="82" s="1"/>
  <c r="I457" i="81"/>
  <c r="I256" i="82" s="1"/>
  <c r="H457" i="81"/>
  <c r="H256" i="82" s="1"/>
  <c r="G457" i="81"/>
  <c r="G256" i="82" s="1"/>
  <c r="F457" i="81"/>
  <c r="F256" i="82" s="1"/>
  <c r="E457" i="81"/>
  <c r="E256" i="82" s="1"/>
  <c r="O447" i="81"/>
  <c r="B447" i="81"/>
  <c r="O446" i="81"/>
  <c r="B446" i="81"/>
  <c r="O445" i="81"/>
  <c r="B445" i="81"/>
  <c r="O444" i="81"/>
  <c r="B444" i="81"/>
  <c r="O443" i="81"/>
  <c r="B443" i="81"/>
  <c r="N442" i="81"/>
  <c r="M442" i="81"/>
  <c r="L442" i="81"/>
  <c r="K442" i="81"/>
  <c r="J442" i="81"/>
  <c r="I442" i="81"/>
  <c r="H442" i="81"/>
  <c r="G442" i="81"/>
  <c r="F442" i="81"/>
  <c r="E442" i="81"/>
  <c r="O441" i="81"/>
  <c r="B441" i="81"/>
  <c r="O440" i="81"/>
  <c r="B440" i="81"/>
  <c r="O439" i="81"/>
  <c r="B439" i="81"/>
  <c r="O438" i="81"/>
  <c r="B438" i="81"/>
  <c r="O437" i="81"/>
  <c r="B437" i="81"/>
  <c r="N436" i="81"/>
  <c r="M436" i="81"/>
  <c r="M435" i="81" s="1"/>
  <c r="M535" i="81" s="1"/>
  <c r="M539" i="81" s="1"/>
  <c r="L436" i="81"/>
  <c r="K436" i="81"/>
  <c r="J436" i="81"/>
  <c r="I436" i="81"/>
  <c r="H436" i="81"/>
  <c r="H435" i="81" s="1"/>
  <c r="H535" i="81" s="1"/>
  <c r="H539" i="81" s="1"/>
  <c r="G436" i="81"/>
  <c r="F436" i="81"/>
  <c r="E436" i="81"/>
  <c r="E435" i="81" s="1"/>
  <c r="E535" i="81" s="1"/>
  <c r="E539" i="81" s="1"/>
  <c r="O433" i="81"/>
  <c r="B433" i="81"/>
  <c r="O432" i="81"/>
  <c r="B432" i="81"/>
  <c r="O431" i="81"/>
  <c r="B431" i="81"/>
  <c r="O430" i="81"/>
  <c r="B430" i="81"/>
  <c r="O429" i="81"/>
  <c r="M286" i="82" s="1"/>
  <c r="L233" i="75" s="1"/>
  <c r="B429" i="81"/>
  <c r="O428" i="81"/>
  <c r="B428" i="81"/>
  <c r="N427" i="81"/>
  <c r="M427" i="81"/>
  <c r="M527" i="81" s="1"/>
  <c r="L427" i="81"/>
  <c r="K427" i="81"/>
  <c r="K527" i="81" s="1"/>
  <c r="J427" i="81"/>
  <c r="I427" i="81"/>
  <c r="I527" i="81" s="1"/>
  <c r="H427" i="81"/>
  <c r="G427" i="81"/>
  <c r="F427" i="81"/>
  <c r="E427" i="81"/>
  <c r="O425" i="81"/>
  <c r="B425" i="81"/>
  <c r="O424" i="81"/>
  <c r="B424" i="81"/>
  <c r="O423" i="81"/>
  <c r="B423" i="81"/>
  <c r="O422" i="81"/>
  <c r="B422" i="81"/>
  <c r="O421" i="81"/>
  <c r="B421" i="81"/>
  <c r="O420" i="81"/>
  <c r="B420" i="81"/>
  <c r="N419" i="81"/>
  <c r="M419" i="81"/>
  <c r="L419" i="81"/>
  <c r="K419" i="81"/>
  <c r="J419" i="81"/>
  <c r="I419" i="81"/>
  <c r="H419" i="81"/>
  <c r="G419" i="81"/>
  <c r="F419" i="81"/>
  <c r="E419" i="81"/>
  <c r="O418" i="81"/>
  <c r="B418" i="81"/>
  <c r="O417" i="81"/>
  <c r="B417" i="81"/>
  <c r="O416" i="81"/>
  <c r="B416" i="81"/>
  <c r="O415" i="81"/>
  <c r="B415" i="81"/>
  <c r="O414" i="81"/>
  <c r="B414" i="81"/>
  <c r="O413" i="81"/>
  <c r="B413" i="81"/>
  <c r="N412" i="81"/>
  <c r="M412" i="81"/>
  <c r="L412" i="81"/>
  <c r="K412" i="81"/>
  <c r="J412" i="81"/>
  <c r="I412" i="81"/>
  <c r="H412" i="81"/>
  <c r="G412" i="81"/>
  <c r="G411" i="81" s="1"/>
  <c r="G520" i="81" s="1"/>
  <c r="F412" i="81"/>
  <c r="E412" i="81"/>
  <c r="K13" i="81"/>
  <c r="F365" i="81"/>
  <c r="E255" i="82" s="1"/>
  <c r="O363" i="81"/>
  <c r="H363" i="81"/>
  <c r="B361" i="81"/>
  <c r="F355" i="81"/>
  <c r="O353" i="81"/>
  <c r="H353" i="81"/>
  <c r="B351" i="81"/>
  <c r="N12" i="81"/>
  <c r="B316" i="81"/>
  <c r="B315" i="81"/>
  <c r="B314" i="81"/>
  <c r="B313" i="81"/>
  <c r="B312" i="81"/>
  <c r="L303" i="81"/>
  <c r="L302" i="81"/>
  <c r="B302" i="81"/>
  <c r="O295" i="81"/>
  <c r="K11" i="81"/>
  <c r="B273" i="81"/>
  <c r="B272" i="81"/>
  <c r="B271" i="81"/>
  <c r="B270" i="81"/>
  <c r="B269" i="81"/>
  <c r="L259" i="81"/>
  <c r="L258" i="81"/>
  <c r="B258" i="81"/>
  <c r="O251" i="81"/>
  <c r="B222" i="81"/>
  <c r="B221" i="81"/>
  <c r="B220" i="81"/>
  <c r="B201" i="81"/>
  <c r="B200" i="81"/>
  <c r="B199" i="81"/>
  <c r="L187" i="81"/>
  <c r="L186" i="81"/>
  <c r="B186" i="81"/>
  <c r="O179" i="81"/>
  <c r="I10" i="81" s="1"/>
  <c r="K9" i="81"/>
  <c r="B157" i="81"/>
  <c r="O137" i="81"/>
  <c r="J64" i="82" s="1"/>
  <c r="I83" i="75" s="1"/>
  <c r="O128" i="81"/>
  <c r="J63" i="82" s="1"/>
  <c r="I80" i="75" s="1"/>
  <c r="H121" i="81"/>
  <c r="O120" i="81"/>
  <c r="I41" i="82" s="1"/>
  <c r="B120" i="81"/>
  <c r="O98" i="81"/>
  <c r="J62" i="82" s="1"/>
  <c r="I77" i="75" s="1"/>
  <c r="O89" i="81"/>
  <c r="J61" i="82" s="1"/>
  <c r="I74" i="75" s="1"/>
  <c r="H82" i="81"/>
  <c r="O81" i="81"/>
  <c r="I33" i="82" s="1"/>
  <c r="B81" i="81"/>
  <c r="G13" i="82"/>
  <c r="BY4" i="84" s="1"/>
  <c r="E53" i="81"/>
  <c r="H12" i="82" s="1"/>
  <c r="CC3" i="84" s="1"/>
  <c r="E51" i="81"/>
  <c r="E518" i="81" s="1"/>
  <c r="F518" i="81" s="1"/>
  <c r="G518" i="81" s="1"/>
  <c r="H518" i="81" s="1"/>
  <c r="I518" i="81" s="1"/>
  <c r="J518" i="81" s="1"/>
  <c r="K518" i="81" s="1"/>
  <c r="L518" i="81" s="1"/>
  <c r="M518" i="81" s="1"/>
  <c r="N518" i="81" s="1"/>
  <c r="L40" i="81"/>
  <c r="L39" i="81"/>
  <c r="J38" i="81"/>
  <c r="N37" i="81"/>
  <c r="N35" i="81"/>
  <c r="M35" i="81"/>
  <c r="L35" i="81"/>
  <c r="J35" i="81"/>
  <c r="H35" i="81"/>
  <c r="F35" i="81"/>
  <c r="D35" i="81"/>
  <c r="D30" i="81"/>
  <c r="G9" i="82" s="1"/>
  <c r="C4" i="84" s="1"/>
  <c r="D29" i="81"/>
  <c r="N18" i="81"/>
  <c r="K18" i="81"/>
  <c r="I18" i="81"/>
  <c r="N17" i="81"/>
  <c r="K17" i="81"/>
  <c r="N16" i="81"/>
  <c r="K16" i="81"/>
  <c r="K15" i="81"/>
  <c r="N14" i="81"/>
  <c r="N13" i="81"/>
  <c r="K12" i="81"/>
  <c r="I12" i="81"/>
  <c r="N11" i="81"/>
  <c r="I11" i="81"/>
  <c r="N10" i="81"/>
  <c r="K10" i="81"/>
  <c r="N9" i="81"/>
  <c r="N8" i="81"/>
  <c r="K8" i="81"/>
  <c r="G435" i="81" l="1"/>
  <c r="G535" i="81" s="1"/>
  <c r="G539" i="81" s="1"/>
  <c r="I435" i="81"/>
  <c r="I535" i="81" s="1"/>
  <c r="I539" i="81" s="1"/>
  <c r="I456" i="81"/>
  <c r="L92" i="82"/>
  <c r="BY34" i="84" s="1"/>
  <c r="M456" i="81"/>
  <c r="K435" i="81"/>
  <c r="K535" i="81" s="1"/>
  <c r="K539" i="81" s="1"/>
  <c r="I299" i="82"/>
  <c r="L435" i="81"/>
  <c r="L535" i="81" s="1"/>
  <c r="L539" i="81" s="1"/>
  <c r="L684" i="81"/>
  <c r="F23" i="82"/>
  <c r="L32" i="82" s="1"/>
  <c r="L93" i="82"/>
  <c r="BY35" i="84" s="1"/>
  <c r="L697" i="81"/>
  <c r="E46" i="82"/>
  <c r="BG15" i="84" s="1"/>
  <c r="E44" i="82"/>
  <c r="BH19" i="84" s="1"/>
  <c r="M63" i="82"/>
  <c r="L80" i="75" s="1"/>
  <c r="O558" i="81"/>
  <c r="F341" i="82" s="1"/>
  <c r="E349" i="82" s="1"/>
  <c r="I94" i="82"/>
  <c r="BS36" i="84" s="1"/>
  <c r="I303" i="82"/>
  <c r="G688" i="81"/>
  <c r="F24" i="82"/>
  <c r="L26" i="82" s="1"/>
  <c r="L95" i="82"/>
  <c r="L688" i="81"/>
  <c r="K411" i="81"/>
  <c r="G480" i="81"/>
  <c r="G562" i="81" s="1"/>
  <c r="G566" i="81" s="1"/>
  <c r="K480" i="81"/>
  <c r="K562" i="81" s="1"/>
  <c r="K566" i="81" s="1"/>
  <c r="J25" i="82"/>
  <c r="J29" i="82" s="1"/>
  <c r="L28" i="82"/>
  <c r="F25" i="82"/>
  <c r="H190" i="82"/>
  <c r="L507" i="81"/>
  <c r="M507" i="81"/>
  <c r="O507" i="81" s="1"/>
  <c r="M375" i="81"/>
  <c r="O375" i="81" s="1"/>
  <c r="I14" i="81" s="1"/>
  <c r="L375" i="81"/>
  <c r="L338" i="81"/>
  <c r="M338" i="81"/>
  <c r="O338" i="81" s="1"/>
  <c r="I13" i="81" s="1"/>
  <c r="M61" i="82"/>
  <c r="L74" i="75" s="1"/>
  <c r="J28" i="82"/>
  <c r="E36" i="82"/>
  <c r="AK19" i="84" s="1"/>
  <c r="E38" i="82"/>
  <c r="AJ15" i="84" s="1"/>
  <c r="L148" i="82"/>
  <c r="AJ46" i="84" s="1"/>
  <c r="O71" i="82"/>
  <c r="F208" i="82"/>
  <c r="M301" i="82" s="1"/>
  <c r="N346" i="82"/>
  <c r="F209" i="82"/>
  <c r="M303" i="82" s="1"/>
  <c r="F207" i="82"/>
  <c r="M299" i="82" s="1"/>
  <c r="L117" i="82"/>
  <c r="BZ46" i="84" s="1"/>
  <c r="F202" i="82"/>
  <c r="N322" i="82"/>
  <c r="N370" i="82"/>
  <c r="F201" i="82"/>
  <c r="F26" i="82"/>
  <c r="L30" i="82" s="1"/>
  <c r="F24" i="75"/>
  <c r="F22" i="82"/>
  <c r="L24" i="82" s="1"/>
  <c r="M39" i="81"/>
  <c r="F39" i="81"/>
  <c r="G692" i="81"/>
  <c r="M674" i="81"/>
  <c r="L678" i="81"/>
  <c r="H681" i="81"/>
  <c r="H390" i="82" s="1"/>
  <c r="H688" i="81"/>
  <c r="J390" i="82" s="1"/>
  <c r="H624" i="81"/>
  <c r="I402" i="82" s="1"/>
  <c r="M670" i="81"/>
  <c r="H684" i="81"/>
  <c r="I390" i="82" s="1"/>
  <c r="H692" i="81"/>
  <c r="K390" i="82" s="1"/>
  <c r="F25" i="75"/>
  <c r="AU65" i="84"/>
  <c r="D170" i="75"/>
  <c r="E170" i="75" s="1"/>
  <c r="F170" i="75" s="1"/>
  <c r="G170" i="75" s="1"/>
  <c r="H170" i="75" s="1"/>
  <c r="I170" i="75" s="1"/>
  <c r="J170" i="75" s="1"/>
  <c r="K170" i="75" s="1"/>
  <c r="L170" i="75" s="1"/>
  <c r="M170" i="75" s="1"/>
  <c r="K449" i="81"/>
  <c r="E169" i="75"/>
  <c r="F169" i="75" s="1"/>
  <c r="G169" i="75" s="1"/>
  <c r="H169" i="75" s="1"/>
  <c r="I169" i="75" s="1"/>
  <c r="J169" i="75" s="1"/>
  <c r="K169" i="75" s="1"/>
  <c r="L169" i="75" s="1"/>
  <c r="M169" i="75" s="1"/>
  <c r="E410" i="81"/>
  <c r="F410" i="81" s="1"/>
  <c r="G410" i="81" s="1"/>
  <c r="H410" i="81" s="1"/>
  <c r="I410" i="81" s="1"/>
  <c r="J410" i="81" s="1"/>
  <c r="K410" i="81" s="1"/>
  <c r="L410" i="81" s="1"/>
  <c r="M410" i="81" s="1"/>
  <c r="N410" i="81" s="1"/>
  <c r="F310" i="75"/>
  <c r="F309" i="75"/>
  <c r="F343" i="75"/>
  <c r="F406" i="75" s="1"/>
  <c r="I95" i="82"/>
  <c r="I112" i="82"/>
  <c r="F23" i="75"/>
  <c r="F342" i="75"/>
  <c r="F373" i="75"/>
  <c r="J93" i="82"/>
  <c r="BR35" i="84" s="1"/>
  <c r="K94" i="82"/>
  <c r="BZ36" i="84" s="1"/>
  <c r="AF16" i="84"/>
  <c r="I480" i="81"/>
  <c r="I562" i="81" s="1"/>
  <c r="I566" i="81" s="1"/>
  <c r="O565" i="81"/>
  <c r="F365" i="82" s="1"/>
  <c r="E373" i="82" s="1"/>
  <c r="H612" i="81"/>
  <c r="M612" i="81"/>
  <c r="H616" i="81"/>
  <c r="G402" i="82" s="1"/>
  <c r="M616" i="81"/>
  <c r="K616" i="81" s="1"/>
  <c r="H620" i="81"/>
  <c r="H402" i="82" s="1"/>
  <c r="M620" i="81"/>
  <c r="H670" i="81"/>
  <c r="L681" i="81"/>
  <c r="E28" i="82"/>
  <c r="I22" i="82" s="1"/>
  <c r="D75" i="75"/>
  <c r="D23" i="75"/>
  <c r="O23" i="75" s="1"/>
  <c r="D78" i="75"/>
  <c r="D24" i="75"/>
  <c r="O24" i="75" s="1"/>
  <c r="D25" i="75"/>
  <c r="O25" i="75" s="1"/>
  <c r="K77" i="82"/>
  <c r="AU34" i="84" s="1"/>
  <c r="J78" i="82"/>
  <c r="AS35" i="84" s="1"/>
  <c r="J80" i="82"/>
  <c r="AS37" i="84" s="1"/>
  <c r="D168" i="75"/>
  <c r="E168" i="75" s="1"/>
  <c r="F168" i="75" s="1"/>
  <c r="G168" i="75" s="1"/>
  <c r="H168" i="75" s="1"/>
  <c r="I168" i="75" s="1"/>
  <c r="J168" i="75" s="1"/>
  <c r="K168" i="75" s="1"/>
  <c r="L168" i="75" s="1"/>
  <c r="M168" i="75" s="1"/>
  <c r="AU59" i="84"/>
  <c r="H40" i="81"/>
  <c r="H411" i="81"/>
  <c r="H520" i="81" s="1"/>
  <c r="L411" i="81"/>
  <c r="L520" i="81" s="1"/>
  <c r="E456" i="81"/>
  <c r="O531" i="81"/>
  <c r="E341" i="82" s="1"/>
  <c r="F344" i="75" s="1"/>
  <c r="M342" i="75" s="1"/>
  <c r="O550" i="81"/>
  <c r="F317" i="82" s="1"/>
  <c r="E325" i="82" s="1"/>
  <c r="L612" i="81"/>
  <c r="L616" i="81"/>
  <c r="L620" i="81"/>
  <c r="O646" i="81"/>
  <c r="I17" i="81" s="1"/>
  <c r="L692" i="81"/>
  <c r="H697" i="81"/>
  <c r="F697" i="81" s="1"/>
  <c r="J94" i="82"/>
  <c r="BR36" i="84" s="1"/>
  <c r="BB20" i="84"/>
  <c r="E480" i="81"/>
  <c r="M480" i="81"/>
  <c r="M562" i="81" s="1"/>
  <c r="M566" i="81" s="1"/>
  <c r="I15" i="81"/>
  <c r="O523" i="81"/>
  <c r="E317" i="82" s="1"/>
  <c r="F311" i="75" s="1"/>
  <c r="M310" i="75" s="1"/>
  <c r="O538" i="81"/>
  <c r="E365" i="82" s="1"/>
  <c r="O580" i="81"/>
  <c r="I16" i="81" s="1"/>
  <c r="H604" i="81"/>
  <c r="F604" i="81" s="1"/>
  <c r="G674" i="81"/>
  <c r="G700" i="81" s="1"/>
  <c r="L674" i="81"/>
  <c r="G25" i="75"/>
  <c r="K80" i="82"/>
  <c r="AU37" i="84" s="1"/>
  <c r="I93" i="82"/>
  <c r="BS35" i="84" s="1"/>
  <c r="AU63" i="84"/>
  <c r="N39" i="81"/>
  <c r="J40" i="81"/>
  <c r="E42" i="82"/>
  <c r="I96" i="82"/>
  <c r="K96" i="82"/>
  <c r="I111" i="82"/>
  <c r="K79" i="82"/>
  <c r="AU36" i="84" s="1"/>
  <c r="K81" i="82"/>
  <c r="AU38" i="84" s="1"/>
  <c r="I110" i="82"/>
  <c r="I145" i="82"/>
  <c r="I146" i="82"/>
  <c r="M40" i="81"/>
  <c r="J37" i="81"/>
  <c r="H39" i="81"/>
  <c r="F40" i="81"/>
  <c r="N40" i="81"/>
  <c r="I92" i="82"/>
  <c r="BS34" i="84" s="1"/>
  <c r="I113" i="82"/>
  <c r="I115" i="82"/>
  <c r="B89" i="81"/>
  <c r="E34" i="82"/>
  <c r="B98" i="81"/>
  <c r="G528" i="81"/>
  <c r="G524" i="81"/>
  <c r="E322" i="82"/>
  <c r="L38" i="81"/>
  <c r="F38" i="81"/>
  <c r="M38" i="81"/>
  <c r="F255" i="82"/>
  <c r="G255" i="82" s="1"/>
  <c r="H255" i="82" s="1"/>
  <c r="I255" i="82" s="1"/>
  <c r="J255" i="82" s="1"/>
  <c r="K255" i="82" s="1"/>
  <c r="L255" i="82" s="1"/>
  <c r="M255" i="82" s="1"/>
  <c r="N255" i="82" s="1"/>
  <c r="H172" i="75"/>
  <c r="I240" i="82"/>
  <c r="I182" i="82" s="1"/>
  <c r="F241" i="82"/>
  <c r="K243" i="82"/>
  <c r="K185" i="82" s="1"/>
  <c r="J175" i="75" s="1"/>
  <c r="I547" i="81"/>
  <c r="I494" i="81"/>
  <c r="L258" i="82"/>
  <c r="L554" i="81"/>
  <c r="K520" i="81"/>
  <c r="F527" i="81"/>
  <c r="E562" i="81"/>
  <c r="F402" i="82"/>
  <c r="F612" i="81"/>
  <c r="G404" i="82"/>
  <c r="H404" i="82"/>
  <c r="K620" i="81"/>
  <c r="E392" i="82"/>
  <c r="M700" i="81"/>
  <c r="L670" i="81"/>
  <c r="K670" i="81"/>
  <c r="F37" i="81"/>
  <c r="M37" i="81"/>
  <c r="H38" i="81"/>
  <c r="N38" i="81"/>
  <c r="J39" i="81"/>
  <c r="G11" i="82"/>
  <c r="CC2" i="84" s="1"/>
  <c r="E545" i="81"/>
  <c r="F545" i="81" s="1"/>
  <c r="G545" i="81" s="1"/>
  <c r="H545" i="81" s="1"/>
  <c r="I545" i="81" s="1"/>
  <c r="J545" i="81" s="1"/>
  <c r="K545" i="81" s="1"/>
  <c r="L545" i="81" s="1"/>
  <c r="M545" i="81" s="1"/>
  <c r="N545" i="81" s="1"/>
  <c r="B100" i="81"/>
  <c r="B128" i="81"/>
  <c r="E239" i="82"/>
  <c r="E181" i="82" s="1"/>
  <c r="D171" i="75" s="1"/>
  <c r="I239" i="82"/>
  <c r="I181" i="82" s="1"/>
  <c r="H171" i="75" s="1"/>
  <c r="M239" i="82"/>
  <c r="M181" i="82" s="1"/>
  <c r="L171" i="75" s="1"/>
  <c r="M282" i="82"/>
  <c r="L229" i="75" s="1"/>
  <c r="M289" i="82"/>
  <c r="L236" i="75" s="1"/>
  <c r="F301" i="82"/>
  <c r="F240" i="82"/>
  <c r="F182" i="82" s="1"/>
  <c r="E172" i="75" s="1"/>
  <c r="J240" i="82"/>
  <c r="J182" i="82" s="1"/>
  <c r="I172" i="75" s="1"/>
  <c r="N240" i="82"/>
  <c r="N182" i="82" s="1"/>
  <c r="M172" i="75" s="1"/>
  <c r="G241" i="82"/>
  <c r="K241" i="82"/>
  <c r="O427" i="81"/>
  <c r="E242" i="82"/>
  <c r="E184" i="82" s="1"/>
  <c r="D174" i="75" s="1"/>
  <c r="I242" i="82"/>
  <c r="I184" i="82" s="1"/>
  <c r="H174" i="75"/>
  <c r="M242" i="82"/>
  <c r="M184" i="82" s="1"/>
  <c r="L174" i="75" s="1"/>
  <c r="H243" i="82"/>
  <c r="H185" i="82" s="1"/>
  <c r="G175" i="75" s="1"/>
  <c r="K175" i="75"/>
  <c r="L243" i="82"/>
  <c r="L185" i="82" s="1"/>
  <c r="G449" i="81"/>
  <c r="F456" i="81"/>
  <c r="J456" i="81"/>
  <c r="N456" i="81"/>
  <c r="O457" i="81"/>
  <c r="G299" i="82"/>
  <c r="G303" i="82"/>
  <c r="F480" i="81"/>
  <c r="F562" i="81" s="1"/>
  <c r="F566" i="81" s="1"/>
  <c r="J480" i="81"/>
  <c r="J562" i="81" s="1"/>
  <c r="J566" i="81" s="1"/>
  <c r="N480" i="81"/>
  <c r="N562" i="81" s="1"/>
  <c r="N566" i="81" s="1"/>
  <c r="O481" i="81"/>
  <c r="G527" i="81"/>
  <c r="E554" i="81"/>
  <c r="K63" i="82"/>
  <c r="L37" i="81"/>
  <c r="B137" i="81"/>
  <c r="E238" i="82"/>
  <c r="E180" i="82" s="1"/>
  <c r="D167" i="75" s="1"/>
  <c r="J201" i="75" s="1"/>
  <c r="E254" i="82"/>
  <c r="F254" i="82" s="1"/>
  <c r="G254" i="82" s="1"/>
  <c r="H254" i="82" s="1"/>
  <c r="I254" i="82" s="1"/>
  <c r="J254" i="82" s="1"/>
  <c r="K254" i="82" s="1"/>
  <c r="L254" i="82" s="1"/>
  <c r="M254" i="82" s="1"/>
  <c r="N254" i="82" s="1"/>
  <c r="E179" i="82"/>
  <c r="F179" i="82" s="1"/>
  <c r="G179" i="82" s="1"/>
  <c r="H179" i="82" s="1"/>
  <c r="I179" i="82" s="1"/>
  <c r="J179" i="82" s="1"/>
  <c r="K179" i="82" s="1"/>
  <c r="L179" i="82" s="1"/>
  <c r="M179" i="82" s="1"/>
  <c r="N179" i="82" s="1"/>
  <c r="H239" i="82"/>
  <c r="H181" i="82" s="1"/>
  <c r="G171" i="75" s="1"/>
  <c r="L239" i="82"/>
  <c r="L181" i="82" s="1"/>
  <c r="K171" i="75" s="1"/>
  <c r="E240" i="82"/>
  <c r="E182" i="82" s="1"/>
  <c r="D172" i="75" s="1"/>
  <c r="M240" i="82"/>
  <c r="M182" i="82" s="1"/>
  <c r="L172" i="75" s="1"/>
  <c r="J241" i="82"/>
  <c r="N241" i="82"/>
  <c r="N527" i="81"/>
  <c r="H242" i="82"/>
  <c r="H184" i="82" s="1"/>
  <c r="G174" i="75"/>
  <c r="L242" i="82"/>
  <c r="L184" i="82" s="1"/>
  <c r="K174" i="75" s="1"/>
  <c r="G243" i="82"/>
  <c r="G185" i="82" s="1"/>
  <c r="F175" i="75"/>
  <c r="O442" i="81"/>
  <c r="E547" i="81"/>
  <c r="E494" i="81"/>
  <c r="M547" i="81"/>
  <c r="M494" i="81"/>
  <c r="O464" i="81"/>
  <c r="H258" i="82"/>
  <c r="H554" i="81"/>
  <c r="H37" i="81"/>
  <c r="B91" i="81"/>
  <c r="B139" i="81"/>
  <c r="E411" i="81"/>
  <c r="I411" i="81"/>
  <c r="M411" i="81"/>
  <c r="F239" i="82"/>
  <c r="F181" i="82" s="1"/>
  <c r="E171" i="75" s="1"/>
  <c r="J239" i="82"/>
  <c r="J181" i="82" s="1"/>
  <c r="I171" i="75" s="1"/>
  <c r="N239" i="82"/>
  <c r="N181" i="82" s="1"/>
  <c r="M171" i="75" s="1"/>
  <c r="G240" i="82"/>
  <c r="G182" i="82" s="1"/>
  <c r="F172" i="75" s="1"/>
  <c r="K240" i="82"/>
  <c r="K182" i="82" s="1"/>
  <c r="J172" i="75"/>
  <c r="O419" i="81"/>
  <c r="H241" i="82"/>
  <c r="H183" i="82" s="1"/>
  <c r="G173" i="75" s="1"/>
  <c r="H527" i="81"/>
  <c r="K173" i="75"/>
  <c r="L241" i="82"/>
  <c r="L183" i="82" s="1"/>
  <c r="L527" i="81"/>
  <c r="F242" i="82"/>
  <c r="F184" i="82" s="1"/>
  <c r="E174" i="75" s="1"/>
  <c r="J242" i="82"/>
  <c r="J184" i="82" s="1"/>
  <c r="I174" i="75" s="1"/>
  <c r="N242" i="82"/>
  <c r="N184" i="82" s="1"/>
  <c r="M174" i="75" s="1"/>
  <c r="E243" i="82"/>
  <c r="E185" i="82" s="1"/>
  <c r="D175" i="75"/>
  <c r="I243" i="82"/>
  <c r="I185" i="82" s="1"/>
  <c r="H175" i="75" s="1"/>
  <c r="M243" i="82"/>
  <c r="M185" i="82" s="1"/>
  <c r="L175" i="75" s="1"/>
  <c r="E455" i="81"/>
  <c r="F455" i="81" s="1"/>
  <c r="G455" i="81" s="1"/>
  <c r="H455" i="81" s="1"/>
  <c r="I455" i="81" s="1"/>
  <c r="J455" i="81" s="1"/>
  <c r="K455" i="81" s="1"/>
  <c r="L455" i="81" s="1"/>
  <c r="M455" i="81" s="1"/>
  <c r="N455" i="81" s="1"/>
  <c r="G456" i="81"/>
  <c r="K456" i="81"/>
  <c r="H261" i="82"/>
  <c r="L261" i="82"/>
  <c r="O257" i="82"/>
  <c r="F258" i="82"/>
  <c r="F261" i="82" s="1"/>
  <c r="F554" i="81"/>
  <c r="J258" i="82"/>
  <c r="J261" i="82" s="1"/>
  <c r="J554" i="81"/>
  <c r="N258" i="82"/>
  <c r="N261" i="82" s="1"/>
  <c r="N554" i="81"/>
  <c r="O487" i="81"/>
  <c r="I554" i="81"/>
  <c r="G604" i="81"/>
  <c r="M604" i="81"/>
  <c r="G392" i="82"/>
  <c r="K678" i="81"/>
  <c r="K64" i="82"/>
  <c r="B130" i="81"/>
  <c r="F411" i="81"/>
  <c r="J411" i="81"/>
  <c r="N411" i="81"/>
  <c r="G239" i="82"/>
  <c r="G181" i="82" s="1"/>
  <c r="F171" i="75"/>
  <c r="K239" i="82"/>
  <c r="K181" i="82" s="1"/>
  <c r="J171" i="75" s="1"/>
  <c r="O412" i="81"/>
  <c r="F299" i="82"/>
  <c r="H299" i="82" s="1"/>
  <c r="F250" i="75" s="1"/>
  <c r="F303" i="82"/>
  <c r="H240" i="82"/>
  <c r="H182" i="82" s="1"/>
  <c r="G172" i="75" s="1"/>
  <c r="K172" i="75"/>
  <c r="L240" i="82"/>
  <c r="L182" i="82" s="1"/>
  <c r="E241" i="82"/>
  <c r="E183" i="82" s="1"/>
  <c r="D173" i="75" s="1"/>
  <c r="I241" i="82"/>
  <c r="I183" i="82" s="1"/>
  <c r="H173" i="75" s="1"/>
  <c r="M241" i="82"/>
  <c r="M183" i="82" s="1"/>
  <c r="L173" i="75" s="1"/>
  <c r="M283" i="82"/>
  <c r="L230" i="75" s="1"/>
  <c r="I301" i="82"/>
  <c r="K301" i="82" s="1"/>
  <c r="F435" i="81"/>
  <c r="J435" i="81"/>
  <c r="J535" i="81" s="1"/>
  <c r="J539" i="81" s="1"/>
  <c r="N435" i="81"/>
  <c r="N535" i="81" s="1"/>
  <c r="N539" i="81" s="1"/>
  <c r="G242" i="82"/>
  <c r="G184" i="82" s="1"/>
  <c r="F174" i="75" s="1"/>
  <c r="K242" i="82"/>
  <c r="K184" i="82" s="1"/>
  <c r="J174" i="75" s="1"/>
  <c r="O436" i="81"/>
  <c r="F243" i="82"/>
  <c r="F185" i="82" s="1"/>
  <c r="E175" i="75"/>
  <c r="J243" i="82"/>
  <c r="J185" i="82" s="1"/>
  <c r="I175" i="75" s="1"/>
  <c r="N243" i="82"/>
  <c r="N185" i="82" s="1"/>
  <c r="M175" i="75" s="1"/>
  <c r="H456" i="81"/>
  <c r="L456" i="81"/>
  <c r="E261" i="82"/>
  <c r="O256" i="82"/>
  <c r="I261" i="82"/>
  <c r="M261" i="82"/>
  <c r="G301" i="82"/>
  <c r="G258" i="82"/>
  <c r="G261" i="82" s="1"/>
  <c r="G554" i="81"/>
  <c r="K258" i="82"/>
  <c r="K261" i="82" s="1"/>
  <c r="K554" i="81"/>
  <c r="O472" i="81"/>
  <c r="J299" i="82"/>
  <c r="K299" i="82" s="1"/>
  <c r="J303" i="82"/>
  <c r="K303" i="82" s="1"/>
  <c r="H480" i="81"/>
  <c r="H562" i="81" s="1"/>
  <c r="H566" i="81" s="1"/>
  <c r="L480" i="81"/>
  <c r="L562" i="81" s="1"/>
  <c r="L566" i="81" s="1"/>
  <c r="O259" i="82"/>
  <c r="E527" i="81"/>
  <c r="J527" i="81"/>
  <c r="E370" i="82"/>
  <c r="M554" i="81"/>
  <c r="F392" i="82"/>
  <c r="K674" i="81"/>
  <c r="H392" i="82"/>
  <c r="K681" i="81"/>
  <c r="K61" i="82"/>
  <c r="O265" i="82"/>
  <c r="F404" i="82"/>
  <c r="K612" i="81"/>
  <c r="E390" i="82"/>
  <c r="G670" i="81"/>
  <c r="E394" i="82" s="1"/>
  <c r="F670" i="81"/>
  <c r="K62" i="82"/>
  <c r="G612" i="81"/>
  <c r="G616" i="81"/>
  <c r="G620" i="81"/>
  <c r="G624" i="81"/>
  <c r="M624" i="81"/>
  <c r="M372" i="82"/>
  <c r="O370" i="82" s="1"/>
  <c r="F194" i="82"/>
  <c r="H629" i="81"/>
  <c r="M324" i="82"/>
  <c r="O322" i="82" s="1"/>
  <c r="F192" i="82"/>
  <c r="H192" i="82" s="1"/>
  <c r="H633" i="81"/>
  <c r="H674" i="81"/>
  <c r="H678" i="81"/>
  <c r="F684" i="81"/>
  <c r="F688" i="81"/>
  <c r="J92" i="82"/>
  <c r="BR34" i="84" s="1"/>
  <c r="K93" i="82"/>
  <c r="BZ35" i="84" s="1"/>
  <c r="L94" i="82"/>
  <c r="BY36" i="84" s="1"/>
  <c r="I114" i="82"/>
  <c r="I141" i="82"/>
  <c r="I142" i="82"/>
  <c r="I143" i="82"/>
  <c r="I144" i="82"/>
  <c r="J209" i="82"/>
  <c r="M348" i="82"/>
  <c r="O346" i="82" s="1"/>
  <c r="F193" i="82"/>
  <c r="M373" i="82"/>
  <c r="M194" i="82"/>
  <c r="K78" i="82"/>
  <c r="AU35" i="84" s="1"/>
  <c r="K92" i="82"/>
  <c r="BZ34" i="84" s="1"/>
  <c r="M192" i="82"/>
  <c r="M342" i="82"/>
  <c r="N342" i="82" s="1"/>
  <c r="AT102" i="84" s="1"/>
  <c r="M349" i="82"/>
  <c r="M193" i="82"/>
  <c r="L629" i="81"/>
  <c r="L633" i="81"/>
  <c r="U29" i="84"/>
  <c r="J77" i="82"/>
  <c r="AS34" i="84" s="1"/>
  <c r="J79" i="82"/>
  <c r="AS36" i="84" s="1"/>
  <c r="J81" i="82"/>
  <c r="AS38" i="84" s="1"/>
  <c r="M366" i="82"/>
  <c r="N366" i="82" s="1"/>
  <c r="BV102" i="84" s="1"/>
  <c r="F616" i="81"/>
  <c r="F624" i="81"/>
  <c r="L624" i="81"/>
  <c r="G629" i="81"/>
  <c r="M629" i="81"/>
  <c r="G633" i="81"/>
  <c r="M633" i="81"/>
  <c r="F681" i="81"/>
  <c r="K684" i="81"/>
  <c r="K688" i="81"/>
  <c r="K692" i="81"/>
  <c r="K95" i="82"/>
  <c r="F227" i="82"/>
  <c r="AU70" i="84" s="1"/>
  <c r="BF36" i="80"/>
  <c r="K36" i="80"/>
  <c r="D36" i="80"/>
  <c r="BF35" i="80"/>
  <c r="K35" i="80"/>
  <c r="D35" i="80"/>
  <c r="BF34" i="80"/>
  <c r="K34" i="80"/>
  <c r="D34" i="80"/>
  <c r="BX4" i="80"/>
  <c r="K403" i="79"/>
  <c r="BX116" i="80" s="1"/>
  <c r="J403" i="79"/>
  <c r="BV116" i="80" s="1"/>
  <c r="I403" i="79"/>
  <c r="BT116" i="80" s="1"/>
  <c r="H403" i="79"/>
  <c r="BR116" i="80" s="1"/>
  <c r="G403" i="79"/>
  <c r="BP116" i="80" s="1"/>
  <c r="F403" i="79"/>
  <c r="BN116" i="80" s="1"/>
  <c r="E403" i="79"/>
  <c r="BL116" i="80" s="1"/>
  <c r="K401" i="79"/>
  <c r="BH116" i="80" s="1"/>
  <c r="J401" i="79"/>
  <c r="BF116" i="80" s="1"/>
  <c r="I401" i="79"/>
  <c r="BD116" i="80" s="1"/>
  <c r="H401" i="79"/>
  <c r="BB116" i="80" s="1"/>
  <c r="G401" i="79"/>
  <c r="AZ116" i="80" s="1"/>
  <c r="F401" i="79"/>
  <c r="AX116" i="80" s="1"/>
  <c r="E401" i="79"/>
  <c r="AV116" i="80" s="1"/>
  <c r="K391" i="79"/>
  <c r="AH116" i="80" s="1"/>
  <c r="J391" i="79"/>
  <c r="AF116" i="80" s="1"/>
  <c r="I391" i="79"/>
  <c r="AD116" i="80" s="1"/>
  <c r="H391" i="79"/>
  <c r="AB116" i="80" s="1"/>
  <c r="G391" i="79"/>
  <c r="Z116" i="80" s="1"/>
  <c r="F391" i="79"/>
  <c r="X116" i="80" s="1"/>
  <c r="E391" i="79"/>
  <c r="V116" i="80" s="1"/>
  <c r="K389" i="79"/>
  <c r="R116" i="80" s="1"/>
  <c r="J389" i="79"/>
  <c r="P116" i="80" s="1"/>
  <c r="I389" i="79"/>
  <c r="N116" i="80" s="1"/>
  <c r="H389" i="79"/>
  <c r="L116" i="80" s="1"/>
  <c r="G389" i="79"/>
  <c r="J116" i="80" s="1"/>
  <c r="F389" i="79"/>
  <c r="H116" i="80" s="1"/>
  <c r="E389" i="79"/>
  <c r="F116" i="80" s="1"/>
  <c r="K372" i="79"/>
  <c r="K370" i="79"/>
  <c r="D366" i="79"/>
  <c r="D365" i="79"/>
  <c r="D364" i="79"/>
  <c r="D363" i="79"/>
  <c r="D362" i="79"/>
  <c r="K348" i="79"/>
  <c r="K346" i="79"/>
  <c r="D342" i="79"/>
  <c r="D341" i="79"/>
  <c r="D340" i="79"/>
  <c r="D339" i="79"/>
  <c r="D338" i="79"/>
  <c r="D337" i="79"/>
  <c r="K324" i="79"/>
  <c r="K322" i="79"/>
  <c r="D318" i="79"/>
  <c r="D317" i="79"/>
  <c r="D316" i="79"/>
  <c r="D315" i="79"/>
  <c r="D314" i="79"/>
  <c r="F226" i="79"/>
  <c r="AU67" i="80" s="1"/>
  <c r="F225" i="79"/>
  <c r="F224" i="79"/>
  <c r="F223" i="79"/>
  <c r="AU61" i="80" s="1"/>
  <c r="F222" i="79"/>
  <c r="I209" i="79"/>
  <c r="G209" i="79"/>
  <c r="I208" i="79"/>
  <c r="G208" i="79"/>
  <c r="I207" i="79"/>
  <c r="G207" i="79"/>
  <c r="G205" i="79"/>
  <c r="G204" i="79"/>
  <c r="G203" i="79"/>
  <c r="N198" i="79"/>
  <c r="G198" i="79"/>
  <c r="N197" i="79"/>
  <c r="G197" i="79"/>
  <c r="N196" i="79"/>
  <c r="G196" i="79"/>
  <c r="N194" i="79"/>
  <c r="G194" i="79"/>
  <c r="N193" i="79"/>
  <c r="G193" i="79"/>
  <c r="N192" i="79"/>
  <c r="G192" i="79"/>
  <c r="L146" i="79"/>
  <c r="D141" i="79" s="1"/>
  <c r="Q161" i="79" s="1"/>
  <c r="E146" i="79"/>
  <c r="D146" i="79"/>
  <c r="Q151" i="79" s="1"/>
  <c r="E145" i="79"/>
  <c r="D145" i="79"/>
  <c r="Q153" i="79" s="1"/>
  <c r="L144" i="79"/>
  <c r="E144" i="79"/>
  <c r="D144" i="79"/>
  <c r="Q155" i="79" s="1"/>
  <c r="L143" i="79"/>
  <c r="E143" i="79"/>
  <c r="D143" i="79"/>
  <c r="Q157" i="79" s="1"/>
  <c r="L142" i="79"/>
  <c r="E142" i="79"/>
  <c r="I142" i="79" s="1"/>
  <c r="D142" i="79"/>
  <c r="Q159" i="79" s="1"/>
  <c r="L141" i="79"/>
  <c r="E141" i="79"/>
  <c r="D140" i="79"/>
  <c r="L115" i="79"/>
  <c r="D115" i="79" s="1"/>
  <c r="Q129" i="79" s="1"/>
  <c r="E115" i="79"/>
  <c r="L114" i="79"/>
  <c r="E114" i="79"/>
  <c r="D114" i="79"/>
  <c r="Q127" i="79" s="1"/>
  <c r="L113" i="79"/>
  <c r="E113" i="79"/>
  <c r="D113" i="79"/>
  <c r="Q125" i="79" s="1"/>
  <c r="L112" i="79"/>
  <c r="E112" i="79"/>
  <c r="I112" i="79" s="1"/>
  <c r="D112" i="79"/>
  <c r="Q123" i="79" s="1"/>
  <c r="L111" i="79"/>
  <c r="E111" i="79"/>
  <c r="D111" i="79"/>
  <c r="Q121" i="79" s="1"/>
  <c r="L110" i="79"/>
  <c r="E110" i="79"/>
  <c r="D110" i="79"/>
  <c r="Q119" i="79" s="1"/>
  <c r="D109" i="79"/>
  <c r="J102" i="79"/>
  <c r="L96" i="79" s="1"/>
  <c r="G102" i="79"/>
  <c r="J96" i="79" s="1"/>
  <c r="J101" i="79"/>
  <c r="K95" i="79" s="1"/>
  <c r="G101" i="79"/>
  <c r="J100" i="79"/>
  <c r="G100" i="79"/>
  <c r="J99" i="79"/>
  <c r="K96" i="79" s="1"/>
  <c r="G99" i="79"/>
  <c r="I95" i="79"/>
  <c r="F94" i="79"/>
  <c r="E94" i="79"/>
  <c r="J94" i="79" s="1"/>
  <c r="BR36" i="80" s="1"/>
  <c r="D94" i="79"/>
  <c r="F93" i="79"/>
  <c r="E93" i="79"/>
  <c r="J93" i="79" s="1"/>
  <c r="BR35" i="80" s="1"/>
  <c r="D93" i="79"/>
  <c r="F92" i="79"/>
  <c r="E92" i="79"/>
  <c r="J92" i="79" s="1"/>
  <c r="BR34" i="80" s="1"/>
  <c r="D92" i="79"/>
  <c r="F86" i="79"/>
  <c r="E86" i="79"/>
  <c r="D86" i="79"/>
  <c r="F85" i="79"/>
  <c r="E85" i="79"/>
  <c r="D85" i="79"/>
  <c r="F84" i="79"/>
  <c r="E84" i="79"/>
  <c r="D84" i="79"/>
  <c r="F83" i="79"/>
  <c r="E83" i="79"/>
  <c r="D83" i="79"/>
  <c r="F82" i="79"/>
  <c r="E82" i="79"/>
  <c r="D82" i="79"/>
  <c r="I81" i="79"/>
  <c r="F81" i="79"/>
  <c r="E81" i="79"/>
  <c r="D81" i="79"/>
  <c r="I80" i="79"/>
  <c r="F80" i="79"/>
  <c r="E80" i="79"/>
  <c r="D80" i="79"/>
  <c r="I79" i="79"/>
  <c r="F79" i="79"/>
  <c r="E79" i="79"/>
  <c r="D79" i="79"/>
  <c r="I78" i="79"/>
  <c r="F78" i="79"/>
  <c r="E78" i="79"/>
  <c r="D78" i="79"/>
  <c r="I77" i="79"/>
  <c r="F77" i="79"/>
  <c r="E77" i="79"/>
  <c r="D77" i="79"/>
  <c r="K76" i="79"/>
  <c r="J76" i="79"/>
  <c r="I64" i="79"/>
  <c r="H65" i="75" s="1"/>
  <c r="H64" i="79"/>
  <c r="G65" i="75" s="1"/>
  <c r="G64" i="79"/>
  <c r="F65" i="75" s="1"/>
  <c r="F64" i="79"/>
  <c r="E65" i="75" s="1"/>
  <c r="E64" i="79"/>
  <c r="D65" i="75" s="1"/>
  <c r="I63" i="79"/>
  <c r="H62" i="75" s="1"/>
  <c r="H63" i="79"/>
  <c r="G62" i="75" s="1"/>
  <c r="G63" i="79"/>
  <c r="F62" i="75" s="1"/>
  <c r="F63" i="79"/>
  <c r="E62" i="75" s="1"/>
  <c r="E63" i="79"/>
  <c r="D62" i="75" s="1"/>
  <c r="I62" i="79"/>
  <c r="H59" i="75" s="1"/>
  <c r="H62" i="79"/>
  <c r="G59" i="75" s="1"/>
  <c r="G62" i="79"/>
  <c r="F59" i="75" s="1"/>
  <c r="F62" i="79"/>
  <c r="E59" i="75" s="1"/>
  <c r="E62" i="79"/>
  <c r="D59" i="75" s="1"/>
  <c r="I61" i="79"/>
  <c r="H56" i="75" s="1"/>
  <c r="H61" i="79"/>
  <c r="G56" i="75" s="1"/>
  <c r="G61" i="79"/>
  <c r="F56" i="75" s="1"/>
  <c r="F61" i="79"/>
  <c r="E56" i="75" s="1"/>
  <c r="E61" i="79"/>
  <c r="D56" i="75" s="1"/>
  <c r="I54" i="79"/>
  <c r="E54" i="79"/>
  <c r="I53" i="79"/>
  <c r="E53" i="79"/>
  <c r="I52" i="79"/>
  <c r="E52" i="79"/>
  <c r="D50" i="79"/>
  <c r="D41" i="79"/>
  <c r="D33" i="79"/>
  <c r="L29" i="79"/>
  <c r="L27" i="79"/>
  <c r="H26" i="79"/>
  <c r="G26" i="79"/>
  <c r="E26" i="79"/>
  <c r="L25" i="79"/>
  <c r="G25" i="79"/>
  <c r="F25" i="79" s="1"/>
  <c r="L28" i="79" s="1"/>
  <c r="E25" i="79"/>
  <c r="D66" i="75" s="1"/>
  <c r="G24" i="79"/>
  <c r="F24" i="79"/>
  <c r="L26" i="79" s="1"/>
  <c r="E24" i="79"/>
  <c r="D63" i="75" s="1"/>
  <c r="L23" i="79"/>
  <c r="H23" i="79"/>
  <c r="G23" i="79"/>
  <c r="E23" i="79"/>
  <c r="G22" i="79"/>
  <c r="E22" i="79"/>
  <c r="L21" i="79"/>
  <c r="G21" i="79"/>
  <c r="F20" i="75" s="1"/>
  <c r="E21" i="79"/>
  <c r="B728" i="78"/>
  <c r="B716" i="78"/>
  <c r="L698" i="78"/>
  <c r="M697" i="78" s="1"/>
  <c r="K697" i="78" s="1"/>
  <c r="G698" i="78"/>
  <c r="G697" i="78" s="1"/>
  <c r="B698" i="78"/>
  <c r="L695" i="78"/>
  <c r="G695" i="78"/>
  <c r="B695" i="78"/>
  <c r="L694" i="78"/>
  <c r="G694" i="78"/>
  <c r="B694" i="78"/>
  <c r="L693" i="78"/>
  <c r="G693" i="78"/>
  <c r="B693" i="78"/>
  <c r="L690" i="78"/>
  <c r="G690" i="78"/>
  <c r="B690" i="78"/>
  <c r="L689" i="78"/>
  <c r="G689" i="78"/>
  <c r="G688" i="78" s="1"/>
  <c r="B689" i="78"/>
  <c r="M688" i="78"/>
  <c r="L686" i="78"/>
  <c r="G686" i="78"/>
  <c r="B686" i="78"/>
  <c r="L685" i="78"/>
  <c r="M684" i="78" s="1"/>
  <c r="G685" i="78"/>
  <c r="B685" i="78"/>
  <c r="L682" i="78"/>
  <c r="M681" i="78" s="1"/>
  <c r="G682" i="78"/>
  <c r="G681" i="78" s="1"/>
  <c r="B682" i="78"/>
  <c r="L679" i="78"/>
  <c r="M678" i="78" s="1"/>
  <c r="G679" i="78"/>
  <c r="H678" i="78" s="1"/>
  <c r="B679" i="78"/>
  <c r="L676" i="78"/>
  <c r="G676" i="78"/>
  <c r="G674" i="78" s="1"/>
  <c r="B676" i="78"/>
  <c r="L675" i="78"/>
  <c r="G675" i="78"/>
  <c r="B675" i="78"/>
  <c r="L672" i="78"/>
  <c r="G672" i="78"/>
  <c r="B672" i="78"/>
  <c r="L671" i="78"/>
  <c r="G671" i="78"/>
  <c r="B671" i="78"/>
  <c r="N670" i="78"/>
  <c r="I670" i="78"/>
  <c r="H670" i="78" s="1"/>
  <c r="G670" i="78" s="1"/>
  <c r="L636" i="78"/>
  <c r="M371" i="79" s="1"/>
  <c r="G636" i="78"/>
  <c r="M370" i="79" s="1"/>
  <c r="B636" i="78"/>
  <c r="L635" i="78"/>
  <c r="G635" i="78"/>
  <c r="M346" i="79" s="1"/>
  <c r="B635" i="78"/>
  <c r="L634" i="78"/>
  <c r="M323" i="79" s="1"/>
  <c r="G634" i="78"/>
  <c r="G633" i="78" s="1"/>
  <c r="B634" i="78"/>
  <c r="L631" i="78"/>
  <c r="G631" i="78"/>
  <c r="B631" i="78"/>
  <c r="L630" i="78"/>
  <c r="M190" i="79" s="1"/>
  <c r="G630" i="78"/>
  <c r="G629" i="78" s="1"/>
  <c r="B630" i="78"/>
  <c r="L627" i="78"/>
  <c r="G627" i="78"/>
  <c r="B627" i="78"/>
  <c r="L626" i="78"/>
  <c r="G626" i="78"/>
  <c r="B626" i="78"/>
  <c r="L625" i="78"/>
  <c r="G625" i="78"/>
  <c r="F191" i="79" s="1"/>
  <c r="B625" i="78"/>
  <c r="L622" i="78"/>
  <c r="M198" i="79" s="1"/>
  <c r="G622" i="78"/>
  <c r="F198" i="79" s="1"/>
  <c r="B622" i="78"/>
  <c r="L621" i="78"/>
  <c r="G621" i="78"/>
  <c r="B621" i="78"/>
  <c r="L618" i="78"/>
  <c r="M197" i="79" s="1"/>
  <c r="G618" i="78"/>
  <c r="F197" i="79" s="1"/>
  <c r="B618" i="78"/>
  <c r="L617" i="78"/>
  <c r="G617" i="78"/>
  <c r="B617" i="78"/>
  <c r="L614" i="78"/>
  <c r="M196" i="79" s="1"/>
  <c r="G614" i="78"/>
  <c r="F196" i="79" s="1"/>
  <c r="B614" i="78"/>
  <c r="L613" i="78"/>
  <c r="L612" i="78" s="1"/>
  <c r="G613" i="78"/>
  <c r="B613" i="78"/>
  <c r="L610" i="78"/>
  <c r="L64" i="79" s="1"/>
  <c r="G610" i="78"/>
  <c r="L62" i="79" s="1"/>
  <c r="AF20" i="80" s="1"/>
  <c r="B610" i="78"/>
  <c r="L609" i="78"/>
  <c r="L63" i="79" s="1"/>
  <c r="G609" i="78"/>
  <c r="L61" i="79" s="1"/>
  <c r="B609" i="78"/>
  <c r="L608" i="78"/>
  <c r="G608" i="78"/>
  <c r="B608" i="78"/>
  <c r="L607" i="78"/>
  <c r="G607" i="78"/>
  <c r="B607" i="78"/>
  <c r="L606" i="78"/>
  <c r="G606" i="78"/>
  <c r="B606" i="78"/>
  <c r="L605" i="78"/>
  <c r="G605" i="78"/>
  <c r="J21" i="79" s="1"/>
  <c r="B605" i="78"/>
  <c r="N604" i="78"/>
  <c r="I604" i="78"/>
  <c r="I572" i="78"/>
  <c r="I570" i="78"/>
  <c r="N565" i="78"/>
  <c r="M565" i="78"/>
  <c r="L565" i="78"/>
  <c r="K565" i="78"/>
  <c r="J565" i="78"/>
  <c r="I565" i="78"/>
  <c r="H565" i="78"/>
  <c r="G565" i="78"/>
  <c r="F565" i="78"/>
  <c r="E565" i="78"/>
  <c r="O564" i="78"/>
  <c r="F364" i="79" s="1"/>
  <c r="B564" i="78"/>
  <c r="O563" i="78"/>
  <c r="F363" i="79" s="1"/>
  <c r="B563" i="78"/>
  <c r="N558" i="78"/>
  <c r="M558" i="78"/>
  <c r="L558" i="78"/>
  <c r="K558" i="78"/>
  <c r="J558" i="78"/>
  <c r="I558" i="78"/>
  <c r="H558" i="78"/>
  <c r="G558" i="78"/>
  <c r="F558" i="78"/>
  <c r="E558" i="78"/>
  <c r="O557" i="78"/>
  <c r="F340" i="79" s="1"/>
  <c r="B557" i="78"/>
  <c r="O556" i="78"/>
  <c r="F339" i="79" s="1"/>
  <c r="B556" i="78"/>
  <c r="N550" i="78"/>
  <c r="M550" i="78"/>
  <c r="L550" i="78"/>
  <c r="K550" i="78"/>
  <c r="J550" i="78"/>
  <c r="I550" i="78"/>
  <c r="H550" i="78"/>
  <c r="G550" i="78"/>
  <c r="F550" i="78"/>
  <c r="E550" i="78"/>
  <c r="O549" i="78"/>
  <c r="F316" i="79" s="1"/>
  <c r="B549" i="78"/>
  <c r="O548" i="78"/>
  <c r="F315" i="79" s="1"/>
  <c r="B548" i="78"/>
  <c r="N538" i="78"/>
  <c r="M538" i="78"/>
  <c r="L538" i="78"/>
  <c r="K538" i="78"/>
  <c r="J538" i="78"/>
  <c r="I538" i="78"/>
  <c r="H538" i="78"/>
  <c r="G538" i="78"/>
  <c r="F538" i="78"/>
  <c r="E538" i="78"/>
  <c r="O537" i="78"/>
  <c r="E364" i="79" s="1"/>
  <c r="B537" i="78"/>
  <c r="O536" i="78"/>
  <c r="E363" i="79" s="1"/>
  <c r="B536" i="78"/>
  <c r="N531" i="78"/>
  <c r="M531" i="78"/>
  <c r="L531" i="78"/>
  <c r="K531" i="78"/>
  <c r="J531" i="78"/>
  <c r="I531" i="78"/>
  <c r="H531" i="78"/>
  <c r="G531" i="78"/>
  <c r="F531" i="78"/>
  <c r="E531" i="78"/>
  <c r="O530" i="78"/>
  <c r="E340" i="79" s="1"/>
  <c r="B530" i="78"/>
  <c r="O529" i="78"/>
  <c r="E339" i="79" s="1"/>
  <c r="B529" i="78"/>
  <c r="N523" i="78"/>
  <c r="M523" i="78"/>
  <c r="L523" i="78"/>
  <c r="K523" i="78"/>
  <c r="J523" i="78"/>
  <c r="I523" i="78"/>
  <c r="H523" i="78"/>
  <c r="G523" i="78"/>
  <c r="F523" i="78"/>
  <c r="E523" i="78"/>
  <c r="O522" i="78"/>
  <c r="E316" i="79" s="1"/>
  <c r="B522" i="78"/>
  <c r="O521" i="78"/>
  <c r="E315" i="79" s="1"/>
  <c r="B521" i="78"/>
  <c r="I499" i="78"/>
  <c r="I497" i="78"/>
  <c r="K14" i="78" s="1"/>
  <c r="O492" i="78"/>
  <c r="B492" i="78"/>
  <c r="O491" i="78"/>
  <c r="B491" i="78"/>
  <c r="O490" i="78"/>
  <c r="B490" i="78"/>
  <c r="O489" i="78"/>
  <c r="B489" i="78"/>
  <c r="O488" i="78"/>
  <c r="B488" i="78"/>
  <c r="N487" i="78"/>
  <c r="N260" i="79" s="1"/>
  <c r="M487" i="78"/>
  <c r="M260" i="79" s="1"/>
  <c r="L487" i="78"/>
  <c r="L260" i="79" s="1"/>
  <c r="K487" i="78"/>
  <c r="K260" i="79" s="1"/>
  <c r="J487" i="78"/>
  <c r="J260" i="79" s="1"/>
  <c r="I487" i="78"/>
  <c r="I260" i="79" s="1"/>
  <c r="H487" i="78"/>
  <c r="H260" i="79" s="1"/>
  <c r="G487" i="78"/>
  <c r="G260" i="79" s="1"/>
  <c r="F487" i="78"/>
  <c r="F260" i="79" s="1"/>
  <c r="E487" i="78"/>
  <c r="E260" i="79" s="1"/>
  <c r="O486" i="78"/>
  <c r="B486" i="78"/>
  <c r="O485" i="78"/>
  <c r="B485" i="78"/>
  <c r="O484" i="78"/>
  <c r="B484" i="78"/>
  <c r="O483" i="78"/>
  <c r="B483" i="78"/>
  <c r="O482" i="78"/>
  <c r="B482" i="78"/>
  <c r="N481" i="78"/>
  <c r="N259" i="79" s="1"/>
  <c r="M481" i="78"/>
  <c r="M259" i="79" s="1"/>
  <c r="L481" i="78"/>
  <c r="L259" i="79" s="1"/>
  <c r="K481" i="78"/>
  <c r="K259" i="79" s="1"/>
  <c r="J481" i="78"/>
  <c r="J259" i="79" s="1"/>
  <c r="I481" i="78"/>
  <c r="I259" i="79" s="1"/>
  <c r="H481" i="78"/>
  <c r="H259" i="79" s="1"/>
  <c r="G481" i="78"/>
  <c r="G259" i="79" s="1"/>
  <c r="F481" i="78"/>
  <c r="F259" i="79" s="1"/>
  <c r="E481" i="78"/>
  <c r="E259" i="79" s="1"/>
  <c r="O478" i="78"/>
  <c r="B478" i="78"/>
  <c r="O477" i="78"/>
  <c r="B477" i="78"/>
  <c r="O476" i="78"/>
  <c r="B476" i="78"/>
  <c r="O475" i="78"/>
  <c r="B475" i="78"/>
  <c r="O474" i="78"/>
  <c r="B474" i="78"/>
  <c r="O473" i="78"/>
  <c r="B473" i="78"/>
  <c r="N472" i="78"/>
  <c r="M472" i="78"/>
  <c r="M258" i="79" s="1"/>
  <c r="L472" i="78"/>
  <c r="K472" i="78"/>
  <c r="K258" i="79" s="1"/>
  <c r="J472" i="78"/>
  <c r="I472" i="78"/>
  <c r="I258" i="79" s="1"/>
  <c r="H472" i="78"/>
  <c r="G472" i="78"/>
  <c r="G258" i="79" s="1"/>
  <c r="F472" i="78"/>
  <c r="E472" i="78"/>
  <c r="E258" i="79" s="1"/>
  <c r="O470" i="78"/>
  <c r="B470" i="78"/>
  <c r="O469" i="78"/>
  <c r="B469" i="78"/>
  <c r="O468" i="78"/>
  <c r="B468" i="78"/>
  <c r="O467" i="78"/>
  <c r="B467" i="78"/>
  <c r="O466" i="78"/>
  <c r="B466" i="78"/>
  <c r="O465" i="78"/>
  <c r="B465" i="78"/>
  <c r="N464" i="78"/>
  <c r="N257" i="79" s="1"/>
  <c r="M464" i="78"/>
  <c r="M257" i="79" s="1"/>
  <c r="L464" i="78"/>
  <c r="L257" i="79" s="1"/>
  <c r="K464" i="78"/>
  <c r="K257" i="79" s="1"/>
  <c r="J464" i="78"/>
  <c r="J257" i="79" s="1"/>
  <c r="I464" i="78"/>
  <c r="I257" i="79" s="1"/>
  <c r="H464" i="78"/>
  <c r="H257" i="79" s="1"/>
  <c r="G464" i="78"/>
  <c r="G257" i="79" s="1"/>
  <c r="F464" i="78"/>
  <c r="F257" i="79" s="1"/>
  <c r="E464" i="78"/>
  <c r="E257" i="79" s="1"/>
  <c r="O463" i="78"/>
  <c r="B463" i="78"/>
  <c r="O462" i="78"/>
  <c r="B462" i="78"/>
  <c r="O461" i="78"/>
  <c r="B461" i="78"/>
  <c r="O460" i="78"/>
  <c r="B460" i="78"/>
  <c r="O459" i="78"/>
  <c r="B459" i="78"/>
  <c r="O458" i="78"/>
  <c r="B458" i="78"/>
  <c r="N457" i="78"/>
  <c r="N256" i="79" s="1"/>
  <c r="M457" i="78"/>
  <c r="M256" i="79" s="1"/>
  <c r="L457" i="78"/>
  <c r="L256" i="79" s="1"/>
  <c r="K457" i="78"/>
  <c r="K256" i="79" s="1"/>
  <c r="J457" i="78"/>
  <c r="J256" i="79" s="1"/>
  <c r="I457" i="78"/>
  <c r="I256" i="79" s="1"/>
  <c r="H457" i="78"/>
  <c r="H256" i="79" s="1"/>
  <c r="G457" i="78"/>
  <c r="G256" i="79" s="1"/>
  <c r="F457" i="78"/>
  <c r="F256" i="79" s="1"/>
  <c r="E457" i="78"/>
  <c r="E256" i="79" s="1"/>
  <c r="N456" i="78"/>
  <c r="N547" i="78" s="1"/>
  <c r="J456" i="78"/>
  <c r="O447" i="78"/>
  <c r="B447" i="78"/>
  <c r="O446" i="78"/>
  <c r="B446" i="78"/>
  <c r="O445" i="78"/>
  <c r="B445" i="78"/>
  <c r="O444" i="78"/>
  <c r="B444" i="78"/>
  <c r="O443" i="78"/>
  <c r="B443" i="78"/>
  <c r="N442" i="78"/>
  <c r="M442" i="78"/>
  <c r="L442" i="78"/>
  <c r="K442" i="78"/>
  <c r="J442" i="78"/>
  <c r="I442" i="78"/>
  <c r="H442" i="78"/>
  <c r="G442" i="78"/>
  <c r="F442" i="78"/>
  <c r="E442" i="78"/>
  <c r="O441" i="78"/>
  <c r="B441" i="78"/>
  <c r="O440" i="78"/>
  <c r="B440" i="78"/>
  <c r="O439" i="78"/>
  <c r="B439" i="78"/>
  <c r="O438" i="78"/>
  <c r="B438" i="78"/>
  <c r="O437" i="78"/>
  <c r="B437" i="78"/>
  <c r="N436" i="78"/>
  <c r="N435" i="78" s="1"/>
  <c r="N535" i="78" s="1"/>
  <c r="N539" i="78" s="1"/>
  <c r="M436" i="78"/>
  <c r="L436" i="78"/>
  <c r="L435" i="78" s="1"/>
  <c r="L535" i="78" s="1"/>
  <c r="L539" i="78" s="1"/>
  <c r="K436" i="78"/>
  <c r="K435" i="78" s="1"/>
  <c r="K535" i="78" s="1"/>
  <c r="K539" i="78" s="1"/>
  <c r="J436" i="78"/>
  <c r="J435" i="78" s="1"/>
  <c r="J535" i="78" s="1"/>
  <c r="J539" i="78" s="1"/>
  <c r="I436" i="78"/>
  <c r="H436" i="78"/>
  <c r="H435" i="78" s="1"/>
  <c r="H535" i="78" s="1"/>
  <c r="H539" i="78" s="1"/>
  <c r="G436" i="78"/>
  <c r="F436" i="78"/>
  <c r="E436" i="78"/>
  <c r="O433" i="78"/>
  <c r="B433" i="78"/>
  <c r="O432" i="78"/>
  <c r="B432" i="78"/>
  <c r="O431" i="78"/>
  <c r="B431" i="78"/>
  <c r="O430" i="78"/>
  <c r="B430" i="78"/>
  <c r="O429" i="78"/>
  <c r="M286" i="79" s="1"/>
  <c r="K233" i="75" s="1"/>
  <c r="B429" i="78"/>
  <c r="O428" i="78"/>
  <c r="B428" i="78"/>
  <c r="N427" i="78"/>
  <c r="N527" i="78" s="1"/>
  <c r="M427" i="78"/>
  <c r="M527" i="78" s="1"/>
  <c r="L427" i="78"/>
  <c r="L527" i="78" s="1"/>
  <c r="K427" i="78"/>
  <c r="K527" i="78" s="1"/>
  <c r="J427" i="78"/>
  <c r="J527" i="78" s="1"/>
  <c r="I427" i="78"/>
  <c r="H427" i="78"/>
  <c r="H527" i="78" s="1"/>
  <c r="G427" i="78"/>
  <c r="G527" i="78" s="1"/>
  <c r="F427" i="78"/>
  <c r="F527" i="78" s="1"/>
  <c r="E427" i="78"/>
  <c r="E527" i="78" s="1"/>
  <c r="O425" i="78"/>
  <c r="B425" i="78"/>
  <c r="O424" i="78"/>
  <c r="B424" i="78"/>
  <c r="O423" i="78"/>
  <c r="B423" i="78"/>
  <c r="O422" i="78"/>
  <c r="B422" i="78"/>
  <c r="O421" i="78"/>
  <c r="B421" i="78"/>
  <c r="O420" i="78"/>
  <c r="B420" i="78"/>
  <c r="N419" i="78"/>
  <c r="M419" i="78"/>
  <c r="L419" i="78"/>
  <c r="K419" i="78"/>
  <c r="J419" i="78"/>
  <c r="I419" i="78"/>
  <c r="H419" i="78"/>
  <c r="G419" i="78"/>
  <c r="F419" i="78"/>
  <c r="E419" i="78"/>
  <c r="O418" i="78"/>
  <c r="B418" i="78"/>
  <c r="O417" i="78"/>
  <c r="F301" i="79" s="1"/>
  <c r="B417" i="78"/>
  <c r="O416" i="78"/>
  <c r="B416" i="78"/>
  <c r="O415" i="78"/>
  <c r="M289" i="79" s="1"/>
  <c r="K236" i="75" s="1"/>
  <c r="B415" i="78"/>
  <c r="O414" i="78"/>
  <c r="B414" i="78"/>
  <c r="O413" i="78"/>
  <c r="B413" i="78"/>
  <c r="N412" i="78"/>
  <c r="M412" i="78"/>
  <c r="L412" i="78"/>
  <c r="L411" i="78" s="1"/>
  <c r="K412" i="78"/>
  <c r="K411" i="78" s="1"/>
  <c r="J412" i="78"/>
  <c r="I412" i="78"/>
  <c r="H412" i="78"/>
  <c r="G412" i="78"/>
  <c r="F412" i="78"/>
  <c r="E412" i="78"/>
  <c r="H411" i="78"/>
  <c r="I371" i="78"/>
  <c r="N13" i="78" s="1"/>
  <c r="I369" i="78"/>
  <c r="K13" i="78" s="1"/>
  <c r="F365" i="78"/>
  <c r="E255" i="79" s="1"/>
  <c r="O363" i="78"/>
  <c r="H363" i="78"/>
  <c r="B361" i="78"/>
  <c r="F355" i="78"/>
  <c r="O353" i="78"/>
  <c r="H353" i="78"/>
  <c r="B351" i="78"/>
  <c r="O338" i="78" s="1"/>
  <c r="I13" i="78" s="1"/>
  <c r="I330" i="78"/>
  <c r="I328" i="78"/>
  <c r="K12" i="78" s="1"/>
  <c r="B316" i="78"/>
  <c r="B315" i="78"/>
  <c r="B314" i="78"/>
  <c r="B313" i="78"/>
  <c r="B312" i="78"/>
  <c r="L303" i="78"/>
  <c r="L302" i="78"/>
  <c r="B302" i="78"/>
  <c r="O295" i="78"/>
  <c r="I12" i="78" s="1"/>
  <c r="I287" i="78"/>
  <c r="N11" i="78" s="1"/>
  <c r="I285" i="78"/>
  <c r="B273" i="78"/>
  <c r="B272" i="78"/>
  <c r="B271" i="78"/>
  <c r="B270" i="78"/>
  <c r="B269" i="78"/>
  <c r="L259" i="78"/>
  <c r="L258" i="78"/>
  <c r="B258" i="78"/>
  <c r="O251" i="78"/>
  <c r="I11" i="78" s="1"/>
  <c r="I243" i="78"/>
  <c r="N10" i="78" s="1"/>
  <c r="I241" i="78"/>
  <c r="K10" i="78" s="1"/>
  <c r="B222" i="78"/>
  <c r="B221" i="78"/>
  <c r="B220" i="78"/>
  <c r="B201" i="78"/>
  <c r="B200" i="78"/>
  <c r="B199" i="78"/>
  <c r="L187" i="78"/>
  <c r="L186" i="78"/>
  <c r="B186" i="78"/>
  <c r="O179" i="78"/>
  <c r="I10" i="78" s="1"/>
  <c r="I171" i="78"/>
  <c r="N9" i="78" s="1"/>
  <c r="I169" i="78"/>
  <c r="K9" i="78" s="1"/>
  <c r="B157" i="78"/>
  <c r="O137" i="78"/>
  <c r="J64" i="79" s="1"/>
  <c r="I65" i="75" s="1"/>
  <c r="O128" i="78"/>
  <c r="J63" i="79" s="1"/>
  <c r="I62" i="75" s="1"/>
  <c r="H121" i="78"/>
  <c r="O120" i="78"/>
  <c r="I41" i="79" s="1"/>
  <c r="B120" i="78"/>
  <c r="O98" i="78"/>
  <c r="J62" i="79" s="1"/>
  <c r="I59" i="75" s="1"/>
  <c r="O89" i="78"/>
  <c r="J61" i="79" s="1"/>
  <c r="I56" i="75" s="1"/>
  <c r="H82" i="78"/>
  <c r="O81" i="78"/>
  <c r="I33" i="79" s="1"/>
  <c r="B81" i="78"/>
  <c r="G13" i="79"/>
  <c r="BY4" i="80" s="1"/>
  <c r="E53" i="78"/>
  <c r="H12" i="79" s="1"/>
  <c r="CC3" i="80" s="1"/>
  <c r="E51" i="78"/>
  <c r="E455" i="78" s="1"/>
  <c r="F455" i="78" s="1"/>
  <c r="G455" i="78" s="1"/>
  <c r="H455" i="78" s="1"/>
  <c r="I455" i="78" s="1"/>
  <c r="J455" i="78" s="1"/>
  <c r="K455" i="78" s="1"/>
  <c r="L455" i="78" s="1"/>
  <c r="M455" i="78" s="1"/>
  <c r="N455" i="78" s="1"/>
  <c r="N40" i="78"/>
  <c r="L39" i="78"/>
  <c r="J38" i="78"/>
  <c r="L37" i="78"/>
  <c r="N35" i="78"/>
  <c r="M35" i="78"/>
  <c r="L35" i="78"/>
  <c r="J35" i="78"/>
  <c r="H35" i="78"/>
  <c r="F35" i="78"/>
  <c r="D35" i="78"/>
  <c r="D30" i="78"/>
  <c r="G9" i="79" s="1"/>
  <c r="C4" i="80" s="1"/>
  <c r="D29" i="78"/>
  <c r="N18" i="78"/>
  <c r="K18" i="78"/>
  <c r="I18" i="78"/>
  <c r="N17" i="78"/>
  <c r="K17" i="78"/>
  <c r="N16" i="78"/>
  <c r="K16" i="78"/>
  <c r="N15" i="78"/>
  <c r="K15" i="78"/>
  <c r="N14" i="78"/>
  <c r="N12" i="78"/>
  <c r="K11" i="78"/>
  <c r="N8" i="78"/>
  <c r="K8" i="78"/>
  <c r="J30" i="82" l="1"/>
  <c r="M282" i="79"/>
  <c r="K229" i="75" s="1"/>
  <c r="L95" i="79"/>
  <c r="J299" i="79"/>
  <c r="O550" i="78"/>
  <c r="F317" i="79" s="1"/>
  <c r="E325" i="79" s="1"/>
  <c r="F21" i="75"/>
  <c r="L92" i="79"/>
  <c r="BY34" i="80" s="1"/>
  <c r="F620" i="81"/>
  <c r="O192" i="82"/>
  <c r="F205" i="82"/>
  <c r="L638" i="81"/>
  <c r="N61" i="82"/>
  <c r="M74" i="75" s="1"/>
  <c r="E309" i="75"/>
  <c r="L93" i="79"/>
  <c r="BY35" i="80" s="1"/>
  <c r="I144" i="79"/>
  <c r="F692" i="81"/>
  <c r="N183" i="82"/>
  <c r="M173" i="75" s="1"/>
  <c r="E395" i="82"/>
  <c r="N395" i="82" s="1"/>
  <c r="N278" i="75" s="1"/>
  <c r="H449" i="81"/>
  <c r="B98" i="78"/>
  <c r="J303" i="79"/>
  <c r="O558" i="78"/>
  <c r="O565" i="78"/>
  <c r="F365" i="79" s="1"/>
  <c r="E373" i="79" s="1"/>
  <c r="K183" i="82"/>
  <c r="J173" i="75" s="1"/>
  <c r="H480" i="78"/>
  <c r="H562" i="78" s="1"/>
  <c r="H566" i="78" s="1"/>
  <c r="F204" i="82"/>
  <c r="J183" i="82"/>
  <c r="I173" i="75" s="1"/>
  <c r="F435" i="78"/>
  <c r="F535" i="78" s="1"/>
  <c r="F539" i="78" s="1"/>
  <c r="G301" i="79"/>
  <c r="H301" i="79" s="1"/>
  <c r="J480" i="78"/>
  <c r="J562" i="78" s="1"/>
  <c r="J566" i="78" s="1"/>
  <c r="G684" i="78"/>
  <c r="G183" i="82"/>
  <c r="F173" i="75" s="1"/>
  <c r="G435" i="78"/>
  <c r="G535" i="78" s="1"/>
  <c r="G539" i="78" s="1"/>
  <c r="L480" i="78"/>
  <c r="L562" i="78" s="1"/>
  <c r="L566" i="78" s="1"/>
  <c r="L94" i="79"/>
  <c r="BY36" i="80" s="1"/>
  <c r="H700" i="81"/>
  <c r="L390" i="82" s="1"/>
  <c r="F183" i="82"/>
  <c r="E173" i="75" s="1"/>
  <c r="F203" i="82"/>
  <c r="O531" i="78"/>
  <c r="E341" i="79" s="1"/>
  <c r="J24" i="79"/>
  <c r="I94" i="79"/>
  <c r="BS36" i="80" s="1"/>
  <c r="M67" i="81"/>
  <c r="L700" i="81"/>
  <c r="J208" i="82"/>
  <c r="H201" i="82"/>
  <c r="J201" i="82"/>
  <c r="AZ61" i="84"/>
  <c r="G638" i="81"/>
  <c r="AZ59" i="84"/>
  <c r="L224" i="82"/>
  <c r="L223" i="82"/>
  <c r="F405" i="75"/>
  <c r="M178" i="75"/>
  <c r="H203" i="82"/>
  <c r="L222" i="82"/>
  <c r="X12" i="84"/>
  <c r="H23" i="75"/>
  <c r="L67" i="81"/>
  <c r="O76" i="82"/>
  <c r="AX29" i="84" s="1"/>
  <c r="O91" i="82"/>
  <c r="CA29" i="84" s="1"/>
  <c r="M692" i="78"/>
  <c r="H674" i="78"/>
  <c r="M674" i="78"/>
  <c r="F392" i="79" s="1"/>
  <c r="L678" i="78"/>
  <c r="L681" i="78"/>
  <c r="L624" i="78"/>
  <c r="G620" i="78"/>
  <c r="J22" i="79"/>
  <c r="M604" i="78"/>
  <c r="K604" i="78" s="1"/>
  <c r="J25" i="79"/>
  <c r="J29" i="79" s="1"/>
  <c r="O375" i="78"/>
  <c r="I14" i="78" s="1"/>
  <c r="F456" i="78"/>
  <c r="F547" i="78" s="1"/>
  <c r="F551" i="78" s="1"/>
  <c r="G299" i="79"/>
  <c r="G303" i="79"/>
  <c r="I301" i="79"/>
  <c r="F299" i="79"/>
  <c r="F303" i="79"/>
  <c r="I93" i="79"/>
  <c r="BS35" i="80" s="1"/>
  <c r="B100" i="78"/>
  <c r="M61" i="79"/>
  <c r="E46" i="79"/>
  <c r="BG15" i="80" s="1"/>
  <c r="E44" i="79"/>
  <c r="BH19" i="80" s="1"/>
  <c r="E36" i="79"/>
  <c r="AK19" i="80" s="1"/>
  <c r="O71" i="79"/>
  <c r="U29" i="80" s="1"/>
  <c r="L148" i="79"/>
  <c r="AJ46" i="80" s="1"/>
  <c r="L117" i="79"/>
  <c r="E38" i="79"/>
  <c r="AJ15" i="80" s="1"/>
  <c r="J28" i="79"/>
  <c r="F207" i="79"/>
  <c r="M299" i="79" s="1"/>
  <c r="F209" i="79"/>
  <c r="M303" i="79" s="1"/>
  <c r="E342" i="75"/>
  <c r="E373" i="75"/>
  <c r="F23" i="79"/>
  <c r="L32" i="79" s="1"/>
  <c r="F208" i="79"/>
  <c r="M301" i="79" s="1"/>
  <c r="N370" i="79"/>
  <c r="F21" i="79"/>
  <c r="L22" i="79" s="1"/>
  <c r="L56" i="75"/>
  <c r="E310" i="75"/>
  <c r="BB16" i="80"/>
  <c r="M63" i="79"/>
  <c r="L62" i="75" s="1"/>
  <c r="F22" i="75"/>
  <c r="G22" i="75"/>
  <c r="K94" i="79"/>
  <c r="BZ36" i="80" s="1"/>
  <c r="H38" i="78"/>
  <c r="H37" i="78"/>
  <c r="J37" i="78"/>
  <c r="N37" i="78"/>
  <c r="F37" i="78"/>
  <c r="D22" i="75"/>
  <c r="O22" i="75" s="1"/>
  <c r="G392" i="79"/>
  <c r="K678" i="78"/>
  <c r="M620" i="78"/>
  <c r="H624" i="78"/>
  <c r="I402" i="79" s="1"/>
  <c r="M629" i="78"/>
  <c r="M633" i="78"/>
  <c r="K404" i="79" s="1"/>
  <c r="O646" i="78"/>
  <c r="I17" i="78" s="1"/>
  <c r="H692" i="78"/>
  <c r="L692" i="78"/>
  <c r="H697" i="78"/>
  <c r="F697" i="78" s="1"/>
  <c r="M616" i="78"/>
  <c r="K616" i="78" s="1"/>
  <c r="L620" i="78"/>
  <c r="H681" i="78"/>
  <c r="H684" i="78"/>
  <c r="L684" i="78"/>
  <c r="H688" i="78"/>
  <c r="L688" i="78"/>
  <c r="L697" i="78"/>
  <c r="L674" i="78"/>
  <c r="G692" i="78"/>
  <c r="K92" i="79"/>
  <c r="BZ34" i="80" s="1"/>
  <c r="F26" i="79"/>
  <c r="L30" i="79" s="1"/>
  <c r="BB20" i="80"/>
  <c r="AF16" i="80"/>
  <c r="L449" i="78"/>
  <c r="J411" i="78"/>
  <c r="J449" i="78" s="1"/>
  <c r="O507" i="78"/>
  <c r="I15" i="78" s="1"/>
  <c r="O523" i="78"/>
  <c r="E317" i="79" s="1"/>
  <c r="E311" i="75" s="1"/>
  <c r="G612" i="78"/>
  <c r="AU65" i="80"/>
  <c r="D154" i="75"/>
  <c r="E154" i="75" s="1"/>
  <c r="F154" i="75" s="1"/>
  <c r="G154" i="75" s="1"/>
  <c r="H154" i="75" s="1"/>
  <c r="I154" i="75" s="1"/>
  <c r="J154" i="75" s="1"/>
  <c r="K154" i="75" s="1"/>
  <c r="L154" i="75" s="1"/>
  <c r="M154" i="75" s="1"/>
  <c r="AU63" i="80"/>
  <c r="D153" i="75"/>
  <c r="O412" i="78"/>
  <c r="O442" i="78"/>
  <c r="G261" i="79"/>
  <c r="K261" i="79"/>
  <c r="F480" i="78"/>
  <c r="F562" i="78" s="1"/>
  <c r="F566" i="78" s="1"/>
  <c r="N480" i="78"/>
  <c r="N562" i="78" s="1"/>
  <c r="N566" i="78" s="1"/>
  <c r="H612" i="78"/>
  <c r="AU59" i="80"/>
  <c r="D152" i="75"/>
  <c r="E152" i="75" s="1"/>
  <c r="F152" i="75" s="1"/>
  <c r="G152" i="75" s="1"/>
  <c r="H152" i="75" s="1"/>
  <c r="I152" i="75" s="1"/>
  <c r="J152" i="75" s="1"/>
  <c r="K152" i="75" s="1"/>
  <c r="L152" i="75" s="1"/>
  <c r="M152" i="75" s="1"/>
  <c r="E402" i="82"/>
  <c r="H449" i="78"/>
  <c r="F341" i="79"/>
  <c r="E344" i="75" s="1"/>
  <c r="M341" i="75" s="1"/>
  <c r="I299" i="79"/>
  <c r="K299" i="79" s="1"/>
  <c r="I303" i="79"/>
  <c r="K303" i="79" s="1"/>
  <c r="J301" i="79"/>
  <c r="K301" i="79" s="1"/>
  <c r="E343" i="75"/>
  <c r="E406" i="75" s="1"/>
  <c r="E372" i="75"/>
  <c r="E405" i="75" s="1"/>
  <c r="O580" i="78"/>
  <c r="I16" i="78" s="1"/>
  <c r="H604" i="78"/>
  <c r="E402" i="79" s="1"/>
  <c r="G532" i="81"/>
  <c r="N169" i="75"/>
  <c r="F22" i="79"/>
  <c r="L24" i="79" s="1"/>
  <c r="I24" i="82"/>
  <c r="D57" i="75"/>
  <c r="D20" i="75"/>
  <c r="O20" i="75" s="1"/>
  <c r="E28" i="79"/>
  <c r="I23" i="79" s="1"/>
  <c r="D60" i="75"/>
  <c r="D21" i="75"/>
  <c r="O21" i="75" s="1"/>
  <c r="E237" i="82"/>
  <c r="F237" i="82" s="1"/>
  <c r="G237" i="82" s="1"/>
  <c r="H237" i="82" s="1"/>
  <c r="I237" i="82" s="1"/>
  <c r="J237" i="82" s="1"/>
  <c r="K237" i="82" s="1"/>
  <c r="L237" i="82" s="1"/>
  <c r="M237" i="82" s="1"/>
  <c r="N237" i="82" s="1"/>
  <c r="I21" i="82"/>
  <c r="I26" i="82"/>
  <c r="I23" i="82"/>
  <c r="J207" i="82"/>
  <c r="I25" i="82"/>
  <c r="M353" i="75"/>
  <c r="L409" i="75" s="1"/>
  <c r="AU101" i="84"/>
  <c r="AU97" i="84"/>
  <c r="M321" i="75"/>
  <c r="K409" i="75" s="1"/>
  <c r="U101" i="84"/>
  <c r="U97" i="84"/>
  <c r="M278" i="75"/>
  <c r="Z114" i="84"/>
  <c r="Z303" i="82"/>
  <c r="F261" i="75"/>
  <c r="Z299" i="82"/>
  <c r="F259" i="75"/>
  <c r="L278" i="75"/>
  <c r="J114" i="84"/>
  <c r="J244" i="82"/>
  <c r="L449" i="81"/>
  <c r="F374" i="75"/>
  <c r="M373" i="75" s="1"/>
  <c r="M383" i="75"/>
  <c r="M408" i="75" s="1"/>
  <c r="BZ102" i="84"/>
  <c r="M320" i="75"/>
  <c r="K408" i="75" s="1"/>
  <c r="U102" i="84"/>
  <c r="M384" i="75"/>
  <c r="M409" i="75" s="1"/>
  <c r="CB97" i="84"/>
  <c r="BZ101" i="84"/>
  <c r="AZ67" i="84"/>
  <c r="AZ65" i="84"/>
  <c r="AZ63" i="84"/>
  <c r="Z301" i="82"/>
  <c r="F260" i="75"/>
  <c r="M352" i="75"/>
  <c r="L408" i="75" s="1"/>
  <c r="AU102" i="84"/>
  <c r="M318" i="82"/>
  <c r="N318" i="82" s="1"/>
  <c r="R102" i="84" s="1"/>
  <c r="X303" i="82"/>
  <c r="J254" i="75"/>
  <c r="X301" i="82"/>
  <c r="J252" i="75"/>
  <c r="H303" i="82"/>
  <c r="K244" i="82"/>
  <c r="K272" i="82" s="1"/>
  <c r="E346" i="82"/>
  <c r="X299" i="82"/>
  <c r="J250" i="75"/>
  <c r="E42" i="79"/>
  <c r="F39" i="78"/>
  <c r="E34" i="79"/>
  <c r="K77" i="79"/>
  <c r="AU34" i="80" s="1"/>
  <c r="J78" i="79"/>
  <c r="AS35" i="80" s="1"/>
  <c r="K79" i="79"/>
  <c r="AU36" i="80" s="1"/>
  <c r="J80" i="79"/>
  <c r="AS37" i="80" s="1"/>
  <c r="K81" i="79"/>
  <c r="AU38" i="80" s="1"/>
  <c r="I96" i="79"/>
  <c r="I111" i="79"/>
  <c r="I143" i="79"/>
  <c r="I146" i="79"/>
  <c r="J39" i="78"/>
  <c r="B128" i="78"/>
  <c r="I110" i="79"/>
  <c r="I114" i="79"/>
  <c r="M37" i="78"/>
  <c r="N38" i="78"/>
  <c r="M39" i="78"/>
  <c r="K80" i="79"/>
  <c r="AU37" i="80" s="1"/>
  <c r="I113" i="79"/>
  <c r="I141" i="79"/>
  <c r="I145" i="79"/>
  <c r="I115" i="79"/>
  <c r="K404" i="82"/>
  <c r="K633" i="81"/>
  <c r="F390" i="82"/>
  <c r="F674" i="81"/>
  <c r="D248" i="82"/>
  <c r="Z78" i="84" s="1"/>
  <c r="O527" i="81"/>
  <c r="E337" i="82" s="1"/>
  <c r="O261" i="82"/>
  <c r="F535" i="81"/>
  <c r="O435" i="81"/>
  <c r="O183" i="82"/>
  <c r="N520" i="81"/>
  <c r="N449" i="81"/>
  <c r="E404" i="82"/>
  <c r="M638" i="81"/>
  <c r="L604" i="81"/>
  <c r="E407" i="82" s="1"/>
  <c r="K604" i="81"/>
  <c r="H265" i="82"/>
  <c r="K547" i="81"/>
  <c r="K494" i="81"/>
  <c r="O243" i="82"/>
  <c r="M520" i="81"/>
  <c r="M449" i="81"/>
  <c r="E551" i="81"/>
  <c r="E555" i="81"/>
  <c r="O182" i="82"/>
  <c r="F180" i="82"/>
  <c r="N547" i="81"/>
  <c r="N494" i="81"/>
  <c r="O184" i="82"/>
  <c r="H301" i="82"/>
  <c r="M244" i="82"/>
  <c r="M272" i="82" s="1"/>
  <c r="O239" i="82"/>
  <c r="E244" i="82"/>
  <c r="O480" i="81"/>
  <c r="D265" i="82"/>
  <c r="BE78" i="84" s="1"/>
  <c r="I404" i="82"/>
  <c r="K624" i="81"/>
  <c r="L547" i="81"/>
  <c r="L494" i="81"/>
  <c r="J520" i="81"/>
  <c r="J449" i="81"/>
  <c r="E406" i="82"/>
  <c r="G547" i="81"/>
  <c r="G494" i="81"/>
  <c r="J272" i="82"/>
  <c r="I520" i="81"/>
  <c r="I449" i="81"/>
  <c r="L244" i="82"/>
  <c r="L272" i="82" s="1"/>
  <c r="F238" i="82"/>
  <c r="G238" i="82" s="1"/>
  <c r="H238" i="82" s="1"/>
  <c r="I238" i="82" s="1"/>
  <c r="J238" i="82" s="1"/>
  <c r="K238" i="82" s="1"/>
  <c r="L238" i="82" s="1"/>
  <c r="M238" i="82" s="1"/>
  <c r="N238" i="82" s="1"/>
  <c r="J547" i="81"/>
  <c r="J494" i="81"/>
  <c r="O242" i="82"/>
  <c r="L392" i="82"/>
  <c r="M277" i="75" s="1"/>
  <c r="K700" i="81"/>
  <c r="E566" i="81"/>
  <c r="O566" i="81" s="1"/>
  <c r="F366" i="82" s="1"/>
  <c r="F373" i="82" s="1"/>
  <c r="O562" i="81"/>
  <c r="F362" i="82" s="1"/>
  <c r="E372" i="82" s="1"/>
  <c r="I551" i="81"/>
  <c r="I555" i="81"/>
  <c r="I559" i="81" s="1"/>
  <c r="O255" i="82"/>
  <c r="H524" i="81"/>
  <c r="H528" i="81"/>
  <c r="J404" i="82"/>
  <c r="K629" i="81"/>
  <c r="J402" i="82"/>
  <c r="F629" i="81"/>
  <c r="M265" i="82"/>
  <c r="H547" i="81"/>
  <c r="H494" i="81"/>
  <c r="V299" i="82"/>
  <c r="F520" i="81"/>
  <c r="F449" i="81"/>
  <c r="H638" i="81"/>
  <c r="H532" i="81"/>
  <c r="E520" i="81"/>
  <c r="E449" i="81"/>
  <c r="O411" i="81"/>
  <c r="M551" i="81"/>
  <c r="M555" i="81"/>
  <c r="M559" i="81" s="1"/>
  <c r="O258" i="82"/>
  <c r="F547" i="81"/>
  <c r="F494" i="81"/>
  <c r="O494" i="81" s="1"/>
  <c r="I244" i="82"/>
  <c r="I272" i="82" s="1"/>
  <c r="L528" i="81"/>
  <c r="L524" i="81"/>
  <c r="J202" i="82"/>
  <c r="G390" i="82"/>
  <c r="F678" i="81"/>
  <c r="K402" i="82"/>
  <c r="F633" i="81"/>
  <c r="F265" i="82"/>
  <c r="O241" i="82"/>
  <c r="G244" i="82"/>
  <c r="G272" i="82" s="1"/>
  <c r="O456" i="81"/>
  <c r="O185" i="82"/>
  <c r="L532" i="81"/>
  <c r="N244" i="82"/>
  <c r="N272" i="82" s="1"/>
  <c r="F244" i="82"/>
  <c r="F272" i="82" s="1"/>
  <c r="O240" i="82"/>
  <c r="H244" i="82"/>
  <c r="H272" i="82" s="1"/>
  <c r="O554" i="81"/>
  <c r="F337" i="82" s="1"/>
  <c r="E348" i="82" s="1"/>
  <c r="E559" i="81"/>
  <c r="O181" i="82"/>
  <c r="K528" i="81"/>
  <c r="K532" i="81" s="1"/>
  <c r="K524" i="81"/>
  <c r="N551" i="78"/>
  <c r="N555" i="78"/>
  <c r="G604" i="78"/>
  <c r="F604" i="78"/>
  <c r="K520" i="78"/>
  <c r="K449" i="78"/>
  <c r="J520" i="78"/>
  <c r="E322" i="79"/>
  <c r="E346" i="79"/>
  <c r="L38" i="78"/>
  <c r="G239" i="79"/>
  <c r="G181" i="79" s="1"/>
  <c r="F155" i="75" s="1"/>
  <c r="H240" i="79"/>
  <c r="H182" i="79" s="1"/>
  <c r="G156" i="75" s="1"/>
  <c r="I241" i="79"/>
  <c r="I183" i="79" s="1"/>
  <c r="H157" i="75" s="1"/>
  <c r="F38" i="78"/>
  <c r="M38" i="78"/>
  <c r="H39" i="78"/>
  <c r="N39" i="78"/>
  <c r="J40" i="78"/>
  <c r="B89" i="78"/>
  <c r="B137" i="78"/>
  <c r="E238" i="79"/>
  <c r="E180" i="79" s="1"/>
  <c r="D151" i="75" s="1"/>
  <c r="F255" i="79"/>
  <c r="G255" i="79" s="1"/>
  <c r="H255" i="79" s="1"/>
  <c r="I255" i="79" s="1"/>
  <c r="J255" i="79" s="1"/>
  <c r="K255" i="79" s="1"/>
  <c r="L255" i="79" s="1"/>
  <c r="M255" i="79" s="1"/>
  <c r="N255" i="79" s="1"/>
  <c r="E410" i="78"/>
  <c r="G411" i="78"/>
  <c r="H239" i="79"/>
  <c r="H181" i="79" s="1"/>
  <c r="G155" i="75" s="1"/>
  <c r="L239" i="79"/>
  <c r="L181" i="79" s="1"/>
  <c r="K155" i="75" s="1"/>
  <c r="E240" i="79"/>
  <c r="E182" i="79" s="1"/>
  <c r="D156" i="75" s="1"/>
  <c r="I240" i="79"/>
  <c r="I182" i="79" s="1"/>
  <c r="H156" i="75" s="1"/>
  <c r="M240" i="79"/>
  <c r="M182" i="79" s="1"/>
  <c r="L156" i="75" s="1"/>
  <c r="F241" i="79"/>
  <c r="J241" i="79"/>
  <c r="N241" i="79"/>
  <c r="H242" i="79"/>
  <c r="H184" i="79" s="1"/>
  <c r="G158" i="75" s="1"/>
  <c r="L242" i="79"/>
  <c r="L184" i="79" s="1"/>
  <c r="K158" i="75" s="1"/>
  <c r="G243" i="79"/>
  <c r="G185" i="79" s="1"/>
  <c r="F159" i="75" s="1"/>
  <c r="K243" i="79"/>
  <c r="K185" i="79" s="1"/>
  <c r="J159" i="75" s="1"/>
  <c r="E456" i="78"/>
  <c r="I456" i="78"/>
  <c r="M456" i="78"/>
  <c r="O464" i="78"/>
  <c r="H258" i="79"/>
  <c r="H261" i="79" s="1"/>
  <c r="H554" i="78"/>
  <c r="L258" i="79"/>
  <c r="L554" i="78"/>
  <c r="E480" i="78"/>
  <c r="I480" i="78"/>
  <c r="I562" i="78" s="1"/>
  <c r="I566" i="78" s="1"/>
  <c r="M480" i="78"/>
  <c r="M562" i="78" s="1"/>
  <c r="M566" i="78" s="1"/>
  <c r="O260" i="79"/>
  <c r="H520" i="78"/>
  <c r="L520" i="78"/>
  <c r="E554" i="78"/>
  <c r="M554" i="78"/>
  <c r="M612" i="78"/>
  <c r="J209" i="79"/>
  <c r="K633" i="78"/>
  <c r="E390" i="79"/>
  <c r="F670" i="78"/>
  <c r="H700" i="78"/>
  <c r="K63" i="79"/>
  <c r="E239" i="79"/>
  <c r="E181" i="79" s="1"/>
  <c r="D155" i="75" s="1"/>
  <c r="I239" i="79"/>
  <c r="I181" i="79" s="1"/>
  <c r="H155" i="75" s="1"/>
  <c r="M239" i="79"/>
  <c r="M181" i="79" s="1"/>
  <c r="L155" i="75" s="1"/>
  <c r="F240" i="79"/>
  <c r="F182" i="79" s="1"/>
  <c r="E156" i="75" s="1"/>
  <c r="J240" i="79"/>
  <c r="J182" i="79" s="1"/>
  <c r="I156" i="75" s="1"/>
  <c r="N240" i="79"/>
  <c r="N182" i="79" s="1"/>
  <c r="M156" i="75"/>
  <c r="G241" i="79"/>
  <c r="G183" i="79" s="1"/>
  <c r="F157" i="75" s="1"/>
  <c r="K241" i="79"/>
  <c r="K183" i="79" s="1"/>
  <c r="J157" i="75" s="1"/>
  <c r="O427" i="78"/>
  <c r="E242" i="79"/>
  <c r="E184" i="79" s="1"/>
  <c r="D158" i="75" s="1"/>
  <c r="I242" i="79"/>
  <c r="I184" i="79" s="1"/>
  <c r="H158" i="75" s="1"/>
  <c r="M242" i="79"/>
  <c r="M184" i="79" s="1"/>
  <c r="L158" i="75" s="1"/>
  <c r="H243" i="79"/>
  <c r="H185" i="79" s="1"/>
  <c r="G159" i="75" s="1"/>
  <c r="L243" i="79"/>
  <c r="L185" i="79" s="1"/>
  <c r="K159" i="75" s="1"/>
  <c r="O457" i="78"/>
  <c r="O481" i="78"/>
  <c r="J547" i="78"/>
  <c r="G554" i="78"/>
  <c r="H616" i="78"/>
  <c r="M348" i="79"/>
  <c r="F193" i="79"/>
  <c r="M373" i="79"/>
  <c r="M194" i="79"/>
  <c r="F390" i="79"/>
  <c r="F674" i="78"/>
  <c r="H390" i="79"/>
  <c r="F681" i="78"/>
  <c r="H392" i="79"/>
  <c r="K681" i="78"/>
  <c r="I390" i="79"/>
  <c r="F684" i="78"/>
  <c r="J390" i="79"/>
  <c r="F688" i="78"/>
  <c r="K390" i="79"/>
  <c r="F692" i="78"/>
  <c r="K61" i="79"/>
  <c r="K64" i="79"/>
  <c r="L40" i="78"/>
  <c r="F40" i="78"/>
  <c r="M40" i="78"/>
  <c r="B91" i="78"/>
  <c r="B139" i="78"/>
  <c r="E411" i="78"/>
  <c r="I411" i="78"/>
  <c r="M411" i="78"/>
  <c r="F239" i="79"/>
  <c r="F181" i="79" s="1"/>
  <c r="E155" i="75" s="1"/>
  <c r="J239" i="79"/>
  <c r="J181" i="79" s="1"/>
  <c r="I155" i="75" s="1"/>
  <c r="N239" i="79"/>
  <c r="N181" i="79" s="1"/>
  <c r="M155" i="75" s="1"/>
  <c r="G240" i="79"/>
  <c r="G182" i="79" s="1"/>
  <c r="F156" i="75" s="1"/>
  <c r="K240" i="79"/>
  <c r="K182" i="79" s="1"/>
  <c r="J156" i="75" s="1"/>
  <c r="O419" i="78"/>
  <c r="H241" i="79"/>
  <c r="H183" i="79" s="1"/>
  <c r="G157" i="75" s="1"/>
  <c r="L241" i="79"/>
  <c r="L183" i="79" s="1"/>
  <c r="K157" i="75" s="1"/>
  <c r="E435" i="78"/>
  <c r="I435" i="78"/>
  <c r="I535" i="78" s="1"/>
  <c r="I539" i="78" s="1"/>
  <c r="M435" i="78"/>
  <c r="M535" i="78" s="1"/>
  <c r="M539" i="78" s="1"/>
  <c r="F242" i="79"/>
  <c r="F184" i="79" s="1"/>
  <c r="E158" i="75"/>
  <c r="J242" i="79"/>
  <c r="J184" i="79" s="1"/>
  <c r="I158" i="75" s="1"/>
  <c r="N242" i="79"/>
  <c r="N184" i="79" s="1"/>
  <c r="M158" i="75" s="1"/>
  <c r="E243" i="79"/>
  <c r="E185" i="79" s="1"/>
  <c r="D159" i="75" s="1"/>
  <c r="I243" i="79"/>
  <c r="I185" i="79" s="1"/>
  <c r="H159" i="75" s="1"/>
  <c r="M243" i="79"/>
  <c r="M185" i="79" s="1"/>
  <c r="L159" i="75" s="1"/>
  <c r="G456" i="78"/>
  <c r="K456" i="78"/>
  <c r="L261" i="79"/>
  <c r="O257" i="79"/>
  <c r="F258" i="79"/>
  <c r="F261" i="79" s="1"/>
  <c r="F554" i="78"/>
  <c r="J258" i="79"/>
  <c r="J261" i="79" s="1"/>
  <c r="J554" i="78"/>
  <c r="N258" i="79"/>
  <c r="N261" i="79" s="1"/>
  <c r="N554" i="78"/>
  <c r="G480" i="78"/>
  <c r="G562" i="78" s="1"/>
  <c r="G566" i="78" s="1"/>
  <c r="K480" i="78"/>
  <c r="K562" i="78" s="1"/>
  <c r="K566" i="78" s="1"/>
  <c r="O487" i="78"/>
  <c r="N494" i="78"/>
  <c r="I527" i="78"/>
  <c r="O538" i="78"/>
  <c r="E365" i="79" s="1"/>
  <c r="I554" i="78"/>
  <c r="L616" i="78"/>
  <c r="H620" i="78"/>
  <c r="H404" i="79"/>
  <c r="K620" i="78"/>
  <c r="F624" i="78"/>
  <c r="F190" i="79"/>
  <c r="H629" i="78"/>
  <c r="M325" i="79"/>
  <c r="M192" i="79"/>
  <c r="L629" i="78"/>
  <c r="M670" i="78"/>
  <c r="K674" i="78"/>
  <c r="G678" i="78"/>
  <c r="G11" i="79"/>
  <c r="CC2" i="80" s="1"/>
  <c r="E545" i="78"/>
  <c r="F545" i="78" s="1"/>
  <c r="G545" i="78" s="1"/>
  <c r="H545" i="78" s="1"/>
  <c r="I545" i="78" s="1"/>
  <c r="J545" i="78" s="1"/>
  <c r="K545" i="78" s="1"/>
  <c r="L545" i="78" s="1"/>
  <c r="M545" i="78" s="1"/>
  <c r="N545" i="78" s="1"/>
  <c r="H40" i="78"/>
  <c r="B130" i="78"/>
  <c r="F411" i="78"/>
  <c r="N411" i="78"/>
  <c r="K239" i="79"/>
  <c r="K181" i="79" s="1"/>
  <c r="J155" i="75" s="1"/>
  <c r="L240" i="79"/>
  <c r="L182" i="79" s="1"/>
  <c r="K156" i="75" s="1"/>
  <c r="E241" i="79"/>
  <c r="M241" i="79"/>
  <c r="M183" i="79" s="1"/>
  <c r="L157" i="75" s="1"/>
  <c r="M283" i="79"/>
  <c r="K230" i="75" s="1"/>
  <c r="G242" i="79"/>
  <c r="G184" i="79" s="1"/>
  <c r="F158" i="75"/>
  <c r="K242" i="79"/>
  <c r="K184" i="79" s="1"/>
  <c r="J158" i="75" s="1"/>
  <c r="O436" i="78"/>
  <c r="F243" i="79"/>
  <c r="F185" i="79" s="1"/>
  <c r="E159" i="75" s="1"/>
  <c r="J243" i="79"/>
  <c r="J185" i="79" s="1"/>
  <c r="I159" i="75" s="1"/>
  <c r="N243" i="79"/>
  <c r="N185" i="79" s="1"/>
  <c r="M159" i="75" s="1"/>
  <c r="H456" i="78"/>
  <c r="L456" i="78"/>
  <c r="E261" i="79"/>
  <c r="O256" i="79"/>
  <c r="I261" i="79"/>
  <c r="M261" i="79"/>
  <c r="O472" i="78"/>
  <c r="O259" i="79"/>
  <c r="E518" i="78"/>
  <c r="F518" i="78" s="1"/>
  <c r="G518" i="78" s="1"/>
  <c r="H518" i="78" s="1"/>
  <c r="I518" i="78" s="1"/>
  <c r="J518" i="78" s="1"/>
  <c r="K518" i="78" s="1"/>
  <c r="L518" i="78" s="1"/>
  <c r="M518" i="78" s="1"/>
  <c r="N518" i="78" s="1"/>
  <c r="M318" i="79"/>
  <c r="N318" i="79" s="1"/>
  <c r="R102" i="80" s="1"/>
  <c r="M342" i="79"/>
  <c r="N342" i="79" s="1"/>
  <c r="AT102" i="80" s="1"/>
  <c r="K554" i="78"/>
  <c r="E404" i="79"/>
  <c r="L604" i="78"/>
  <c r="J208" i="79"/>
  <c r="M191" i="79"/>
  <c r="O190" i="79" s="1"/>
  <c r="M624" i="78"/>
  <c r="M322" i="79"/>
  <c r="H633" i="78"/>
  <c r="M347" i="79"/>
  <c r="N346" i="79" s="1"/>
  <c r="L633" i="78"/>
  <c r="G390" i="79"/>
  <c r="F678" i="78"/>
  <c r="I392" i="79"/>
  <c r="K684" i="78"/>
  <c r="J392" i="79"/>
  <c r="K688" i="78"/>
  <c r="K392" i="79"/>
  <c r="K692" i="78"/>
  <c r="K62" i="79"/>
  <c r="M349" i="79"/>
  <c r="M193" i="79"/>
  <c r="J77" i="79"/>
  <c r="AS34" i="80" s="1"/>
  <c r="J79" i="79"/>
  <c r="AS36" i="80" s="1"/>
  <c r="J81" i="79"/>
  <c r="AS38" i="80" s="1"/>
  <c r="J95" i="79"/>
  <c r="BZ46" i="80"/>
  <c r="I92" i="79"/>
  <c r="BS34" i="80" s="1"/>
  <c r="G616" i="78"/>
  <c r="G624" i="78"/>
  <c r="M372" i="79"/>
  <c r="F194" i="79"/>
  <c r="F192" i="79"/>
  <c r="M324" i="79"/>
  <c r="K93" i="79"/>
  <c r="BZ35" i="80" s="1"/>
  <c r="K78" i="79"/>
  <c r="AU35" i="80" s="1"/>
  <c r="F227" i="79"/>
  <c r="V301" i="79" l="1"/>
  <c r="E252" i="75"/>
  <c r="N407" i="82"/>
  <c r="G278" i="75" s="1"/>
  <c r="F700" i="81"/>
  <c r="F205" i="79"/>
  <c r="L224" i="79" s="1"/>
  <c r="O370" i="79"/>
  <c r="L384" i="75" s="1"/>
  <c r="M407" i="75" s="1"/>
  <c r="J494" i="78"/>
  <c r="L638" i="78"/>
  <c r="G404" i="79"/>
  <c r="F494" i="78"/>
  <c r="P258" i="82"/>
  <c r="F555" i="78"/>
  <c r="F559" i="78" s="1"/>
  <c r="AF78" i="84"/>
  <c r="P260" i="82"/>
  <c r="M290" i="82"/>
  <c r="L237" i="75" s="1"/>
  <c r="O67" i="81"/>
  <c r="I9" i="81" s="1"/>
  <c r="P257" i="82"/>
  <c r="P256" i="82"/>
  <c r="L700" i="78"/>
  <c r="P259" i="82"/>
  <c r="L277" i="75"/>
  <c r="N394" i="82"/>
  <c r="N277" i="75" s="1"/>
  <c r="F287" i="75" s="1"/>
  <c r="G700" i="78"/>
  <c r="E394" i="79" s="1"/>
  <c r="G638" i="78"/>
  <c r="H303" i="79"/>
  <c r="H299" i="79"/>
  <c r="I26" i="79"/>
  <c r="O76" i="79"/>
  <c r="AX29" i="80" s="1"/>
  <c r="O91" i="79"/>
  <c r="CA29" i="80" s="1"/>
  <c r="J207" i="79"/>
  <c r="J30" i="79"/>
  <c r="F203" i="79"/>
  <c r="H192" i="79"/>
  <c r="D248" i="79" s="1"/>
  <c r="Z78" i="80" s="1"/>
  <c r="F204" i="79"/>
  <c r="L223" i="79" s="1"/>
  <c r="O346" i="79"/>
  <c r="L353" i="75" s="1"/>
  <c r="L407" i="75" s="1"/>
  <c r="H190" i="79"/>
  <c r="F201" i="79"/>
  <c r="J183" i="79"/>
  <c r="I157" i="75" s="1"/>
  <c r="O182" i="79"/>
  <c r="J200" i="75"/>
  <c r="F202" i="79"/>
  <c r="AZ67" i="80" s="1"/>
  <c r="N322" i="79"/>
  <c r="O322" i="79"/>
  <c r="O184" i="79"/>
  <c r="O241" i="79"/>
  <c r="J248" i="79" s="1"/>
  <c r="E183" i="79"/>
  <c r="D157" i="75" s="1"/>
  <c r="D163" i="75" s="1"/>
  <c r="O192" i="79"/>
  <c r="D265" i="79" s="1"/>
  <c r="BD78" i="80" s="1"/>
  <c r="F180" i="79"/>
  <c r="G180" i="79" s="1"/>
  <c r="H180" i="79" s="1"/>
  <c r="I180" i="79" s="1"/>
  <c r="J180" i="79" s="1"/>
  <c r="K180" i="79" s="1"/>
  <c r="L180" i="79" s="1"/>
  <c r="M180" i="79" s="1"/>
  <c r="N180" i="79" s="1"/>
  <c r="O185" i="79"/>
  <c r="O181" i="79"/>
  <c r="N183" i="79"/>
  <c r="M157" i="75" s="1"/>
  <c r="F183" i="79"/>
  <c r="N61" i="79"/>
  <c r="M56" i="75" s="1"/>
  <c r="I22" i="79"/>
  <c r="AU102" i="80"/>
  <c r="L352" i="75"/>
  <c r="L406" i="75" s="1"/>
  <c r="Z301" i="79"/>
  <c r="E260" i="75"/>
  <c r="BZ102" i="80"/>
  <c r="L383" i="75"/>
  <c r="M406" i="75" s="1"/>
  <c r="Z303" i="79"/>
  <c r="E261" i="75"/>
  <c r="J404" i="79"/>
  <c r="K629" i="78"/>
  <c r="X301" i="79"/>
  <c r="I252" i="75"/>
  <c r="M290" i="79"/>
  <c r="K237" i="75" s="1"/>
  <c r="E222" i="82"/>
  <c r="AR59" i="84" s="1"/>
  <c r="N171" i="75"/>
  <c r="E226" i="82"/>
  <c r="AR67" i="84" s="1"/>
  <c r="N175" i="75"/>
  <c r="N559" i="78"/>
  <c r="E224" i="82"/>
  <c r="AR63" i="84" s="1"/>
  <c r="N173" i="75"/>
  <c r="X299" i="79"/>
  <c r="I250" i="75"/>
  <c r="E349" i="79"/>
  <c r="M309" i="75"/>
  <c r="E225" i="82"/>
  <c r="AR65" i="84" s="1"/>
  <c r="N174" i="75"/>
  <c r="F402" i="79"/>
  <c r="F612" i="78"/>
  <c r="M366" i="79"/>
  <c r="N366" i="79" s="1"/>
  <c r="BV102" i="80" s="1"/>
  <c r="E374" i="75"/>
  <c r="M372" i="75" s="1"/>
  <c r="E223" i="82"/>
  <c r="AR61" i="84" s="1"/>
  <c r="N172" i="75"/>
  <c r="H638" i="78"/>
  <c r="L402" i="79" s="1"/>
  <c r="E153" i="75"/>
  <c r="F153" i="75" s="1"/>
  <c r="G153" i="75" s="1"/>
  <c r="H153" i="75" s="1"/>
  <c r="I153" i="75" s="1"/>
  <c r="J153" i="75" s="1"/>
  <c r="K153" i="75" s="1"/>
  <c r="L153" i="75" s="1"/>
  <c r="M153" i="75" s="1"/>
  <c r="Z299" i="79"/>
  <c r="E259" i="75"/>
  <c r="X303" i="79"/>
  <c r="I254" i="75"/>
  <c r="I25" i="79"/>
  <c r="I24" i="79"/>
  <c r="I21" i="79"/>
  <c r="F407" i="75"/>
  <c r="K417" i="75" s="1"/>
  <c r="G287" i="75"/>
  <c r="F278" i="75"/>
  <c r="BP114" i="84"/>
  <c r="N409" i="75"/>
  <c r="F201" i="75"/>
  <c r="AZ70" i="84"/>
  <c r="F340" i="75"/>
  <c r="V303" i="82"/>
  <c r="F254" i="75"/>
  <c r="N408" i="75"/>
  <c r="E278" i="75"/>
  <c r="AZ114" i="84"/>
  <c r="V301" i="82"/>
  <c r="F252" i="75"/>
  <c r="G180" i="82"/>
  <c r="E167" i="75"/>
  <c r="O67" i="78"/>
  <c r="I9" i="78" s="1"/>
  <c r="M248" i="82"/>
  <c r="I528" i="81"/>
  <c r="I532" i="81" s="1"/>
  <c r="I524" i="81"/>
  <c r="J204" i="82"/>
  <c r="AT63" i="84"/>
  <c r="N551" i="81"/>
  <c r="N555" i="81"/>
  <c r="N559" i="81" s="1"/>
  <c r="K555" i="81"/>
  <c r="K559" i="81" s="1"/>
  <c r="K551" i="81"/>
  <c r="E347" i="82"/>
  <c r="M341" i="82"/>
  <c r="N341" i="82" s="1"/>
  <c r="AT101" i="84" s="1"/>
  <c r="F551" i="81"/>
  <c r="O551" i="81" s="1"/>
  <c r="F318" i="82" s="1"/>
  <c r="F325" i="82" s="1"/>
  <c r="F555" i="81"/>
  <c r="F559" i="81" s="1"/>
  <c r="F528" i="81"/>
  <c r="F532" i="81" s="1"/>
  <c r="F524" i="81"/>
  <c r="L555" i="81"/>
  <c r="L559" i="81" s="1"/>
  <c r="L551" i="81"/>
  <c r="M528" i="81"/>
  <c r="M532" i="81" s="1"/>
  <c r="M524" i="81"/>
  <c r="F539" i="81"/>
  <c r="O539" i="81" s="1"/>
  <c r="E366" i="82" s="1"/>
  <c r="O535" i="81"/>
  <c r="E362" i="82" s="1"/>
  <c r="F371" i="75" s="1"/>
  <c r="H248" i="82"/>
  <c r="J248" i="82"/>
  <c r="J205" i="82"/>
  <c r="J265" i="82"/>
  <c r="O449" i="81"/>
  <c r="H555" i="81"/>
  <c r="H559" i="81" s="1"/>
  <c r="H551" i="81"/>
  <c r="J551" i="81"/>
  <c r="J555" i="81"/>
  <c r="J559" i="81" s="1"/>
  <c r="J524" i="81"/>
  <c r="J528" i="81"/>
  <c r="J532" i="81" s="1"/>
  <c r="O244" i="82"/>
  <c r="D78" i="84" s="1"/>
  <c r="E272" i="82"/>
  <c r="G225" i="82"/>
  <c r="BB65" i="84" s="1"/>
  <c r="O547" i="81"/>
  <c r="F314" i="82" s="1"/>
  <c r="E324" i="82" s="1"/>
  <c r="O248" i="82"/>
  <c r="N528" i="81"/>
  <c r="N532" i="81" s="1"/>
  <c r="N524" i="81"/>
  <c r="L293" i="82"/>
  <c r="E528" i="81"/>
  <c r="E524" i="81"/>
  <c r="O520" i="81"/>
  <c r="E314" i="82" s="1"/>
  <c r="F308" i="75" s="1"/>
  <c r="L402" i="82"/>
  <c r="F638" i="81"/>
  <c r="O238" i="82"/>
  <c r="G555" i="81"/>
  <c r="G559" i="81" s="1"/>
  <c r="O559" i="81" s="1"/>
  <c r="F342" i="82" s="1"/>
  <c r="F349" i="82" s="1"/>
  <c r="G551" i="81"/>
  <c r="F248" i="82"/>
  <c r="L404" i="82"/>
  <c r="F277" i="75" s="1"/>
  <c r="K638" i="81"/>
  <c r="G224" i="82"/>
  <c r="BB63" i="84" s="1"/>
  <c r="J203" i="82"/>
  <c r="CB97" i="80"/>
  <c r="BZ101" i="80"/>
  <c r="F638" i="78"/>
  <c r="K402" i="79"/>
  <c r="F633" i="78"/>
  <c r="H547" i="78"/>
  <c r="H494" i="78"/>
  <c r="K244" i="79"/>
  <c r="K272" i="79" s="1"/>
  <c r="H265" i="79"/>
  <c r="G547" i="78"/>
  <c r="G494" i="78"/>
  <c r="J244" i="79"/>
  <c r="J272" i="79" s="1"/>
  <c r="I449" i="78"/>
  <c r="I520" i="78"/>
  <c r="I244" i="79"/>
  <c r="I272" i="79" s="1"/>
  <c r="L390" i="79"/>
  <c r="F700" i="78"/>
  <c r="F404" i="79"/>
  <c r="K612" i="78"/>
  <c r="O554" i="78"/>
  <c r="F337" i="79" s="1"/>
  <c r="E348" i="79" s="1"/>
  <c r="I547" i="78"/>
  <c r="I494" i="78"/>
  <c r="AZ63" i="80"/>
  <c r="J202" i="79"/>
  <c r="L321" i="75"/>
  <c r="K407" i="75" s="1"/>
  <c r="M265" i="79"/>
  <c r="F265" i="79"/>
  <c r="N520" i="78"/>
  <c r="N449" i="78"/>
  <c r="E392" i="79"/>
  <c r="K670" i="78"/>
  <c r="M700" i="78"/>
  <c r="L670" i="78"/>
  <c r="E395" i="79" s="1"/>
  <c r="J402" i="79"/>
  <c r="F629" i="78"/>
  <c r="E449" i="78"/>
  <c r="E520" i="78"/>
  <c r="O411" i="78"/>
  <c r="G402" i="79"/>
  <c r="F616" i="78"/>
  <c r="O242" i="79"/>
  <c r="L524" i="78"/>
  <c r="L528" i="78"/>
  <c r="L532" i="78" s="1"/>
  <c r="E547" i="78"/>
  <c r="O456" i="78"/>
  <c r="E494" i="78"/>
  <c r="O240" i="79"/>
  <c r="H244" i="79"/>
  <c r="H272" i="79" s="1"/>
  <c r="O255" i="79"/>
  <c r="J528" i="78"/>
  <c r="J532" i="78" s="1"/>
  <c r="J524" i="78"/>
  <c r="I404" i="79"/>
  <c r="K624" i="78"/>
  <c r="E407" i="79"/>
  <c r="O261" i="79"/>
  <c r="AF78" i="80" s="1"/>
  <c r="F520" i="78"/>
  <c r="F449" i="78"/>
  <c r="H402" i="79"/>
  <c r="F620" i="78"/>
  <c r="O243" i="79"/>
  <c r="N244" i="79"/>
  <c r="N272" i="79" s="1"/>
  <c r="F244" i="79"/>
  <c r="F272" i="79" s="1"/>
  <c r="O258" i="79"/>
  <c r="P258" i="79" s="1"/>
  <c r="M244" i="79"/>
  <c r="M272" i="79" s="1"/>
  <c r="O239" i="79"/>
  <c r="E244" i="79"/>
  <c r="H524" i="78"/>
  <c r="H528" i="78"/>
  <c r="H532" i="78" s="1"/>
  <c r="E562" i="78"/>
  <c r="O480" i="78"/>
  <c r="G520" i="78"/>
  <c r="G449" i="78"/>
  <c r="O527" i="78"/>
  <c r="E337" i="79" s="1"/>
  <c r="E340" i="75" s="1"/>
  <c r="K528" i="78"/>
  <c r="K532" i="78" s="1"/>
  <c r="K524" i="78"/>
  <c r="E406" i="79"/>
  <c r="AU70" i="80"/>
  <c r="AU101" i="80"/>
  <c r="AU97" i="80"/>
  <c r="J205" i="79"/>
  <c r="M638" i="78"/>
  <c r="L547" i="78"/>
  <c r="L494" i="78"/>
  <c r="E370" i="79"/>
  <c r="K547" i="78"/>
  <c r="K494" i="78"/>
  <c r="E535" i="78"/>
  <c r="O435" i="78"/>
  <c r="M449" i="78"/>
  <c r="M520" i="78"/>
  <c r="J551" i="78"/>
  <c r="J555" i="78"/>
  <c r="J559" i="78" s="1"/>
  <c r="O265" i="79"/>
  <c r="M547" i="78"/>
  <c r="M494" i="78"/>
  <c r="L244" i="79"/>
  <c r="L272" i="79" s="1"/>
  <c r="E254" i="79"/>
  <c r="F254" i="79" s="1"/>
  <c r="G254" i="79" s="1"/>
  <c r="H254" i="79" s="1"/>
  <c r="I254" i="79" s="1"/>
  <c r="J254" i="79" s="1"/>
  <c r="K254" i="79" s="1"/>
  <c r="L254" i="79" s="1"/>
  <c r="M254" i="79" s="1"/>
  <c r="N254" i="79" s="1"/>
  <c r="E237" i="79"/>
  <c r="F237" i="79" s="1"/>
  <c r="G237" i="79" s="1"/>
  <c r="H237" i="79" s="1"/>
  <c r="I237" i="79" s="1"/>
  <c r="J237" i="79" s="1"/>
  <c r="K237" i="79" s="1"/>
  <c r="L237" i="79" s="1"/>
  <c r="M237" i="79" s="1"/>
  <c r="N237" i="79" s="1"/>
  <c r="E179" i="79"/>
  <c r="F179" i="79" s="1"/>
  <c r="G179" i="79" s="1"/>
  <c r="H179" i="79" s="1"/>
  <c r="I179" i="79" s="1"/>
  <c r="J179" i="79" s="1"/>
  <c r="K179" i="79" s="1"/>
  <c r="L179" i="79" s="1"/>
  <c r="M179" i="79" s="1"/>
  <c r="N179" i="79" s="1"/>
  <c r="F410" i="78"/>
  <c r="G410" i="78" s="1"/>
  <c r="H410" i="78" s="1"/>
  <c r="I410" i="78" s="1"/>
  <c r="J410" i="78" s="1"/>
  <c r="K410" i="78" s="1"/>
  <c r="L410" i="78" s="1"/>
  <c r="M410" i="78" s="1"/>
  <c r="N410" i="78" s="1"/>
  <c r="F238" i="79"/>
  <c r="G238" i="79" s="1"/>
  <c r="H238" i="79" s="1"/>
  <c r="I238" i="79" s="1"/>
  <c r="J238" i="79" s="1"/>
  <c r="K238" i="79" s="1"/>
  <c r="L238" i="79" s="1"/>
  <c r="M238" i="79" s="1"/>
  <c r="N238" i="79" s="1"/>
  <c r="G244" i="79"/>
  <c r="G272" i="79" s="1"/>
  <c r="D160" i="75"/>
  <c r="M163" i="75"/>
  <c r="G222" i="82" l="1"/>
  <c r="BB59" i="84" s="1"/>
  <c r="E227" i="82"/>
  <c r="AR70" i="84" s="1"/>
  <c r="G226" i="82"/>
  <c r="BB67" i="84" s="1"/>
  <c r="G223" i="82"/>
  <c r="BB61" i="84" s="1"/>
  <c r="E277" i="75"/>
  <c r="N406" i="82"/>
  <c r="G277" i="75" s="1"/>
  <c r="D287" i="75" s="1"/>
  <c r="P239" i="82"/>
  <c r="P240" i="82"/>
  <c r="P241" i="82"/>
  <c r="P243" i="82"/>
  <c r="P242" i="82"/>
  <c r="L276" i="75"/>
  <c r="J114" i="80"/>
  <c r="N395" i="79"/>
  <c r="N276" i="75" s="1"/>
  <c r="N407" i="79"/>
  <c r="G276" i="75" s="1"/>
  <c r="E250" i="75"/>
  <c r="V299" i="79"/>
  <c r="V303" i="79"/>
  <c r="E254" i="75"/>
  <c r="L293" i="79"/>
  <c r="N290" i="79" s="1"/>
  <c r="N407" i="75"/>
  <c r="AZ65" i="80"/>
  <c r="H20" i="75"/>
  <c r="X12" i="80"/>
  <c r="L275" i="75"/>
  <c r="O180" i="79"/>
  <c r="H201" i="79"/>
  <c r="P256" i="79"/>
  <c r="P259" i="79"/>
  <c r="E275" i="75"/>
  <c r="P260" i="79"/>
  <c r="O183" i="79"/>
  <c r="E224" i="79" s="1"/>
  <c r="G224" i="79" s="1"/>
  <c r="BB63" i="80" s="1"/>
  <c r="E157" i="75"/>
  <c r="P257" i="79"/>
  <c r="L222" i="79"/>
  <c r="H203" i="79"/>
  <c r="K201" i="82"/>
  <c r="Z114" i="80"/>
  <c r="M276" i="75"/>
  <c r="U102" i="80"/>
  <c r="L320" i="75"/>
  <c r="K406" i="75" s="1"/>
  <c r="N406" i="75" s="1"/>
  <c r="E287" i="75"/>
  <c r="E222" i="79"/>
  <c r="G222" i="79" s="1"/>
  <c r="BB59" i="80" s="1"/>
  <c r="N155" i="75"/>
  <c r="E226" i="79"/>
  <c r="G226" i="79" s="1"/>
  <c r="BB67" i="80" s="1"/>
  <c r="N159" i="75"/>
  <c r="E225" i="79"/>
  <c r="G225" i="79" s="1"/>
  <c r="BB65" i="80" s="1"/>
  <c r="N158" i="75"/>
  <c r="N153" i="75"/>
  <c r="E407" i="75"/>
  <c r="AZ114" i="80"/>
  <c r="E276" i="75"/>
  <c r="E151" i="75"/>
  <c r="N157" i="75"/>
  <c r="O524" i="81"/>
  <c r="E318" i="82" s="1"/>
  <c r="F322" i="82" s="1"/>
  <c r="BP114" i="80"/>
  <c r="F276" i="75"/>
  <c r="E223" i="79"/>
  <c r="AR61" i="80" s="1"/>
  <c r="N156" i="75"/>
  <c r="H180" i="82"/>
  <c r="F167" i="75"/>
  <c r="AT59" i="84"/>
  <c r="AT61" i="84"/>
  <c r="F204" i="75"/>
  <c r="AT70" i="84"/>
  <c r="Z56" i="84"/>
  <c r="F370" i="82"/>
  <c r="F375" i="75"/>
  <c r="M378" i="75" s="1"/>
  <c r="F404" i="75"/>
  <c r="K416" i="75" s="1"/>
  <c r="AT67" i="84"/>
  <c r="AT65" i="84"/>
  <c r="D294" i="82"/>
  <c r="O272" i="82"/>
  <c r="E371" i="82"/>
  <c r="M365" i="82"/>
  <c r="N365" i="82" s="1"/>
  <c r="BV101" i="84" s="1"/>
  <c r="O555" i="81"/>
  <c r="F338" i="82" s="1"/>
  <c r="O528" i="81"/>
  <c r="E338" i="82" s="1"/>
  <c r="F341" i="75" s="1"/>
  <c r="E532" i="81"/>
  <c r="O532" i="81" s="1"/>
  <c r="E342" i="82" s="1"/>
  <c r="N286" i="82"/>
  <c r="N289" i="82"/>
  <c r="N282" i="82"/>
  <c r="N283" i="82"/>
  <c r="G227" i="82"/>
  <c r="BB70" i="84" s="1"/>
  <c r="E323" i="82"/>
  <c r="M317" i="82"/>
  <c r="N317" i="82" s="1"/>
  <c r="R101" i="84" s="1"/>
  <c r="N290" i="82"/>
  <c r="AT67" i="80"/>
  <c r="AT65" i="80"/>
  <c r="E347" i="79"/>
  <c r="M341" i="79"/>
  <c r="N341" i="79" s="1"/>
  <c r="AT101" i="80" s="1"/>
  <c r="G528" i="78"/>
  <c r="G532" i="78" s="1"/>
  <c r="G524" i="78"/>
  <c r="J265" i="79"/>
  <c r="H248" i="79"/>
  <c r="I555" i="78"/>
  <c r="I559" i="78" s="1"/>
  <c r="I551" i="78"/>
  <c r="N283" i="79"/>
  <c r="O238" i="79"/>
  <c r="M555" i="78"/>
  <c r="M559" i="78" s="1"/>
  <c r="M551" i="78"/>
  <c r="M524" i="78"/>
  <c r="M528" i="78"/>
  <c r="M532" i="78" s="1"/>
  <c r="L551" i="78"/>
  <c r="L555" i="78"/>
  <c r="L559" i="78" s="1"/>
  <c r="E272" i="79"/>
  <c r="O244" i="79"/>
  <c r="P239" i="79" s="1"/>
  <c r="AZ59" i="80"/>
  <c r="AZ61" i="80"/>
  <c r="J201" i="79"/>
  <c r="O494" i="78"/>
  <c r="E524" i="78"/>
  <c r="O520" i="78"/>
  <c r="E314" i="79" s="1"/>
  <c r="E528" i="78"/>
  <c r="U101" i="80"/>
  <c r="U97" i="80"/>
  <c r="I524" i="78"/>
  <c r="I528" i="78"/>
  <c r="I532" i="78" s="1"/>
  <c r="G551" i="78"/>
  <c r="G555" i="78"/>
  <c r="G559" i="78" s="1"/>
  <c r="N289" i="79"/>
  <c r="N286" i="79"/>
  <c r="N282" i="79"/>
  <c r="K551" i="78"/>
  <c r="K555" i="78"/>
  <c r="K559" i="78" s="1"/>
  <c r="L404" i="79"/>
  <c r="F275" i="75" s="1"/>
  <c r="K638" i="78"/>
  <c r="E566" i="78"/>
  <c r="O566" i="78" s="1"/>
  <c r="F366" i="79" s="1"/>
  <c r="F373" i="79" s="1"/>
  <c r="O562" i="78"/>
  <c r="F362" i="79" s="1"/>
  <c r="E372" i="79" s="1"/>
  <c r="F248" i="79"/>
  <c r="O449" i="78"/>
  <c r="H555" i="78"/>
  <c r="H559" i="78" s="1"/>
  <c r="H551" i="78"/>
  <c r="F528" i="78"/>
  <c r="F532" i="78" s="1"/>
  <c r="F524" i="78"/>
  <c r="E555" i="78"/>
  <c r="E551" i="78"/>
  <c r="O547" i="78"/>
  <c r="F314" i="79" s="1"/>
  <c r="E324" i="79" s="1"/>
  <c r="J204" i="79"/>
  <c r="AT63" i="80"/>
  <c r="L392" i="79"/>
  <c r="M275" i="75" s="1"/>
  <c r="K700" i="78"/>
  <c r="N528" i="78"/>
  <c r="N532" i="78" s="1"/>
  <c r="N524" i="78"/>
  <c r="F203" i="75"/>
  <c r="J203" i="79"/>
  <c r="O535" i="78"/>
  <c r="E362" i="79" s="1"/>
  <c r="E539" i="78"/>
  <c r="O539" i="78" s="1"/>
  <c r="E366" i="79" s="1"/>
  <c r="O248" i="79"/>
  <c r="M248" i="79"/>
  <c r="N154" i="75"/>
  <c r="N170" i="75"/>
  <c r="N168" i="75"/>
  <c r="N152" i="75"/>
  <c r="N166" i="75"/>
  <c r="G286" i="75" l="1"/>
  <c r="F312" i="75"/>
  <c r="M315" i="75" s="1"/>
  <c r="AR63" i="80"/>
  <c r="N406" i="79"/>
  <c r="G275" i="75" s="1"/>
  <c r="D286" i="75" s="1"/>
  <c r="E295" i="75" s="1"/>
  <c r="P243" i="79"/>
  <c r="N394" i="79"/>
  <c r="N275" i="75" s="1"/>
  <c r="F286" i="75" s="1"/>
  <c r="E371" i="75"/>
  <c r="P240" i="79"/>
  <c r="P242" i="79"/>
  <c r="P241" i="79"/>
  <c r="K201" i="79"/>
  <c r="E227" i="79"/>
  <c r="G227" i="79" s="1"/>
  <c r="BB70" i="80" s="1"/>
  <c r="G223" i="79"/>
  <c r="BB61" i="80" s="1"/>
  <c r="AR67" i="80"/>
  <c r="AR65" i="80"/>
  <c r="AZ70" i="80"/>
  <c r="F200" i="75"/>
  <c r="E286" i="75"/>
  <c r="E308" i="75"/>
  <c r="E404" i="75" s="1"/>
  <c r="J416" i="75" s="1"/>
  <c r="J417" i="75"/>
  <c r="AR59" i="80"/>
  <c r="O290" i="79"/>
  <c r="F151" i="75"/>
  <c r="F370" i="79"/>
  <c r="E375" i="75"/>
  <c r="M377" i="75" s="1"/>
  <c r="O290" i="82"/>
  <c r="N163" i="75"/>
  <c r="N160" i="75"/>
  <c r="L244" i="75"/>
  <c r="BK59" i="84"/>
  <c r="F346" i="82"/>
  <c r="F345" i="75"/>
  <c r="M347" i="75" s="1"/>
  <c r="I180" i="82"/>
  <c r="G167" i="75"/>
  <c r="P261" i="82"/>
  <c r="AQ78" i="84" s="1"/>
  <c r="P244" i="82"/>
  <c r="F78" i="84" s="1"/>
  <c r="E371" i="79"/>
  <c r="M365" i="79"/>
  <c r="N365" i="79" s="1"/>
  <c r="BV101" i="80" s="1"/>
  <c r="O551" i="78"/>
  <c r="F318" i="79" s="1"/>
  <c r="F325" i="79" s="1"/>
  <c r="O528" i="78"/>
  <c r="E338" i="79" s="1"/>
  <c r="E532" i="78"/>
  <c r="O532" i="78" s="1"/>
  <c r="E342" i="79" s="1"/>
  <c r="D78" i="80"/>
  <c r="O272" i="79"/>
  <c r="O555" i="78"/>
  <c r="F338" i="79" s="1"/>
  <c r="E559" i="78"/>
  <c r="O559" i="78" s="1"/>
  <c r="F342" i="79" s="1"/>
  <c r="F349" i="79" s="1"/>
  <c r="E323" i="79"/>
  <c r="M317" i="79"/>
  <c r="N317" i="79" s="1"/>
  <c r="R101" i="80" s="1"/>
  <c r="AT61" i="80"/>
  <c r="AT59" i="80"/>
  <c r="AT70" i="80"/>
  <c r="Z56" i="80"/>
  <c r="D294" i="79"/>
  <c r="O524" i="78"/>
  <c r="E318" i="79" s="1"/>
  <c r="E85" i="75"/>
  <c r="F85" i="75"/>
  <c r="G85" i="75"/>
  <c r="H85" i="75"/>
  <c r="I85" i="75"/>
  <c r="D85" i="75"/>
  <c r="E82" i="75"/>
  <c r="F82" i="75"/>
  <c r="G82" i="75"/>
  <c r="H82" i="75"/>
  <c r="I82" i="75"/>
  <c r="D82" i="75"/>
  <c r="E79" i="75"/>
  <c r="F79" i="75"/>
  <c r="G79" i="75"/>
  <c r="G87" i="75" s="1"/>
  <c r="H79" i="75"/>
  <c r="I79" i="75"/>
  <c r="I87" i="75" s="1"/>
  <c r="D79" i="75"/>
  <c r="E76" i="75"/>
  <c r="E86" i="75" s="1"/>
  <c r="F76" i="75"/>
  <c r="G76" i="75"/>
  <c r="G86" i="75" s="1"/>
  <c r="H76" i="75"/>
  <c r="H86" i="75" s="1"/>
  <c r="I76" i="75"/>
  <c r="D76" i="75"/>
  <c r="K88" i="75"/>
  <c r="J83" i="75"/>
  <c r="J85" i="75" s="1"/>
  <c r="J80" i="75"/>
  <c r="J82" i="75" s="1"/>
  <c r="J77" i="75"/>
  <c r="J79" i="75" s="1"/>
  <c r="J74" i="75"/>
  <c r="J76" i="75" s="1"/>
  <c r="K70" i="75"/>
  <c r="E67" i="75"/>
  <c r="F67" i="75"/>
  <c r="G67" i="75"/>
  <c r="H67" i="75"/>
  <c r="I67" i="75"/>
  <c r="D67" i="75"/>
  <c r="E64" i="75"/>
  <c r="F64" i="75"/>
  <c r="G64" i="75"/>
  <c r="H64" i="75"/>
  <c r="I64" i="75"/>
  <c r="D64" i="75"/>
  <c r="E61" i="75"/>
  <c r="F61" i="75"/>
  <c r="G61" i="75"/>
  <c r="H61" i="75"/>
  <c r="I61" i="75"/>
  <c r="D61" i="75"/>
  <c r="E58" i="75"/>
  <c r="F58" i="75"/>
  <c r="G58" i="75"/>
  <c r="H58" i="75"/>
  <c r="I58" i="75"/>
  <c r="D58" i="75"/>
  <c r="J65" i="75"/>
  <c r="J67" i="75" s="1"/>
  <c r="J62" i="75"/>
  <c r="J64" i="75" s="1"/>
  <c r="J59" i="75"/>
  <c r="J61" i="75" s="1"/>
  <c r="J56" i="75"/>
  <c r="J58" i="75" s="1"/>
  <c r="AR70" i="80" l="1"/>
  <c r="E87" i="75"/>
  <c r="I86" i="75"/>
  <c r="F87" i="75"/>
  <c r="E341" i="75"/>
  <c r="BK59" i="80"/>
  <c r="K244" i="75"/>
  <c r="F322" i="79"/>
  <c r="E312" i="75"/>
  <c r="F346" i="79"/>
  <c r="E345" i="75"/>
  <c r="M346" i="75" s="1"/>
  <c r="G151" i="75"/>
  <c r="J180" i="82"/>
  <c r="H167" i="75"/>
  <c r="F408" i="75"/>
  <c r="P261" i="79"/>
  <c r="AQ78" i="80" s="1"/>
  <c r="P244" i="79"/>
  <c r="F78" i="80" s="1"/>
  <c r="J69" i="75"/>
  <c r="D87" i="75"/>
  <c r="J86" i="75"/>
  <c r="D100" i="75" s="1"/>
  <c r="J87" i="75"/>
  <c r="F86" i="75"/>
  <c r="H87" i="75"/>
  <c r="D86" i="75"/>
  <c r="J68" i="75"/>
  <c r="E25" i="75"/>
  <c r="E22" i="75"/>
  <c r="E24" i="75"/>
  <c r="E23" i="75"/>
  <c r="E21" i="75"/>
  <c r="E20" i="75"/>
  <c r="C30" i="75"/>
  <c r="E30" i="75" s="1"/>
  <c r="AQ4" i="77"/>
  <c r="K30" i="75" l="1"/>
  <c r="D432" i="75" s="1"/>
  <c r="O431" i="75" s="1"/>
  <c r="H151" i="75"/>
  <c r="M314" i="75"/>
  <c r="E408" i="75"/>
  <c r="K180" i="82"/>
  <c r="I167" i="75"/>
  <c r="J70" i="75"/>
  <c r="J88" i="75"/>
  <c r="AQ39" i="77"/>
  <c r="AO39" i="77"/>
  <c r="AQ22" i="77"/>
  <c r="AO22" i="77"/>
  <c r="L296" i="75"/>
  <c r="K296" i="75"/>
  <c r="F296" i="75"/>
  <c r="E296" i="75"/>
  <c r="L295" i="75"/>
  <c r="K295" i="75"/>
  <c r="F295" i="75"/>
  <c r="L294" i="75"/>
  <c r="K294" i="75"/>
  <c r="F294" i="75"/>
  <c r="E294" i="75"/>
  <c r="L293" i="75"/>
  <c r="K293" i="75"/>
  <c r="F293" i="75"/>
  <c r="E293" i="75"/>
  <c r="L292" i="75"/>
  <c r="K292" i="75"/>
  <c r="F292" i="75"/>
  <c r="E292" i="75"/>
  <c r="N179" i="75"/>
  <c r="M179" i="75"/>
  <c r="L179" i="75"/>
  <c r="K179" i="75"/>
  <c r="J179" i="75"/>
  <c r="I179" i="75"/>
  <c r="H179" i="75"/>
  <c r="G179" i="75"/>
  <c r="F179" i="75"/>
  <c r="E179" i="75"/>
  <c r="D179" i="75"/>
  <c r="N178" i="75"/>
  <c r="L178" i="75"/>
  <c r="K178" i="75"/>
  <c r="J178" i="75"/>
  <c r="I178" i="75"/>
  <c r="H178" i="75"/>
  <c r="G178" i="75"/>
  <c r="F178" i="75"/>
  <c r="E178" i="75"/>
  <c r="D178" i="75"/>
  <c r="N177" i="75"/>
  <c r="M177" i="75"/>
  <c r="L177" i="75"/>
  <c r="K177" i="75"/>
  <c r="J177" i="75"/>
  <c r="I177" i="75"/>
  <c r="H177" i="75"/>
  <c r="G177" i="75"/>
  <c r="F177" i="75"/>
  <c r="E177" i="75"/>
  <c r="D177" i="75"/>
  <c r="N176" i="75"/>
  <c r="M176" i="75"/>
  <c r="L176" i="75"/>
  <c r="K176" i="75"/>
  <c r="J176" i="75"/>
  <c r="I176" i="75"/>
  <c r="H176" i="75"/>
  <c r="G176" i="75"/>
  <c r="F176" i="75"/>
  <c r="E176" i="75"/>
  <c r="D176" i="75"/>
  <c r="L163" i="75"/>
  <c r="K163" i="75"/>
  <c r="J163" i="75"/>
  <c r="I163" i="75"/>
  <c r="H163" i="75"/>
  <c r="G163" i="75"/>
  <c r="F163" i="75"/>
  <c r="E163" i="75"/>
  <c r="N162" i="75"/>
  <c r="M162" i="75"/>
  <c r="L162" i="75"/>
  <c r="K162" i="75"/>
  <c r="J162" i="75"/>
  <c r="I162" i="75"/>
  <c r="H162" i="75"/>
  <c r="G162" i="75"/>
  <c r="F162" i="75"/>
  <c r="E162" i="75"/>
  <c r="D162" i="75"/>
  <c r="N161" i="75"/>
  <c r="M161" i="75"/>
  <c r="L161" i="75"/>
  <c r="K161" i="75"/>
  <c r="J161" i="75"/>
  <c r="I161" i="75"/>
  <c r="H161" i="75"/>
  <c r="G161" i="75"/>
  <c r="F161" i="75"/>
  <c r="E161" i="75"/>
  <c r="D161" i="75"/>
  <c r="M160" i="75"/>
  <c r="L160" i="75"/>
  <c r="K160" i="75"/>
  <c r="J160" i="75"/>
  <c r="I160" i="75"/>
  <c r="H160" i="75"/>
  <c r="G160" i="75"/>
  <c r="F160" i="75"/>
  <c r="E160" i="75"/>
  <c r="N183" i="75"/>
  <c r="E105" i="75"/>
  <c r="F105" i="75"/>
  <c r="G105" i="75"/>
  <c r="H105" i="75"/>
  <c r="I105" i="75"/>
  <c r="D105" i="75"/>
  <c r="M22" i="75"/>
  <c r="M21" i="75"/>
  <c r="M20" i="75"/>
  <c r="K24" i="75" l="1"/>
  <c r="J25" i="75"/>
  <c r="J23" i="75"/>
  <c r="K25" i="75"/>
  <c r="M24" i="75"/>
  <c r="M25" i="75"/>
  <c r="M23" i="75"/>
  <c r="K23" i="75"/>
  <c r="J24" i="75"/>
  <c r="I151" i="75"/>
  <c r="L180" i="82"/>
  <c r="J167" i="75"/>
  <c r="AQ18" i="77"/>
  <c r="AO36" i="77"/>
  <c r="AO17" i="77"/>
  <c r="AQ36" i="77"/>
  <c r="AQ17" i="77"/>
  <c r="AO35" i="77"/>
  <c r="AO16" i="77"/>
  <c r="AQ33" i="77"/>
  <c r="AO20" i="77"/>
  <c r="AQ37" i="77"/>
  <c r="D68" i="75"/>
  <c r="H68" i="75"/>
  <c r="E69" i="75"/>
  <c r="E98" i="75" s="1"/>
  <c r="H111" i="75" s="1"/>
  <c r="I69" i="75"/>
  <c r="I98" i="75" s="1"/>
  <c r="D111" i="75" s="1"/>
  <c r="F69" i="75"/>
  <c r="I101" i="75"/>
  <c r="D114" i="75" s="1"/>
  <c r="N150" i="75"/>
  <c r="D69" i="75"/>
  <c r="D98" i="75" s="1"/>
  <c r="H69" i="75"/>
  <c r="H98" i="75" s="1"/>
  <c r="E111" i="75" s="1"/>
  <c r="E68" i="75"/>
  <c r="I68" i="75"/>
  <c r="F68" i="75"/>
  <c r="G69" i="75"/>
  <c r="G98" i="75" s="1"/>
  <c r="F111" i="75" s="1"/>
  <c r="G68" i="75"/>
  <c r="AQ16" i="77"/>
  <c r="AO19" i="77"/>
  <c r="AQ20" i="77"/>
  <c r="AO34" i="77"/>
  <c r="AQ35" i="77"/>
  <c r="AO18" i="77"/>
  <c r="AQ19" i="77"/>
  <c r="AO33" i="77"/>
  <c r="AQ34" i="77"/>
  <c r="AO37" i="77"/>
  <c r="J151" i="75" l="1"/>
  <c r="M180" i="82"/>
  <c r="K167" i="75"/>
  <c r="G101" i="75"/>
  <c r="F114" i="75" s="1"/>
  <c r="F98" i="75"/>
  <c r="G111" i="75" s="1"/>
  <c r="D101" i="75"/>
  <c r="I114" i="75" s="1"/>
  <c r="H101" i="75"/>
  <c r="E114" i="75" s="1"/>
  <c r="J114" i="75" s="1"/>
  <c r="F101" i="75"/>
  <c r="G114" i="75" s="1"/>
  <c r="E101" i="75"/>
  <c r="H114" i="75" s="1"/>
  <c r="I111" i="75"/>
  <c r="J111" i="75" s="1"/>
  <c r="G97" i="75"/>
  <c r="F110" i="75" s="1"/>
  <c r="F97" i="75"/>
  <c r="G110" i="75" s="1"/>
  <c r="H97" i="75"/>
  <c r="E110" i="75" s="1"/>
  <c r="E97" i="75"/>
  <c r="H110" i="75" s="1"/>
  <c r="D97" i="75"/>
  <c r="I97" i="75"/>
  <c r="D110" i="75" s="1"/>
  <c r="I100" i="75"/>
  <c r="D113" i="75" s="1"/>
  <c r="E100" i="75"/>
  <c r="H113" i="75" s="1"/>
  <c r="H100" i="75"/>
  <c r="E113" i="75" s="1"/>
  <c r="G100" i="75"/>
  <c r="F113" i="75" s="1"/>
  <c r="F100" i="75"/>
  <c r="G113" i="75" s="1"/>
  <c r="K151" i="75" l="1"/>
  <c r="N180" i="82"/>
  <c r="L167" i="75"/>
  <c r="J98" i="75"/>
  <c r="J101" i="75"/>
  <c r="J97" i="75"/>
  <c r="I110" i="75"/>
  <c r="J110" i="75" s="1"/>
  <c r="I113" i="75"/>
  <c r="J113" i="75" s="1"/>
  <c r="J100" i="75"/>
  <c r="L151" i="75" l="1"/>
  <c r="M167" i="75"/>
  <c r="O180" i="82"/>
  <c r="N167" i="75" s="1"/>
  <c r="M151" i="75" l="1"/>
  <c r="N151" i="75"/>
  <c r="O81" i="44"/>
  <c r="I33" i="52" s="1"/>
  <c r="O120" i="44"/>
  <c r="I41" i="52" s="1"/>
  <c r="E46" i="52" l="1"/>
  <c r="BG15" i="42" s="1"/>
  <c r="E44" i="52"/>
  <c r="BH19" i="42" s="1"/>
  <c r="E38" i="52"/>
  <c r="AJ15" i="42" s="1"/>
  <c r="E36" i="52"/>
  <c r="AK19" i="42" s="1"/>
  <c r="H403" i="52"/>
  <c r="H401" i="52"/>
  <c r="E403" i="52" l="1"/>
  <c r="F403" i="52"/>
  <c r="G403" i="52"/>
  <c r="I403" i="52"/>
  <c r="J403" i="52"/>
  <c r="K403" i="52"/>
  <c r="E401" i="52"/>
  <c r="F401" i="52"/>
  <c r="G401" i="52"/>
  <c r="I401" i="52"/>
  <c r="J401" i="52"/>
  <c r="K401" i="52"/>
  <c r="E391" i="52"/>
  <c r="F391" i="52"/>
  <c r="G391" i="52"/>
  <c r="H391" i="52"/>
  <c r="I391" i="52"/>
  <c r="J391" i="52"/>
  <c r="K391" i="52"/>
  <c r="E389" i="52"/>
  <c r="F389" i="52"/>
  <c r="G389" i="52"/>
  <c r="H389" i="52"/>
  <c r="I389" i="52"/>
  <c r="J389" i="52"/>
  <c r="K389" i="52"/>
  <c r="B200" i="44" l="1"/>
  <c r="B201" i="44"/>
  <c r="B199" i="44"/>
  <c r="K372" i="52" l="1"/>
  <c r="K370" i="52"/>
  <c r="K348" i="52"/>
  <c r="K346" i="52"/>
  <c r="K324" i="52"/>
  <c r="K322" i="52"/>
  <c r="D314" i="52"/>
  <c r="D337" i="52"/>
  <c r="D362" i="52"/>
  <c r="D364" i="52"/>
  <c r="D365" i="52"/>
  <c r="D366" i="52"/>
  <c r="D363" i="52"/>
  <c r="D340" i="52"/>
  <c r="D341" i="52"/>
  <c r="D342" i="52"/>
  <c r="D338" i="52"/>
  <c r="D339" i="52"/>
  <c r="D317" i="52"/>
  <c r="D318" i="52"/>
  <c r="D316" i="52"/>
  <c r="D315" i="52"/>
  <c r="I209" i="52" l="1"/>
  <c r="I208" i="52"/>
  <c r="I207" i="52"/>
  <c r="G209" i="52"/>
  <c r="G208" i="52"/>
  <c r="G207" i="52"/>
  <c r="G205" i="52"/>
  <c r="G204" i="52"/>
  <c r="G203" i="52"/>
  <c r="G198" i="52"/>
  <c r="G197" i="52"/>
  <c r="G196" i="52"/>
  <c r="G194" i="52"/>
  <c r="G193" i="52"/>
  <c r="G192" i="52"/>
  <c r="N197" i="52"/>
  <c r="N198" i="52"/>
  <c r="N196" i="52"/>
  <c r="N193" i="52"/>
  <c r="N194" i="52"/>
  <c r="N192" i="52"/>
  <c r="D41" i="52" l="1"/>
  <c r="D33" i="52"/>
  <c r="B139" i="44"/>
  <c r="BX4" i="42"/>
  <c r="B137" i="44" l="1"/>
  <c r="B128" i="44"/>
  <c r="B130" i="44"/>
  <c r="E34" i="52"/>
  <c r="B98" i="44"/>
  <c r="B100" i="44"/>
  <c r="B89" i="44"/>
  <c r="B91" i="44"/>
  <c r="L25" i="52"/>
  <c r="L27" i="52"/>
  <c r="L29" i="52"/>
  <c r="L23" i="52"/>
  <c r="L21" i="52"/>
  <c r="E42" i="52" l="1"/>
  <c r="E60" i="44"/>
  <c r="E59" i="44"/>
  <c r="E58" i="44"/>
  <c r="E57" i="44"/>
  <c r="E55" i="44"/>
  <c r="G13" i="52" s="1"/>
  <c r="E53" i="44"/>
  <c r="H12" i="52" s="1"/>
  <c r="E51" i="44"/>
  <c r="G11" i="52" s="1"/>
  <c r="H35" i="44"/>
  <c r="D40" i="44"/>
  <c r="N40" i="44" s="1"/>
  <c r="D39" i="44"/>
  <c r="J39" i="44" s="1"/>
  <c r="D38" i="44"/>
  <c r="N38" i="44" s="1"/>
  <c r="D37" i="44"/>
  <c r="M37" i="44" s="1"/>
  <c r="N35" i="44"/>
  <c r="M35" i="44"/>
  <c r="L35" i="44"/>
  <c r="J35" i="44"/>
  <c r="F35" i="44"/>
  <c r="D35" i="44"/>
  <c r="D30" i="44"/>
  <c r="G9" i="52" s="1"/>
  <c r="CC2" i="42" l="1"/>
  <c r="G9" i="75"/>
  <c r="CC3" i="42"/>
  <c r="H10" i="75"/>
  <c r="C4" i="42"/>
  <c r="G7" i="75"/>
  <c r="BY4" i="42"/>
  <c r="E455" i="44"/>
  <c r="E410" i="44"/>
  <c r="E545" i="44"/>
  <c r="E518" i="44"/>
  <c r="L39" i="44"/>
  <c r="F39" i="44"/>
  <c r="M39" i="44"/>
  <c r="H39" i="44"/>
  <c r="N39" i="44"/>
  <c r="L40" i="44"/>
  <c r="M40" i="44"/>
  <c r="J40" i="44"/>
  <c r="F40" i="44"/>
  <c r="H40" i="44"/>
  <c r="L38" i="44"/>
  <c r="J38" i="44"/>
  <c r="F38" i="44"/>
  <c r="M38" i="44"/>
  <c r="H38" i="44"/>
  <c r="N37" i="44"/>
  <c r="H37" i="44"/>
  <c r="J37" i="44"/>
  <c r="L37" i="44"/>
  <c r="F37" i="44"/>
  <c r="H62" i="66"/>
  <c r="D63" i="66" l="1"/>
  <c r="H30" i="81"/>
  <c r="G8" i="82" s="1"/>
  <c r="C2" i="84" s="1"/>
  <c r="H30" i="78"/>
  <c r="G8" i="79" s="1"/>
  <c r="C2" i="80" s="1"/>
  <c r="AT3" i="77"/>
  <c r="C4" i="77"/>
  <c r="AT2" i="77"/>
  <c r="E237" i="52"/>
  <c r="E179" i="52"/>
  <c r="E254" i="52"/>
  <c r="F254" i="52" s="1"/>
  <c r="G254" i="52" s="1"/>
  <c r="H254" i="52" s="1"/>
  <c r="I254" i="52" s="1"/>
  <c r="J254" i="52" s="1"/>
  <c r="K254" i="52" s="1"/>
  <c r="L254" i="52" s="1"/>
  <c r="M254" i="52" s="1"/>
  <c r="N254" i="52" s="1"/>
  <c r="H30" i="44"/>
  <c r="G8" i="52" s="1"/>
  <c r="B131" i="66"/>
  <c r="B109" i="66"/>
  <c r="B77" i="66"/>
  <c r="B75" i="66"/>
  <c r="B129" i="66"/>
  <c r="F179" i="52" l="1"/>
  <c r="G179" i="52" s="1"/>
  <c r="H179" i="52" s="1"/>
  <c r="I179" i="52" s="1"/>
  <c r="J179" i="52" s="1"/>
  <c r="K179" i="52" s="1"/>
  <c r="L179" i="52" s="1"/>
  <c r="M179" i="52" s="1"/>
  <c r="N179" i="52" s="1"/>
  <c r="D134" i="75"/>
  <c r="C2" i="42"/>
  <c r="G6" i="75"/>
  <c r="O124" i="66"/>
  <c r="B93" i="66"/>
  <c r="M62" i="66"/>
  <c r="D166" i="75" l="1"/>
  <c r="E134" i="75"/>
  <c r="D150" i="75"/>
  <c r="D183" i="75"/>
  <c r="M30" i="44"/>
  <c r="G10" i="52" s="1"/>
  <c r="G8" i="75" s="1"/>
  <c r="M30" i="81"/>
  <c r="G10" i="82" s="1"/>
  <c r="C3" i="84" s="1"/>
  <c r="M30" i="78"/>
  <c r="G10" i="79" s="1"/>
  <c r="C3" i="80" s="1"/>
  <c r="C2" i="77"/>
  <c r="I13" i="66"/>
  <c r="B107" i="66"/>
  <c r="B62" i="66"/>
  <c r="B49" i="66"/>
  <c r="O39" i="66"/>
  <c r="I9" i="66" s="1"/>
  <c r="B32" i="66"/>
  <c r="O19" i="66"/>
  <c r="I8" i="66" s="1"/>
  <c r="E183" i="75" l="1"/>
  <c r="E166" i="75"/>
  <c r="E150" i="75"/>
  <c r="F134" i="75"/>
  <c r="C3" i="42"/>
  <c r="C3" i="77"/>
  <c r="O70" i="66"/>
  <c r="O102" i="66"/>
  <c r="O56" i="66"/>
  <c r="O24" i="81" l="1"/>
  <c r="O24" i="78"/>
  <c r="F183" i="75"/>
  <c r="F166" i="75"/>
  <c r="F150" i="75"/>
  <c r="G134" i="75"/>
  <c r="O45" i="81"/>
  <c r="O45" i="78"/>
  <c r="I10" i="66"/>
  <c r="I11" i="66"/>
  <c r="O45" i="44"/>
  <c r="I12" i="66"/>
  <c r="O24" i="44"/>
  <c r="O251" i="44"/>
  <c r="I8" i="78" l="1"/>
  <c r="I8" i="81"/>
  <c r="G166" i="75"/>
  <c r="G183" i="75"/>
  <c r="H134" i="75"/>
  <c r="G150" i="75"/>
  <c r="I8" i="44"/>
  <c r="N670" i="44"/>
  <c r="I670" i="44"/>
  <c r="N604" i="44"/>
  <c r="I604" i="44"/>
  <c r="G605" i="44"/>
  <c r="H166" i="75" l="1"/>
  <c r="H183" i="75"/>
  <c r="I134" i="75"/>
  <c r="H150" i="75"/>
  <c r="N487" i="44"/>
  <c r="N260" i="52" s="1"/>
  <c r="M487" i="44"/>
  <c r="M260" i="52" s="1"/>
  <c r="L487" i="44"/>
  <c r="L260" i="52" s="1"/>
  <c r="K487" i="44"/>
  <c r="K260" i="52" s="1"/>
  <c r="J487" i="44"/>
  <c r="J260" i="52" s="1"/>
  <c r="I487" i="44"/>
  <c r="I260" i="52" s="1"/>
  <c r="H487" i="44"/>
  <c r="H260" i="52" s="1"/>
  <c r="G487" i="44"/>
  <c r="G260" i="52" s="1"/>
  <c r="F487" i="44"/>
  <c r="F260" i="52" s="1"/>
  <c r="E487" i="44"/>
  <c r="E260" i="52" s="1"/>
  <c r="N481" i="44"/>
  <c r="N259" i="52" s="1"/>
  <c r="M481" i="44"/>
  <c r="M259" i="52" s="1"/>
  <c r="L481" i="44"/>
  <c r="L259" i="52" s="1"/>
  <c r="K481" i="44"/>
  <c r="K259" i="52" s="1"/>
  <c r="J481" i="44"/>
  <c r="J259" i="52" s="1"/>
  <c r="I481" i="44"/>
  <c r="I259" i="52" s="1"/>
  <c r="H481" i="44"/>
  <c r="H259" i="52" s="1"/>
  <c r="G481" i="44"/>
  <c r="G259" i="52" s="1"/>
  <c r="F481" i="44"/>
  <c r="F259" i="52" s="1"/>
  <c r="E481" i="44"/>
  <c r="E259" i="52" s="1"/>
  <c r="N464" i="44"/>
  <c r="N257" i="52" s="1"/>
  <c r="M464" i="44"/>
  <c r="M257" i="52" s="1"/>
  <c r="L464" i="44"/>
  <c r="L257" i="52" s="1"/>
  <c r="K464" i="44"/>
  <c r="K257" i="52" s="1"/>
  <c r="J464" i="44"/>
  <c r="J257" i="52" s="1"/>
  <c r="I464" i="44"/>
  <c r="I257" i="52" s="1"/>
  <c r="H464" i="44"/>
  <c r="H257" i="52" s="1"/>
  <c r="G464" i="44"/>
  <c r="G257" i="52" s="1"/>
  <c r="F464" i="44"/>
  <c r="F257" i="52" s="1"/>
  <c r="E464" i="44"/>
  <c r="E257" i="52" s="1"/>
  <c r="N457" i="44"/>
  <c r="N256" i="52" s="1"/>
  <c r="M457" i="44"/>
  <c r="M256" i="52" s="1"/>
  <c r="L457" i="44"/>
  <c r="L256" i="52" s="1"/>
  <c r="K457" i="44"/>
  <c r="K256" i="52" s="1"/>
  <c r="J457" i="44"/>
  <c r="J256" i="52" s="1"/>
  <c r="I457" i="44"/>
  <c r="I256" i="52" s="1"/>
  <c r="H457" i="44"/>
  <c r="H256" i="52" s="1"/>
  <c r="G457" i="44"/>
  <c r="G256" i="52" s="1"/>
  <c r="F457" i="44"/>
  <c r="F256" i="52" s="1"/>
  <c r="E457" i="44"/>
  <c r="E256" i="52" s="1"/>
  <c r="N472" i="44"/>
  <c r="N258" i="52" s="1"/>
  <c r="M472" i="44"/>
  <c r="M258" i="52" s="1"/>
  <c r="L472" i="44"/>
  <c r="L258" i="52" s="1"/>
  <c r="K472" i="44"/>
  <c r="K258" i="52" s="1"/>
  <c r="J472" i="44"/>
  <c r="J258" i="52" s="1"/>
  <c r="I472" i="44"/>
  <c r="I258" i="52" s="1"/>
  <c r="H472" i="44"/>
  <c r="H258" i="52" s="1"/>
  <c r="G472" i="44"/>
  <c r="G258" i="52" s="1"/>
  <c r="F472" i="44"/>
  <c r="F258" i="52" s="1"/>
  <c r="E472" i="44"/>
  <c r="E258" i="52" s="1"/>
  <c r="F427" i="44"/>
  <c r="G427" i="44"/>
  <c r="H427" i="44"/>
  <c r="I427" i="44"/>
  <c r="J427" i="44"/>
  <c r="K427" i="44"/>
  <c r="L427" i="44"/>
  <c r="M427" i="44"/>
  <c r="N427" i="44"/>
  <c r="E427" i="44"/>
  <c r="N442" i="44"/>
  <c r="M442" i="44"/>
  <c r="L442" i="44"/>
  <c r="K442" i="44"/>
  <c r="J442" i="44"/>
  <c r="I442" i="44"/>
  <c r="H442" i="44"/>
  <c r="G442" i="44"/>
  <c r="F442" i="44"/>
  <c r="E442" i="44"/>
  <c r="N436" i="44"/>
  <c r="M436" i="44"/>
  <c r="L436" i="44"/>
  <c r="K436" i="44"/>
  <c r="J436" i="44"/>
  <c r="I436" i="44"/>
  <c r="H436" i="44"/>
  <c r="G436" i="44"/>
  <c r="F436" i="44"/>
  <c r="E436" i="44"/>
  <c r="N419" i="44"/>
  <c r="M419" i="44"/>
  <c r="L419" i="44"/>
  <c r="K419" i="44"/>
  <c r="J419" i="44"/>
  <c r="I419" i="44"/>
  <c r="H419" i="44"/>
  <c r="G419" i="44"/>
  <c r="F419" i="44"/>
  <c r="E419" i="44"/>
  <c r="F412" i="44"/>
  <c r="G412" i="44"/>
  <c r="H412" i="44"/>
  <c r="I412" i="44"/>
  <c r="J412" i="44"/>
  <c r="K412" i="44"/>
  <c r="L412" i="44"/>
  <c r="M412" i="44"/>
  <c r="N412" i="44"/>
  <c r="E412" i="44"/>
  <c r="O467" i="44"/>
  <c r="B467" i="44"/>
  <c r="O460" i="44"/>
  <c r="B460" i="44"/>
  <c r="O422" i="44"/>
  <c r="B422" i="44"/>
  <c r="B415" i="44"/>
  <c r="O415" i="44"/>
  <c r="M289" i="52" s="1"/>
  <c r="J236" i="75" s="1"/>
  <c r="M236" i="75" s="1"/>
  <c r="I166" i="75" l="1"/>
  <c r="I183" i="75"/>
  <c r="J134" i="75"/>
  <c r="I150" i="75"/>
  <c r="I261" i="52"/>
  <c r="M261" i="52"/>
  <c r="O260" i="52"/>
  <c r="O259" i="52"/>
  <c r="O258" i="52"/>
  <c r="H261" i="52"/>
  <c r="L261" i="52"/>
  <c r="F261" i="52"/>
  <c r="J261" i="52"/>
  <c r="N261" i="52"/>
  <c r="G261" i="52"/>
  <c r="K261" i="52"/>
  <c r="O257" i="52"/>
  <c r="O256" i="52"/>
  <c r="E261" i="52"/>
  <c r="K243" i="52"/>
  <c r="K185" i="52" s="1"/>
  <c r="J143" i="75" s="1"/>
  <c r="J192" i="75" s="1"/>
  <c r="H243" i="52"/>
  <c r="H185" i="52" s="1"/>
  <c r="G143" i="75" s="1"/>
  <c r="G192" i="75" s="1"/>
  <c r="I243" i="52"/>
  <c r="I185" i="52" s="1"/>
  <c r="H143" i="75" s="1"/>
  <c r="H192" i="75" s="1"/>
  <c r="M243" i="52"/>
  <c r="M185" i="52" s="1"/>
  <c r="L143" i="75" s="1"/>
  <c r="L192" i="75" s="1"/>
  <c r="G243" i="52"/>
  <c r="G185" i="52" s="1"/>
  <c r="F143" i="75" s="1"/>
  <c r="F192" i="75" s="1"/>
  <c r="L243" i="52"/>
  <c r="L185" i="52" s="1"/>
  <c r="K143" i="75" s="1"/>
  <c r="K192" i="75" s="1"/>
  <c r="F243" i="52"/>
  <c r="F185" i="52" s="1"/>
  <c r="E143" i="75" s="1"/>
  <c r="E192" i="75" s="1"/>
  <c r="J243" i="52"/>
  <c r="J185" i="52" s="1"/>
  <c r="I143" i="75" s="1"/>
  <c r="I192" i="75" s="1"/>
  <c r="N243" i="52"/>
  <c r="N185" i="52" s="1"/>
  <c r="M143" i="75" s="1"/>
  <c r="M192" i="75" s="1"/>
  <c r="I242" i="52"/>
  <c r="I184" i="52" s="1"/>
  <c r="H142" i="75" s="1"/>
  <c r="F242" i="52"/>
  <c r="F184" i="52" s="1"/>
  <c r="E142" i="75" s="1"/>
  <c r="J242" i="52"/>
  <c r="J184" i="52" s="1"/>
  <c r="I142" i="75" s="1"/>
  <c r="N242" i="52"/>
  <c r="N184" i="52" s="1"/>
  <c r="M142" i="75" s="1"/>
  <c r="G242" i="52"/>
  <c r="G184" i="52" s="1"/>
  <c r="F142" i="75" s="1"/>
  <c r="K242" i="52"/>
  <c r="K184" i="52" s="1"/>
  <c r="J142" i="75" s="1"/>
  <c r="M242" i="52"/>
  <c r="M184" i="52" s="1"/>
  <c r="L142" i="75" s="1"/>
  <c r="H242" i="52"/>
  <c r="H184" i="52" s="1"/>
  <c r="G142" i="75" s="1"/>
  <c r="L242" i="52"/>
  <c r="L184" i="52" s="1"/>
  <c r="K142" i="75" s="1"/>
  <c r="E243" i="52"/>
  <c r="E185" i="52" s="1"/>
  <c r="E242" i="52"/>
  <c r="E184" i="52" s="1"/>
  <c r="D142" i="75" s="1"/>
  <c r="G241" i="52"/>
  <c r="G183" i="52" s="1"/>
  <c r="F141" i="75" s="1"/>
  <c r="N241" i="52"/>
  <c r="N183" i="52" s="1"/>
  <c r="M141" i="75" s="1"/>
  <c r="J241" i="52"/>
  <c r="J183" i="52" s="1"/>
  <c r="I141" i="75" s="1"/>
  <c r="F241" i="52"/>
  <c r="F183" i="52" s="1"/>
  <c r="E141" i="75" s="1"/>
  <c r="M241" i="52"/>
  <c r="M183" i="52" s="1"/>
  <c r="L141" i="75" s="1"/>
  <c r="I241" i="52"/>
  <c r="I183" i="52" s="1"/>
  <c r="H141" i="75" s="1"/>
  <c r="K241" i="52"/>
  <c r="K183" i="52" s="1"/>
  <c r="J141" i="75" s="1"/>
  <c r="L241" i="52"/>
  <c r="L183" i="52" s="1"/>
  <c r="K141" i="75" s="1"/>
  <c r="H241" i="52"/>
  <c r="H183" i="52" s="1"/>
  <c r="G141" i="75" s="1"/>
  <c r="E241" i="52"/>
  <c r="E183" i="52" s="1"/>
  <c r="D141" i="75" s="1"/>
  <c r="K240" i="52"/>
  <c r="K182" i="52" s="1"/>
  <c r="J140" i="75" s="1"/>
  <c r="J189" i="75" s="1"/>
  <c r="H240" i="52"/>
  <c r="H182" i="52" s="1"/>
  <c r="G140" i="75" s="1"/>
  <c r="G189" i="75" s="1"/>
  <c r="I240" i="52"/>
  <c r="I182" i="52" s="1"/>
  <c r="H140" i="75" s="1"/>
  <c r="H189" i="75" s="1"/>
  <c r="M240" i="52"/>
  <c r="M182" i="52" s="1"/>
  <c r="L140" i="75" s="1"/>
  <c r="L189" i="75" s="1"/>
  <c r="G240" i="52"/>
  <c r="G182" i="52" s="1"/>
  <c r="F140" i="75" s="1"/>
  <c r="F189" i="75" s="1"/>
  <c r="L240" i="52"/>
  <c r="L182" i="52" s="1"/>
  <c r="K140" i="75" s="1"/>
  <c r="K189" i="75" s="1"/>
  <c r="J240" i="52"/>
  <c r="J182" i="52" s="1"/>
  <c r="I140" i="75" s="1"/>
  <c r="I189" i="75" s="1"/>
  <c r="N240" i="52"/>
  <c r="N182" i="52" s="1"/>
  <c r="M140" i="75" s="1"/>
  <c r="M189" i="75" s="1"/>
  <c r="F240" i="52"/>
  <c r="F182" i="52" s="1"/>
  <c r="E140" i="75" s="1"/>
  <c r="E189" i="75" s="1"/>
  <c r="K239" i="52"/>
  <c r="K181" i="52" s="1"/>
  <c r="J139" i="75" s="1"/>
  <c r="N239" i="52"/>
  <c r="N181" i="52" s="1"/>
  <c r="M139" i="75" s="1"/>
  <c r="J239" i="52"/>
  <c r="J181" i="52" s="1"/>
  <c r="I139" i="75" s="1"/>
  <c r="G239" i="52"/>
  <c r="G181" i="52" s="1"/>
  <c r="F139" i="75" s="1"/>
  <c r="I239" i="52"/>
  <c r="I181" i="52" s="1"/>
  <c r="H139" i="75" s="1"/>
  <c r="M239" i="52"/>
  <c r="M181" i="52" s="1"/>
  <c r="L139" i="75" s="1"/>
  <c r="L239" i="52"/>
  <c r="H239" i="52"/>
  <c r="H181" i="52" s="1"/>
  <c r="G139" i="75" s="1"/>
  <c r="F239" i="52"/>
  <c r="F181" i="52" s="1"/>
  <c r="E139" i="75" s="1"/>
  <c r="E240" i="52"/>
  <c r="E182" i="52" s="1"/>
  <c r="D140" i="75" s="1"/>
  <c r="D189" i="75" s="1"/>
  <c r="E239" i="52"/>
  <c r="E181" i="52" s="1"/>
  <c r="D139" i="75" s="1"/>
  <c r="O442" i="44"/>
  <c r="L187" i="44"/>
  <c r="L186" i="44"/>
  <c r="L303" i="44"/>
  <c r="L302" i="44"/>
  <c r="O295" i="44"/>
  <c r="L259" i="44"/>
  <c r="L258" i="44"/>
  <c r="B186" i="44"/>
  <c r="B302" i="44"/>
  <c r="B258" i="44"/>
  <c r="B81" i="44"/>
  <c r="B120" i="44"/>
  <c r="H121" i="44"/>
  <c r="O185" i="52" l="1"/>
  <c r="O182" i="52"/>
  <c r="O183" i="52"/>
  <c r="D143" i="75"/>
  <c r="D192" i="75" s="1"/>
  <c r="H265" i="52"/>
  <c r="J265" i="52"/>
  <c r="M265" i="52"/>
  <c r="O265" i="52"/>
  <c r="L244" i="52"/>
  <c r="L272" i="52" s="1"/>
  <c r="L181" i="52"/>
  <c r="K139" i="75" s="1"/>
  <c r="K188" i="75" s="1"/>
  <c r="O184" i="52"/>
  <c r="N142" i="75" s="1"/>
  <c r="G188" i="75"/>
  <c r="G144" i="75"/>
  <c r="G193" i="75" s="1"/>
  <c r="G147" i="75"/>
  <c r="G196" i="75" s="1"/>
  <c r="L188" i="75"/>
  <c r="L144" i="75"/>
  <c r="L193" i="75" s="1"/>
  <c r="L147" i="75"/>
  <c r="L196" i="75" s="1"/>
  <c r="F188" i="75"/>
  <c r="F147" i="75"/>
  <c r="F196" i="75" s="1"/>
  <c r="F144" i="75"/>
  <c r="F193" i="75" s="1"/>
  <c r="M188" i="75"/>
  <c r="M144" i="75"/>
  <c r="M193" i="75" s="1"/>
  <c r="M147" i="75"/>
  <c r="M196" i="75" s="1"/>
  <c r="G190" i="75"/>
  <c r="G145" i="75"/>
  <c r="G194" i="75" s="1"/>
  <c r="J190" i="75"/>
  <c r="J145" i="75"/>
  <c r="J194" i="75" s="1"/>
  <c r="L190" i="75"/>
  <c r="L145" i="75"/>
  <c r="L194" i="75" s="1"/>
  <c r="I190" i="75"/>
  <c r="I145" i="75"/>
  <c r="I194" i="75" s="1"/>
  <c r="F190" i="75"/>
  <c r="F145" i="75"/>
  <c r="F194" i="75" s="1"/>
  <c r="G191" i="75"/>
  <c r="G146" i="75"/>
  <c r="G195" i="75" s="1"/>
  <c r="J191" i="75"/>
  <c r="J146" i="75"/>
  <c r="J195" i="75" s="1"/>
  <c r="M191" i="75"/>
  <c r="M146" i="75"/>
  <c r="M195" i="75" s="1"/>
  <c r="E191" i="75"/>
  <c r="E146" i="75"/>
  <c r="E195" i="75" s="1"/>
  <c r="J188" i="75"/>
  <c r="J144" i="75"/>
  <c r="J193" i="75" s="1"/>
  <c r="J147" i="75"/>
  <c r="J196" i="75" s="1"/>
  <c r="D188" i="75"/>
  <c r="D144" i="75"/>
  <c r="D193" i="75" s="1"/>
  <c r="E188" i="75"/>
  <c r="E144" i="75"/>
  <c r="E193" i="75" s="1"/>
  <c r="E147" i="75"/>
  <c r="E196" i="75" s="1"/>
  <c r="H188" i="75"/>
  <c r="H144" i="75"/>
  <c r="H193" i="75" s="1"/>
  <c r="H147" i="75"/>
  <c r="H196" i="75" s="1"/>
  <c r="I188" i="75"/>
  <c r="I147" i="75"/>
  <c r="I196" i="75" s="1"/>
  <c r="I144" i="75"/>
  <c r="I193" i="75" s="1"/>
  <c r="D145" i="75"/>
  <c r="D194" i="75" s="1"/>
  <c r="D190" i="75"/>
  <c r="K190" i="75"/>
  <c r="K145" i="75"/>
  <c r="K194" i="75" s="1"/>
  <c r="H190" i="75"/>
  <c r="H145" i="75"/>
  <c r="H194" i="75" s="1"/>
  <c r="E190" i="75"/>
  <c r="E145" i="75"/>
  <c r="E194" i="75" s="1"/>
  <c r="M190" i="75"/>
  <c r="M145" i="75"/>
  <c r="M194" i="75" s="1"/>
  <c r="D191" i="75"/>
  <c r="K191" i="75"/>
  <c r="K146" i="75"/>
  <c r="K195" i="75" s="1"/>
  <c r="L191" i="75"/>
  <c r="L146" i="75"/>
  <c r="L195" i="75" s="1"/>
  <c r="F191" i="75"/>
  <c r="F146" i="75"/>
  <c r="F195" i="75" s="1"/>
  <c r="I191" i="75"/>
  <c r="I146" i="75"/>
  <c r="I195" i="75" s="1"/>
  <c r="H191" i="75"/>
  <c r="H146" i="75"/>
  <c r="H195" i="75" s="1"/>
  <c r="J150" i="75"/>
  <c r="J183" i="75"/>
  <c r="K134" i="75"/>
  <c r="J166" i="75"/>
  <c r="O240" i="52"/>
  <c r="M244" i="52"/>
  <c r="M272" i="52" s="1"/>
  <c r="G244" i="52"/>
  <c r="G272" i="52" s="1"/>
  <c r="H244" i="52"/>
  <c r="H272" i="52" s="1"/>
  <c r="N141" i="75"/>
  <c r="I244" i="52"/>
  <c r="I272" i="52" s="1"/>
  <c r="J244" i="52"/>
  <c r="J272" i="52" s="1"/>
  <c r="K244" i="52"/>
  <c r="K272" i="52" s="1"/>
  <c r="O241" i="52"/>
  <c r="O242" i="52"/>
  <c r="F265" i="52"/>
  <c r="O261" i="52"/>
  <c r="P256" i="52" s="1"/>
  <c r="N143" i="75"/>
  <c r="N192" i="75" s="1"/>
  <c r="O243" i="52"/>
  <c r="F244" i="52"/>
  <c r="F272" i="52" s="1"/>
  <c r="N140" i="75"/>
  <c r="N189" i="75" s="1"/>
  <c r="N244" i="52"/>
  <c r="N272" i="52" s="1"/>
  <c r="O239" i="52"/>
  <c r="E244" i="52"/>
  <c r="H82" i="44"/>
  <c r="K147" i="75" l="1"/>
  <c r="K196" i="75" s="1"/>
  <c r="K144" i="75"/>
  <c r="K193" i="75" s="1"/>
  <c r="D146" i="75"/>
  <c r="D195" i="75" s="1"/>
  <c r="D147" i="75"/>
  <c r="D196" i="75" s="1"/>
  <c r="O181" i="52"/>
  <c r="N139" i="75" s="1"/>
  <c r="N188" i="75" s="1"/>
  <c r="P260" i="52"/>
  <c r="P258" i="52"/>
  <c r="P259" i="52"/>
  <c r="P257" i="52"/>
  <c r="L134" i="75"/>
  <c r="K150" i="75"/>
  <c r="K166" i="75"/>
  <c r="K183" i="75"/>
  <c r="N145" i="75"/>
  <c r="N194" i="75" s="1"/>
  <c r="N190" i="75"/>
  <c r="N191" i="75"/>
  <c r="N146" i="75"/>
  <c r="N195" i="75" s="1"/>
  <c r="E272" i="52"/>
  <c r="O244" i="52"/>
  <c r="P241" i="52" s="1"/>
  <c r="L698" i="44"/>
  <c r="M697" i="44" s="1"/>
  <c r="K697" i="44" s="1"/>
  <c r="G698" i="44"/>
  <c r="H697" i="44" s="1"/>
  <c r="F697" i="44" s="1"/>
  <c r="B698" i="44"/>
  <c r="N147" i="75" l="1"/>
  <c r="N196" i="75" s="1"/>
  <c r="N144" i="75"/>
  <c r="N193" i="75" s="1"/>
  <c r="P242" i="52"/>
  <c r="P239" i="52"/>
  <c r="P240" i="52"/>
  <c r="P243" i="52"/>
  <c r="L150" i="75"/>
  <c r="M134" i="75"/>
  <c r="L166" i="75"/>
  <c r="L183" i="75"/>
  <c r="O272" i="52"/>
  <c r="P261" i="52" s="1"/>
  <c r="G697" i="44"/>
  <c r="L697" i="44"/>
  <c r="L621" i="44"/>
  <c r="G621" i="44"/>
  <c r="L117" i="52" s="1"/>
  <c r="B621" i="44"/>
  <c r="M150" i="75" l="1"/>
  <c r="M166" i="75"/>
  <c r="M183" i="75"/>
  <c r="P244" i="52"/>
  <c r="BZ46" i="42"/>
  <c r="N565" i="44"/>
  <c r="M565" i="44"/>
  <c r="L565" i="44"/>
  <c r="K565" i="44"/>
  <c r="J565" i="44"/>
  <c r="I565" i="44"/>
  <c r="H565" i="44"/>
  <c r="G565" i="44"/>
  <c r="F565" i="44"/>
  <c r="E565" i="44"/>
  <c r="N558" i="44"/>
  <c r="M558" i="44"/>
  <c r="L558" i="44"/>
  <c r="K558" i="44"/>
  <c r="J558" i="44"/>
  <c r="I558" i="44"/>
  <c r="H558" i="44"/>
  <c r="G558" i="44"/>
  <c r="F558" i="44"/>
  <c r="E558" i="44"/>
  <c r="N550" i="44"/>
  <c r="M550" i="44"/>
  <c r="L550" i="44"/>
  <c r="K550" i="44"/>
  <c r="J550" i="44"/>
  <c r="I550" i="44"/>
  <c r="H550" i="44"/>
  <c r="G550" i="44"/>
  <c r="F550" i="44"/>
  <c r="E550" i="44"/>
  <c r="N538" i="44"/>
  <c r="M538" i="44"/>
  <c r="L538" i="44"/>
  <c r="K538" i="44"/>
  <c r="J538" i="44"/>
  <c r="I538" i="44"/>
  <c r="H538" i="44"/>
  <c r="G538" i="44"/>
  <c r="F538" i="44"/>
  <c r="E538" i="44"/>
  <c r="N531" i="44"/>
  <c r="M531" i="44"/>
  <c r="L531" i="44"/>
  <c r="K531" i="44"/>
  <c r="J531" i="44"/>
  <c r="I531" i="44"/>
  <c r="H531" i="44"/>
  <c r="G531" i="44"/>
  <c r="F531" i="44"/>
  <c r="E531" i="44"/>
  <c r="F523" i="44"/>
  <c r="G523" i="44"/>
  <c r="H523" i="44"/>
  <c r="I523" i="44"/>
  <c r="J523" i="44"/>
  <c r="K523" i="44"/>
  <c r="L523" i="44"/>
  <c r="M523" i="44"/>
  <c r="N523" i="44"/>
  <c r="E523" i="44"/>
  <c r="O550" i="44" l="1"/>
  <c r="F317" i="52" s="1"/>
  <c r="E325" i="52" s="1"/>
  <c r="O531" i="44"/>
  <c r="E341" i="52" s="1"/>
  <c r="O558" i="44"/>
  <c r="F341" i="52" s="1"/>
  <c r="E349" i="52" s="1"/>
  <c r="O538" i="44"/>
  <c r="E365" i="52" s="1"/>
  <c r="O565" i="44"/>
  <c r="F365" i="52" s="1"/>
  <c r="E373" i="52" s="1"/>
  <c r="O523" i="44"/>
  <c r="E317" i="52" s="1"/>
  <c r="O179" i="44"/>
  <c r="E346" i="52" l="1"/>
  <c r="D344" i="75"/>
  <c r="E370" i="52"/>
  <c r="D374" i="75"/>
  <c r="E322" i="52"/>
  <c r="D311" i="75"/>
  <c r="M308" i="75" s="1"/>
  <c r="O489" i="44"/>
  <c r="O490" i="44"/>
  <c r="O492" i="44"/>
  <c r="O491" i="44"/>
  <c r="O483" i="44"/>
  <c r="O484" i="44"/>
  <c r="O486" i="44"/>
  <c r="O485" i="44"/>
  <c r="O474" i="44"/>
  <c r="O475" i="44"/>
  <c r="O476" i="44"/>
  <c r="O478" i="44"/>
  <c r="O477" i="44"/>
  <c r="O466" i="44"/>
  <c r="O468" i="44"/>
  <c r="O470" i="44"/>
  <c r="O469" i="44"/>
  <c r="O459" i="44"/>
  <c r="O461" i="44"/>
  <c r="O463" i="44"/>
  <c r="O462" i="44"/>
  <c r="O465" i="44"/>
  <c r="O458" i="44"/>
  <c r="O444" i="44"/>
  <c r="O445" i="44"/>
  <c r="O447" i="44"/>
  <c r="O446" i="44"/>
  <c r="O438" i="44"/>
  <c r="O439" i="44"/>
  <c r="O441" i="44"/>
  <c r="O440" i="44"/>
  <c r="O429" i="44"/>
  <c r="M286" i="52" s="1"/>
  <c r="J233" i="75" s="1"/>
  <c r="M233" i="75" s="1"/>
  <c r="O430" i="44"/>
  <c r="O431" i="44"/>
  <c r="I299" i="52" s="1"/>
  <c r="O433" i="44"/>
  <c r="O432" i="44"/>
  <c r="O421" i="44"/>
  <c r="O423" i="44"/>
  <c r="O425" i="44"/>
  <c r="O424" i="44"/>
  <c r="O414" i="44"/>
  <c r="O416" i="44"/>
  <c r="F299" i="52" s="1"/>
  <c r="O418" i="44"/>
  <c r="O417" i="44"/>
  <c r="B489" i="44"/>
  <c r="B475" i="44"/>
  <c r="B483" i="44"/>
  <c r="B444" i="44"/>
  <c r="B430" i="44"/>
  <c r="G301" i="52" l="1"/>
  <c r="G303" i="52"/>
  <c r="F301" i="52"/>
  <c r="H301" i="52" s="1"/>
  <c r="F303" i="52"/>
  <c r="H303" i="52"/>
  <c r="G299" i="52"/>
  <c r="J303" i="52"/>
  <c r="I303" i="52"/>
  <c r="K303" i="52" s="1"/>
  <c r="X303" i="52" s="1"/>
  <c r="I301" i="52"/>
  <c r="G374" i="75"/>
  <c r="J372" i="75" s="1"/>
  <c r="M371" i="75"/>
  <c r="J301" i="52"/>
  <c r="G344" i="75"/>
  <c r="J341" i="75" s="1"/>
  <c r="M340" i="75"/>
  <c r="D407" i="75"/>
  <c r="G311" i="75"/>
  <c r="V301" i="52"/>
  <c r="D252" i="75"/>
  <c r="G252" i="75" s="1"/>
  <c r="V252" i="75" s="1"/>
  <c r="V303" i="52"/>
  <c r="D254" i="75"/>
  <c r="G254" i="75" s="1"/>
  <c r="V254" i="75" s="1"/>
  <c r="H299" i="52"/>
  <c r="J299" i="52"/>
  <c r="K299" i="52" s="1"/>
  <c r="H250" i="75" s="1"/>
  <c r="K250" i="75" s="1"/>
  <c r="X250" i="75" s="1"/>
  <c r="O437" i="44"/>
  <c r="B438" i="44"/>
  <c r="B466" i="44"/>
  <c r="B459" i="44"/>
  <c r="B414" i="44"/>
  <c r="B421" i="44"/>
  <c r="H254" i="75" l="1"/>
  <c r="K254" i="75" s="1"/>
  <c r="X254" i="75" s="1"/>
  <c r="K301" i="52"/>
  <c r="H252" i="75" s="1"/>
  <c r="K252" i="75" s="1"/>
  <c r="X252" i="75" s="1"/>
  <c r="J309" i="75"/>
  <c r="G407" i="75"/>
  <c r="V299" i="52"/>
  <c r="D250" i="75"/>
  <c r="G250" i="75" s="1"/>
  <c r="V250" i="75" s="1"/>
  <c r="X299" i="52"/>
  <c r="M290" i="52"/>
  <c r="J237" i="75" s="1"/>
  <c r="M237" i="75" s="1"/>
  <c r="O443" i="44"/>
  <c r="O488" i="44"/>
  <c r="O482" i="44"/>
  <c r="F554" i="44"/>
  <c r="G554" i="44"/>
  <c r="H554" i="44"/>
  <c r="I554" i="44"/>
  <c r="J554" i="44"/>
  <c r="K554" i="44"/>
  <c r="L554" i="44"/>
  <c r="M554" i="44"/>
  <c r="N554" i="44"/>
  <c r="E554" i="44"/>
  <c r="F527" i="44"/>
  <c r="G527" i="44"/>
  <c r="H527" i="44"/>
  <c r="I527" i="44"/>
  <c r="J527" i="44"/>
  <c r="K527" i="44"/>
  <c r="L527" i="44"/>
  <c r="M527" i="44"/>
  <c r="N527" i="44"/>
  <c r="E527" i="44"/>
  <c r="N456" i="44"/>
  <c r="N547" i="44" s="1"/>
  <c r="X301" i="52" l="1"/>
  <c r="O419" i="75"/>
  <c r="O527" i="44"/>
  <c r="E337" i="52" s="1"/>
  <c r="O487" i="44"/>
  <c r="E456" i="44"/>
  <c r="E547" i="44" s="1"/>
  <c r="O457" i="44"/>
  <c r="O464" i="44"/>
  <c r="O481" i="44"/>
  <c r="I456" i="44"/>
  <c r="I547" i="44" s="1"/>
  <c r="M456" i="44"/>
  <c r="M547" i="44" s="1"/>
  <c r="L456" i="44"/>
  <c r="L547" i="44" s="1"/>
  <c r="H456" i="44"/>
  <c r="H547" i="44" s="1"/>
  <c r="F456" i="44"/>
  <c r="F547" i="44" s="1"/>
  <c r="J456" i="44"/>
  <c r="J547" i="44" s="1"/>
  <c r="G456" i="44"/>
  <c r="G547" i="44" s="1"/>
  <c r="K456" i="44"/>
  <c r="K547" i="44" s="1"/>
  <c r="E347" i="52" l="1"/>
  <c r="O456" i="44"/>
  <c r="O436" i="44"/>
  <c r="G435" i="44"/>
  <c r="G535" i="44" s="1"/>
  <c r="K435" i="44"/>
  <c r="K535" i="44" s="1"/>
  <c r="E435" i="44"/>
  <c r="E535" i="44" s="1"/>
  <c r="M435" i="44"/>
  <c r="M535" i="44" s="1"/>
  <c r="I435" i="44"/>
  <c r="I535" i="44" s="1"/>
  <c r="N435" i="44"/>
  <c r="N535" i="44" s="1"/>
  <c r="F435" i="44"/>
  <c r="F535" i="44" s="1"/>
  <c r="J435" i="44"/>
  <c r="J535" i="44" s="1"/>
  <c r="H435" i="44"/>
  <c r="H535" i="44" s="1"/>
  <c r="L435" i="44"/>
  <c r="L535" i="44" s="1"/>
  <c r="E411" i="44" l="1"/>
  <c r="L411" i="44"/>
  <c r="H411" i="44"/>
  <c r="K411" i="44"/>
  <c r="G411" i="44"/>
  <c r="F411" i="44"/>
  <c r="N411" i="44"/>
  <c r="J411" i="44"/>
  <c r="M411" i="44"/>
  <c r="I411" i="44"/>
  <c r="O419" i="44"/>
  <c r="O412" i="44"/>
  <c r="I449" i="44" l="1"/>
  <c r="I520" i="44"/>
  <c r="F449" i="44"/>
  <c r="F520" i="44"/>
  <c r="J449" i="44"/>
  <c r="J520" i="44"/>
  <c r="K449" i="44"/>
  <c r="K520" i="44"/>
  <c r="N449" i="44"/>
  <c r="N520" i="44"/>
  <c r="H449" i="44"/>
  <c r="H520" i="44"/>
  <c r="L449" i="44"/>
  <c r="L520" i="44"/>
  <c r="M449" i="44"/>
  <c r="M520" i="44"/>
  <c r="G449" i="44"/>
  <c r="G520" i="44"/>
  <c r="E449" i="44"/>
  <c r="E520" i="44"/>
  <c r="O411" i="44"/>
  <c r="BF35" i="42" l="1"/>
  <c r="BF36" i="42"/>
  <c r="BF34" i="42"/>
  <c r="J100" i="52"/>
  <c r="J101" i="52"/>
  <c r="J102" i="52"/>
  <c r="G100" i="52"/>
  <c r="G101" i="52"/>
  <c r="G102" i="52"/>
  <c r="J99" i="52"/>
  <c r="G99" i="52"/>
  <c r="D93" i="52"/>
  <c r="E93" i="52"/>
  <c r="F93" i="52"/>
  <c r="D94" i="52"/>
  <c r="E94" i="52"/>
  <c r="F94" i="52"/>
  <c r="F92" i="52"/>
  <c r="E92" i="52"/>
  <c r="D92" i="52"/>
  <c r="E78" i="52"/>
  <c r="F78" i="52"/>
  <c r="E79" i="52"/>
  <c r="F79" i="52"/>
  <c r="E80" i="52"/>
  <c r="F80" i="52"/>
  <c r="E81" i="52"/>
  <c r="F81" i="52"/>
  <c r="E82" i="52"/>
  <c r="F82" i="52"/>
  <c r="E83" i="52"/>
  <c r="F83" i="52"/>
  <c r="E84" i="52"/>
  <c r="F84" i="52"/>
  <c r="E85" i="52"/>
  <c r="F85" i="52"/>
  <c r="E86" i="52"/>
  <c r="F86" i="52"/>
  <c r="F77" i="52"/>
  <c r="E77" i="52"/>
  <c r="I78" i="52"/>
  <c r="I79" i="52"/>
  <c r="I80" i="52"/>
  <c r="I81" i="52"/>
  <c r="I77" i="52"/>
  <c r="K76" i="52"/>
  <c r="J76" i="52"/>
  <c r="D78" i="52"/>
  <c r="D79" i="52"/>
  <c r="D80" i="52"/>
  <c r="D81" i="52"/>
  <c r="D82" i="52"/>
  <c r="D83" i="52"/>
  <c r="D84" i="52"/>
  <c r="D85" i="52"/>
  <c r="D86" i="52"/>
  <c r="D77" i="52"/>
  <c r="K92" i="52" l="1"/>
  <c r="BZ34" i="42" s="1"/>
  <c r="L93" i="52"/>
  <c r="BY35" i="42" s="1"/>
  <c r="K93" i="52"/>
  <c r="BZ35" i="42" s="1"/>
  <c r="K95" i="52"/>
  <c r="K96" i="52"/>
  <c r="K94" i="52"/>
  <c r="BZ36" i="42" s="1"/>
  <c r="J93" i="52"/>
  <c r="BR35" i="42" s="1"/>
  <c r="L94" i="52"/>
  <c r="BY36" i="42" s="1"/>
  <c r="J95" i="52"/>
  <c r="J96" i="52"/>
  <c r="I96" i="52"/>
  <c r="I95" i="52"/>
  <c r="L95" i="52"/>
  <c r="L96" i="52"/>
  <c r="J94" i="52"/>
  <c r="BR36" i="42" s="1"/>
  <c r="L92" i="52"/>
  <c r="BY34" i="42" s="1"/>
  <c r="I92" i="52"/>
  <c r="BS34" i="42" s="1"/>
  <c r="J92" i="52"/>
  <c r="BR34" i="42" s="1"/>
  <c r="J77" i="52"/>
  <c r="AS34" i="42" s="1"/>
  <c r="I93" i="52"/>
  <c r="BS35" i="42" s="1"/>
  <c r="I94" i="52"/>
  <c r="BS36" i="42" s="1"/>
  <c r="J78" i="52"/>
  <c r="AS35" i="42" s="1"/>
  <c r="K81" i="52"/>
  <c r="AU38" i="42" s="1"/>
  <c r="K80" i="52"/>
  <c r="AU37" i="42" s="1"/>
  <c r="K79" i="52"/>
  <c r="AU36" i="42" s="1"/>
  <c r="K78" i="52"/>
  <c r="AU35" i="42" s="1"/>
  <c r="J81" i="52"/>
  <c r="AS38" i="42" s="1"/>
  <c r="K77" i="52"/>
  <c r="AU34" i="42" s="1"/>
  <c r="J79" i="52"/>
  <c r="AS36" i="42" s="1"/>
  <c r="J80" i="52"/>
  <c r="AS37" i="42" s="1"/>
  <c r="K36" i="42" l="1"/>
  <c r="K35" i="42"/>
  <c r="K34" i="42"/>
  <c r="D36" i="42"/>
  <c r="D35" i="42"/>
  <c r="D34" i="42"/>
  <c r="I18" i="44"/>
  <c r="D134" i="42"/>
  <c r="B728" i="44" l="1"/>
  <c r="B716" i="44"/>
  <c r="N17" i="44"/>
  <c r="N16" i="44"/>
  <c r="K16" i="44"/>
  <c r="K17" i="44"/>
  <c r="I11" i="44"/>
  <c r="I12" i="44"/>
  <c r="I10" i="44"/>
  <c r="N18" i="44"/>
  <c r="K18" i="44"/>
  <c r="K8" i="44"/>
  <c r="N8" i="44"/>
  <c r="D50" i="52"/>
  <c r="I54" i="52"/>
  <c r="I53" i="52"/>
  <c r="I52" i="52"/>
  <c r="E54" i="52"/>
  <c r="E53" i="52"/>
  <c r="E52" i="52"/>
  <c r="B157" i="44" l="1"/>
  <c r="H26" i="52"/>
  <c r="G26" i="52"/>
  <c r="E26" i="52"/>
  <c r="G23" i="52"/>
  <c r="H23" i="52"/>
  <c r="E23" i="52"/>
  <c r="D19" i="75" s="1"/>
  <c r="O19" i="75" s="1"/>
  <c r="G19" i="75" l="1"/>
  <c r="F19" i="75"/>
  <c r="F23" i="52"/>
  <c r="L33" i="52" s="1"/>
  <c r="F26" i="52"/>
  <c r="L30" i="52" s="1"/>
  <c r="B636" i="44"/>
  <c r="B635" i="44"/>
  <c r="B634" i="44"/>
  <c r="B631" i="44"/>
  <c r="B630" i="44"/>
  <c r="B627" i="44"/>
  <c r="B626" i="44"/>
  <c r="B625" i="44"/>
  <c r="B618" i="44"/>
  <c r="B617" i="44"/>
  <c r="B622" i="44"/>
  <c r="B614" i="44"/>
  <c r="B613" i="44"/>
  <c r="B610" i="44"/>
  <c r="B609" i="44"/>
  <c r="B608" i="44"/>
  <c r="B607" i="44"/>
  <c r="B606" i="44"/>
  <c r="B605" i="44"/>
  <c r="B695" i="44"/>
  <c r="B694" i="44"/>
  <c r="B693" i="44"/>
  <c r="B690" i="44"/>
  <c r="B689" i="44"/>
  <c r="B686" i="44"/>
  <c r="B685" i="44"/>
  <c r="B679" i="44"/>
  <c r="B682" i="44"/>
  <c r="B676" i="44"/>
  <c r="B675" i="44"/>
  <c r="B672" i="44"/>
  <c r="B671" i="44"/>
  <c r="B222" i="44"/>
  <c r="B221" i="44"/>
  <c r="B220" i="44"/>
  <c r="B273" i="44"/>
  <c r="B272" i="44"/>
  <c r="B271" i="44"/>
  <c r="B270" i="44"/>
  <c r="B269" i="44"/>
  <c r="B316" i="44"/>
  <c r="B315" i="44"/>
  <c r="B314" i="44"/>
  <c r="B313" i="44"/>
  <c r="B312" i="44"/>
  <c r="B491" i="44"/>
  <c r="B485" i="44"/>
  <c r="B477" i="44"/>
  <c r="B469" i="44"/>
  <c r="B462" i="44"/>
  <c r="B446" i="44"/>
  <c r="B440" i="44"/>
  <c r="B432" i="44"/>
  <c r="B424" i="44"/>
  <c r="B417" i="44"/>
  <c r="B492" i="44"/>
  <c r="B486" i="44"/>
  <c r="B478" i="44"/>
  <c r="B470" i="44"/>
  <c r="B463" i="44"/>
  <c r="B447" i="44"/>
  <c r="B441" i="44"/>
  <c r="B433" i="44"/>
  <c r="B425" i="44"/>
  <c r="B418" i="44"/>
  <c r="B490" i="44"/>
  <c r="B484" i="44"/>
  <c r="B476" i="44"/>
  <c r="B468" i="44"/>
  <c r="B461" i="44"/>
  <c r="B445" i="44"/>
  <c r="B439" i="44"/>
  <c r="B431" i="44"/>
  <c r="B423" i="44"/>
  <c r="B416" i="44"/>
  <c r="E19" i="75" l="1"/>
  <c r="M19" i="75" s="1"/>
  <c r="O580" i="44"/>
  <c r="I16" i="44" s="1"/>
  <c r="O67" i="44"/>
  <c r="I9" i="44" s="1"/>
  <c r="O646" i="44"/>
  <c r="I17" i="44" s="1"/>
  <c r="O137" i="44"/>
  <c r="O128" i="44"/>
  <c r="O98" i="44"/>
  <c r="O89" i="44"/>
  <c r="I369" i="44" l="1"/>
  <c r="K13" i="44" s="1"/>
  <c r="B361" i="44" l="1"/>
  <c r="B351" i="44"/>
  <c r="O363" i="44"/>
  <c r="H363" i="44"/>
  <c r="O353" i="44"/>
  <c r="H353" i="44"/>
  <c r="B488" i="44"/>
  <c r="B482" i="44"/>
  <c r="B474" i="44"/>
  <c r="B473" i="44"/>
  <c r="B465" i="44"/>
  <c r="B458" i="44"/>
  <c r="B443" i="44"/>
  <c r="B437" i="44"/>
  <c r="B429" i="44"/>
  <c r="B428" i="44"/>
  <c r="B420" i="44"/>
  <c r="B413" i="44"/>
  <c r="B564" i="44"/>
  <c r="B563" i="44"/>
  <c r="B557" i="44"/>
  <c r="B556" i="44"/>
  <c r="B549" i="44"/>
  <c r="B548" i="44"/>
  <c r="B537" i="44"/>
  <c r="B536" i="44"/>
  <c r="B530" i="44"/>
  <c r="B529" i="44"/>
  <c r="B522" i="44"/>
  <c r="B521" i="44"/>
  <c r="O375" i="44" l="1"/>
  <c r="I14" i="44" s="1"/>
  <c r="O338" i="44"/>
  <c r="I13" i="44" s="1"/>
  <c r="O473" i="44" l="1"/>
  <c r="O428" i="44"/>
  <c r="M283" i="52" s="1"/>
  <c r="J230" i="75" s="1"/>
  <c r="M230" i="75" s="1"/>
  <c r="F545" i="44"/>
  <c r="G545" i="44" s="1"/>
  <c r="H545" i="44" s="1"/>
  <c r="I545" i="44" s="1"/>
  <c r="J545" i="44" s="1"/>
  <c r="K545" i="44" s="1"/>
  <c r="L545" i="44" s="1"/>
  <c r="M545" i="44" s="1"/>
  <c r="N545" i="44" s="1"/>
  <c r="O507" i="44" l="1"/>
  <c r="I15" i="44" s="1"/>
  <c r="D29" i="44"/>
  <c r="BP116" i="42" l="1"/>
  <c r="AZ116" i="42"/>
  <c r="AH116" i="42"/>
  <c r="AF116" i="42"/>
  <c r="AD116" i="42"/>
  <c r="Z116" i="42"/>
  <c r="AB116" i="42"/>
  <c r="X116" i="42"/>
  <c r="V116" i="42"/>
  <c r="R116" i="42"/>
  <c r="P116" i="42"/>
  <c r="N116" i="42"/>
  <c r="J116" i="42"/>
  <c r="L116" i="42"/>
  <c r="H116" i="42"/>
  <c r="F116" i="42"/>
  <c r="BX116" i="42"/>
  <c r="BV116" i="42"/>
  <c r="BT116" i="42"/>
  <c r="BR116" i="42"/>
  <c r="BN116" i="42"/>
  <c r="BL116" i="42"/>
  <c r="BH116" i="42"/>
  <c r="BF116" i="42"/>
  <c r="BD116" i="42"/>
  <c r="BB116" i="42"/>
  <c r="AX116" i="42"/>
  <c r="AV116" i="42"/>
  <c r="F64" i="52" l="1"/>
  <c r="E47" i="75" s="1"/>
  <c r="G64" i="52"/>
  <c r="F47" i="75" s="1"/>
  <c r="H64" i="52"/>
  <c r="G47" i="75" s="1"/>
  <c r="I64" i="52"/>
  <c r="H47" i="75" s="1"/>
  <c r="J64" i="52"/>
  <c r="I47" i="75" s="1"/>
  <c r="F63" i="52"/>
  <c r="E44" i="75" s="1"/>
  <c r="G63" i="52"/>
  <c r="F44" i="75" s="1"/>
  <c r="H63" i="52"/>
  <c r="G44" i="75" s="1"/>
  <c r="I63" i="52"/>
  <c r="H44" i="75" s="1"/>
  <c r="J63" i="52"/>
  <c r="I44" i="75" s="1"/>
  <c r="E64" i="52"/>
  <c r="D47" i="75" s="1"/>
  <c r="E63" i="52"/>
  <c r="D44" i="75" s="1"/>
  <c r="J44" i="75" l="1"/>
  <c r="J47" i="75"/>
  <c r="K64" i="52"/>
  <c r="I572" i="44" l="1"/>
  <c r="N15" i="44" s="1"/>
  <c r="I570" i="44"/>
  <c r="K15" i="44" s="1"/>
  <c r="I499" i="44"/>
  <c r="N14" i="44" s="1"/>
  <c r="I497" i="44"/>
  <c r="K14" i="44" s="1"/>
  <c r="I371" i="44"/>
  <c r="N13" i="44" s="1"/>
  <c r="I287" i="44"/>
  <c r="N11" i="44" s="1"/>
  <c r="I285" i="44"/>
  <c r="K11" i="44" s="1"/>
  <c r="I330" i="44"/>
  <c r="N12" i="44" s="1"/>
  <c r="I328" i="44"/>
  <c r="K12" i="44" s="1"/>
  <c r="I243" i="44"/>
  <c r="N10" i="44" s="1"/>
  <c r="I241" i="44"/>
  <c r="K10" i="44" s="1"/>
  <c r="L146" i="52" l="1"/>
  <c r="D141" i="52" s="1"/>
  <c r="D110" i="52" l="1"/>
  <c r="Q119" i="52" s="1"/>
  <c r="D111" i="52"/>
  <c r="Q121" i="52" s="1"/>
  <c r="D112" i="52"/>
  <c r="Q123" i="52" s="1"/>
  <c r="D113" i="52"/>
  <c r="Q125" i="52" s="1"/>
  <c r="D114" i="52"/>
  <c r="Q127" i="52" s="1"/>
  <c r="L115" i="52" l="1"/>
  <c r="F551" i="44"/>
  <c r="G551" i="44"/>
  <c r="H551" i="44"/>
  <c r="I551" i="44"/>
  <c r="J551" i="44"/>
  <c r="K551" i="44"/>
  <c r="L551" i="44"/>
  <c r="M551" i="44"/>
  <c r="N555" i="44"/>
  <c r="E551" i="44"/>
  <c r="O564" i="44"/>
  <c r="F364" i="52" s="1"/>
  <c r="O563" i="44"/>
  <c r="F363" i="52" s="1"/>
  <c r="O557" i="44"/>
  <c r="F340" i="52" s="1"/>
  <c r="O556" i="44"/>
  <c r="F339" i="52" s="1"/>
  <c r="O549" i="44"/>
  <c r="F316" i="52" s="1"/>
  <c r="O548" i="44"/>
  <c r="F315" i="52" s="1"/>
  <c r="D115" i="52" l="1"/>
  <c r="Q129" i="52" s="1"/>
  <c r="N559" i="44"/>
  <c r="E555" i="44"/>
  <c r="F555" i="44"/>
  <c r="F559" i="44" s="1"/>
  <c r="N551" i="44"/>
  <c r="O551" i="44" s="1"/>
  <c r="F318" i="52" s="1"/>
  <c r="F325" i="52" s="1"/>
  <c r="J555" i="44"/>
  <c r="J559" i="44" s="1"/>
  <c r="O554" i="44"/>
  <c r="F337" i="52" s="1"/>
  <c r="D340" i="75" s="1"/>
  <c r="G340" i="75" s="1"/>
  <c r="O547" i="44"/>
  <c r="F314" i="52" s="1"/>
  <c r="E324" i="52" s="1"/>
  <c r="G555" i="44"/>
  <c r="G559" i="44" s="1"/>
  <c r="K555" i="44"/>
  <c r="K559" i="44" s="1"/>
  <c r="H555" i="44"/>
  <c r="H559" i="44" s="1"/>
  <c r="L555" i="44"/>
  <c r="L559" i="44" s="1"/>
  <c r="I555" i="44"/>
  <c r="I559" i="44" s="1"/>
  <c r="M555" i="44"/>
  <c r="M559" i="44" s="1"/>
  <c r="J340" i="75" l="1"/>
  <c r="F351" i="75"/>
  <c r="G351" i="75" s="1"/>
  <c r="N361" i="75" s="1"/>
  <c r="E348" i="52"/>
  <c r="M341" i="52"/>
  <c r="N341" i="52" s="1"/>
  <c r="AT101" i="42" s="1"/>
  <c r="O555" i="44"/>
  <c r="F338" i="52" s="1"/>
  <c r="E559" i="44"/>
  <c r="O559" i="44" s="1"/>
  <c r="F342" i="52" s="1"/>
  <c r="F349" i="52" s="1"/>
  <c r="L111" i="52" l="1"/>
  <c r="L112" i="52"/>
  <c r="L113" i="52"/>
  <c r="L114" i="52"/>
  <c r="L110" i="52"/>
  <c r="E111" i="52"/>
  <c r="E112" i="52"/>
  <c r="E113" i="52"/>
  <c r="E114" i="52"/>
  <c r="E115" i="52"/>
  <c r="E110" i="52"/>
  <c r="L142" i="52"/>
  <c r="L143" i="52"/>
  <c r="L144" i="52"/>
  <c r="L141" i="52"/>
  <c r="I110" i="52" l="1"/>
  <c r="I113" i="52"/>
  <c r="I115" i="52"/>
  <c r="I111" i="52"/>
  <c r="I112" i="52"/>
  <c r="I114" i="52"/>
  <c r="D146" i="52"/>
  <c r="Q151" i="52" s="1"/>
  <c r="E145" i="52"/>
  <c r="I145" i="52" s="1"/>
  <c r="D145" i="52"/>
  <c r="Q153" i="52" s="1"/>
  <c r="E144" i="52"/>
  <c r="I144" i="52" s="1"/>
  <c r="D144" i="52"/>
  <c r="Q155" i="52" s="1"/>
  <c r="E142" i="52"/>
  <c r="I142" i="52" s="1"/>
  <c r="D142" i="52"/>
  <c r="Q159" i="52" s="1"/>
  <c r="E143" i="52"/>
  <c r="I143" i="52" s="1"/>
  <c r="D143" i="52"/>
  <c r="Q157" i="52" s="1"/>
  <c r="E141" i="52"/>
  <c r="I141" i="52" s="1"/>
  <c r="Q161" i="52"/>
  <c r="E146" i="52"/>
  <c r="I146" i="52" s="1"/>
  <c r="D140" i="52"/>
  <c r="D109" i="52" l="1"/>
  <c r="I171" i="44" l="1"/>
  <c r="N9" i="44" s="1"/>
  <c r="I169" i="44"/>
  <c r="K9" i="44" s="1"/>
  <c r="F226" i="52" l="1"/>
  <c r="AU67" i="42" s="1"/>
  <c r="F225" i="52"/>
  <c r="F224" i="52"/>
  <c r="D137" i="75" s="1"/>
  <c r="F223" i="52"/>
  <c r="AU61" i="42" s="1"/>
  <c r="F62" i="52"/>
  <c r="E41" i="75" s="1"/>
  <c r="G62" i="52"/>
  <c r="F41" i="75" s="1"/>
  <c r="H62" i="52"/>
  <c r="G41" i="75" s="1"/>
  <c r="I62" i="52"/>
  <c r="H41" i="75" s="1"/>
  <c r="J62" i="52"/>
  <c r="I41" i="75" s="1"/>
  <c r="E62" i="52"/>
  <c r="D41" i="75" s="1"/>
  <c r="F61" i="52"/>
  <c r="E38" i="75" s="1"/>
  <c r="G61" i="52"/>
  <c r="F38" i="75" s="1"/>
  <c r="H61" i="52"/>
  <c r="G38" i="75" s="1"/>
  <c r="I61" i="52"/>
  <c r="H38" i="75" s="1"/>
  <c r="J61" i="52"/>
  <c r="I38" i="75" s="1"/>
  <c r="E61" i="52"/>
  <c r="D38" i="75" s="1"/>
  <c r="E24" i="52"/>
  <c r="D45" i="75" s="1"/>
  <c r="E25" i="52"/>
  <c r="D48" i="75" s="1"/>
  <c r="I49" i="75" s="1"/>
  <c r="J41" i="75" l="1"/>
  <c r="D186" i="75"/>
  <c r="M200" i="75" s="1"/>
  <c r="E137" i="75"/>
  <c r="AU65" i="42"/>
  <c r="D138" i="75"/>
  <c r="E49" i="75"/>
  <c r="D49" i="75"/>
  <c r="G49" i="75"/>
  <c r="H49" i="75"/>
  <c r="F49" i="75"/>
  <c r="J49" i="75"/>
  <c r="J38" i="75"/>
  <c r="AU59" i="42"/>
  <c r="D136" i="75"/>
  <c r="AU63" i="42"/>
  <c r="D46" i="75"/>
  <c r="G46" i="75"/>
  <c r="F46" i="75"/>
  <c r="I46" i="75"/>
  <c r="E46" i="75"/>
  <c r="H46" i="75"/>
  <c r="J46" i="75"/>
  <c r="K63" i="52"/>
  <c r="K62" i="52"/>
  <c r="K61" i="52"/>
  <c r="F237" i="52"/>
  <c r="G237" i="52" s="1"/>
  <c r="H237" i="52" s="1"/>
  <c r="I237" i="52" s="1"/>
  <c r="J237" i="52" s="1"/>
  <c r="K237" i="52" s="1"/>
  <c r="L237" i="52" s="1"/>
  <c r="M237" i="52" s="1"/>
  <c r="N237" i="52" s="1"/>
  <c r="F227" i="52"/>
  <c r="G25" i="52"/>
  <c r="F25" i="52" s="1"/>
  <c r="L28" i="52" s="1"/>
  <c r="G24" i="52"/>
  <c r="F24" i="52" s="1"/>
  <c r="L26" i="52" s="1"/>
  <c r="G22" i="52"/>
  <c r="E22" i="52"/>
  <c r="G21" i="52"/>
  <c r="E21" i="52"/>
  <c r="F137" i="75" l="1"/>
  <c r="E186" i="75"/>
  <c r="D39" i="75"/>
  <c r="D17" i="75"/>
  <c r="D42" i="75"/>
  <c r="D18" i="75"/>
  <c r="O18" i="75" s="1"/>
  <c r="E138" i="75"/>
  <c r="E187" i="75" s="1"/>
  <c r="D187" i="75"/>
  <c r="M201" i="75" s="1"/>
  <c r="F22" i="52"/>
  <c r="L24" i="52" s="1"/>
  <c r="F18" i="75"/>
  <c r="E18" i="75" s="1"/>
  <c r="M18" i="75" s="1"/>
  <c r="F21" i="52"/>
  <c r="L22" i="52" s="1"/>
  <c r="F17" i="75"/>
  <c r="E17" i="75" s="1"/>
  <c r="M17" i="75" s="1"/>
  <c r="E136" i="75"/>
  <c r="E185" i="75" s="1"/>
  <c r="D185" i="75"/>
  <c r="M199" i="75" s="1"/>
  <c r="E28" i="52"/>
  <c r="AU70" i="42"/>
  <c r="G137" i="75" l="1"/>
  <c r="F186" i="75"/>
  <c r="F136" i="75"/>
  <c r="F185" i="75" s="1"/>
  <c r="F138" i="75"/>
  <c r="F187" i="75" s="1"/>
  <c r="I40" i="75"/>
  <c r="I50" i="75" s="1"/>
  <c r="D40" i="75"/>
  <c r="D50" i="75" s="1"/>
  <c r="E40" i="75"/>
  <c r="E50" i="75" s="1"/>
  <c r="K52" i="75"/>
  <c r="H40" i="75"/>
  <c r="H50" i="75" s="1"/>
  <c r="F40" i="75"/>
  <c r="F50" i="75" s="1"/>
  <c r="G40" i="75"/>
  <c r="G50" i="75" s="1"/>
  <c r="D43" i="75"/>
  <c r="D51" i="75" s="1"/>
  <c r="I43" i="75"/>
  <c r="I51" i="75" s="1"/>
  <c r="E43" i="75"/>
  <c r="E51" i="75" s="1"/>
  <c r="H43" i="75"/>
  <c r="H51" i="75" s="1"/>
  <c r="G43" i="75"/>
  <c r="G51" i="75" s="1"/>
  <c r="F43" i="75"/>
  <c r="F51" i="75" s="1"/>
  <c r="J43" i="75"/>
  <c r="J51" i="75" s="1"/>
  <c r="J40" i="75"/>
  <c r="J50" i="75" s="1"/>
  <c r="D94" i="75" s="1"/>
  <c r="O17" i="75"/>
  <c r="D27" i="75"/>
  <c r="I26" i="52"/>
  <c r="I23" i="52"/>
  <c r="I25" i="52"/>
  <c r="I24" i="52"/>
  <c r="I21" i="52"/>
  <c r="I22" i="52"/>
  <c r="H137" i="75" l="1"/>
  <c r="G186" i="75"/>
  <c r="G136" i="75"/>
  <c r="G185" i="75" s="1"/>
  <c r="I95" i="75"/>
  <c r="D108" i="75" s="1"/>
  <c r="D95" i="75"/>
  <c r="E95" i="75"/>
  <c r="H108" i="75" s="1"/>
  <c r="G95" i="75"/>
  <c r="F108" i="75" s="1"/>
  <c r="F95" i="75"/>
  <c r="G108" i="75" s="1"/>
  <c r="H95" i="75"/>
  <c r="E108" i="75" s="1"/>
  <c r="G138" i="75"/>
  <c r="G187" i="75" s="1"/>
  <c r="I94" i="75"/>
  <c r="D107" i="75" s="1"/>
  <c r="F94" i="75"/>
  <c r="G107" i="75" s="1"/>
  <c r="J52" i="75"/>
  <c r="E94" i="75"/>
  <c r="H107" i="75" s="1"/>
  <c r="G94" i="75"/>
  <c r="F107" i="75" s="1"/>
  <c r="H94" i="75"/>
  <c r="E107" i="75" s="1"/>
  <c r="L695" i="44"/>
  <c r="L694" i="44"/>
  <c r="L693" i="44"/>
  <c r="L690" i="44"/>
  <c r="L689" i="44"/>
  <c r="L686" i="44"/>
  <c r="L685" i="44"/>
  <c r="L679" i="44"/>
  <c r="L682" i="44"/>
  <c r="L676" i="44"/>
  <c r="L675" i="44"/>
  <c r="L672" i="44"/>
  <c r="L671" i="44"/>
  <c r="G695" i="44"/>
  <c r="G694" i="44"/>
  <c r="G693" i="44"/>
  <c r="G690" i="44"/>
  <c r="G689" i="44"/>
  <c r="G686" i="44"/>
  <c r="G685" i="44"/>
  <c r="G679" i="44"/>
  <c r="G682" i="44"/>
  <c r="G681" i="44" s="1"/>
  <c r="G676" i="44"/>
  <c r="G675" i="44"/>
  <c r="G672" i="44"/>
  <c r="G671" i="44"/>
  <c r="H670" i="44" s="1"/>
  <c r="E528" i="44"/>
  <c r="O537" i="44"/>
  <c r="E364" i="52" s="1"/>
  <c r="M670" i="44" l="1"/>
  <c r="E392" i="52" s="1"/>
  <c r="G670" i="44"/>
  <c r="H186" i="75"/>
  <c r="I137" i="75"/>
  <c r="I107" i="75"/>
  <c r="J107" i="75" s="1"/>
  <c r="J94" i="75"/>
  <c r="J95" i="75"/>
  <c r="I108" i="75"/>
  <c r="J108" i="75" s="1"/>
  <c r="M366" i="52"/>
  <c r="N366" i="52" s="1"/>
  <c r="BV102" i="42" s="1"/>
  <c r="D373" i="75"/>
  <c r="G373" i="75" s="1"/>
  <c r="F383" i="75" s="1"/>
  <c r="G383" i="75" s="1"/>
  <c r="N393" i="75" s="1"/>
  <c r="H138" i="75"/>
  <c r="H187" i="75" s="1"/>
  <c r="H136" i="75"/>
  <c r="H185" i="75" s="1"/>
  <c r="G674" i="44"/>
  <c r="H674" i="44"/>
  <c r="F390" i="52" s="1"/>
  <c r="L670" i="44"/>
  <c r="L674" i="44"/>
  <c r="M681" i="44"/>
  <c r="L681" i="44"/>
  <c r="M678" i="44"/>
  <c r="L678" i="44"/>
  <c r="G678" i="44"/>
  <c r="G688" i="44"/>
  <c r="M684" i="44"/>
  <c r="I392" i="52" s="1"/>
  <c r="M688" i="44"/>
  <c r="J392" i="52" s="1"/>
  <c r="L692" i="44"/>
  <c r="L688" i="44"/>
  <c r="M692" i="44"/>
  <c r="K392" i="52" s="1"/>
  <c r="M674" i="44"/>
  <c r="L684" i="44"/>
  <c r="G692" i="44"/>
  <c r="G684" i="44"/>
  <c r="E524" i="44"/>
  <c r="L700" i="44" l="1"/>
  <c r="G700" i="44"/>
  <c r="E394" i="52" s="1"/>
  <c r="E390" i="52"/>
  <c r="I186" i="75"/>
  <c r="J137" i="75"/>
  <c r="I138" i="75"/>
  <c r="I187" i="75" s="1"/>
  <c r="I136" i="75"/>
  <c r="I185" i="75" s="1"/>
  <c r="E395" i="52"/>
  <c r="K681" i="44"/>
  <c r="H392" i="52"/>
  <c r="K678" i="44"/>
  <c r="G392" i="52"/>
  <c r="M700" i="44"/>
  <c r="F392" i="52"/>
  <c r="K684" i="44"/>
  <c r="K688" i="44"/>
  <c r="K692" i="44"/>
  <c r="K674" i="44"/>
  <c r="F670" i="44"/>
  <c r="K670" i="44"/>
  <c r="N395" i="52" l="1"/>
  <c r="N272" i="75" s="1"/>
  <c r="K137" i="75"/>
  <c r="J186" i="75"/>
  <c r="J114" i="42"/>
  <c r="L272" i="75"/>
  <c r="J138" i="75"/>
  <c r="J187" i="75" s="1"/>
  <c r="J136" i="75"/>
  <c r="J185" i="75" s="1"/>
  <c r="Z114" i="42"/>
  <c r="M272" i="75"/>
  <c r="L392" i="52"/>
  <c r="M271" i="75" s="1"/>
  <c r="K700" i="44"/>
  <c r="L137" i="75" l="1"/>
  <c r="K186" i="75"/>
  <c r="K136" i="75"/>
  <c r="K185" i="75" s="1"/>
  <c r="K138" i="75"/>
  <c r="K187" i="75" s="1"/>
  <c r="G285" i="75"/>
  <c r="AM39" i="77" s="1"/>
  <c r="L636" i="44"/>
  <c r="M371" i="52" s="1"/>
  <c r="L635" i="44"/>
  <c r="M347" i="52" s="1"/>
  <c r="L634" i="44"/>
  <c r="M323" i="52" s="1"/>
  <c r="L631" i="44"/>
  <c r="L630" i="44"/>
  <c r="M190" i="52" s="1"/>
  <c r="L627" i="44"/>
  <c r="L626" i="44"/>
  <c r="L625" i="44"/>
  <c r="M191" i="52" s="1"/>
  <c r="L618" i="44"/>
  <c r="M197" i="52" s="1"/>
  <c r="L617" i="44"/>
  <c r="L622" i="44"/>
  <c r="M198" i="52" s="1"/>
  <c r="L614" i="44"/>
  <c r="M196" i="52" s="1"/>
  <c r="L613" i="44"/>
  <c r="L610" i="44"/>
  <c r="L64" i="52" s="1"/>
  <c r="L609" i="44"/>
  <c r="L63" i="52" s="1"/>
  <c r="M63" i="52" s="1"/>
  <c r="L44" i="75" s="1"/>
  <c r="L608" i="44"/>
  <c r="L607" i="44"/>
  <c r="L606" i="44"/>
  <c r="L605" i="44"/>
  <c r="J24" i="52" s="1"/>
  <c r="J25" i="52" l="1"/>
  <c r="J29" i="52"/>
  <c r="O190" i="52"/>
  <c r="L186" i="75"/>
  <c r="M137" i="75"/>
  <c r="L136" i="75"/>
  <c r="L185" i="75" s="1"/>
  <c r="L138" i="75"/>
  <c r="L187" i="75" s="1"/>
  <c r="M604" i="44"/>
  <c r="E404" i="52" s="1"/>
  <c r="M192" i="52"/>
  <c r="M325" i="52"/>
  <c r="M194" i="52"/>
  <c r="M373" i="52"/>
  <c r="M193" i="52"/>
  <c r="M349" i="52"/>
  <c r="M620" i="44"/>
  <c r="L620" i="44"/>
  <c r="BB16" i="42"/>
  <c r="BB20" i="42"/>
  <c r="L612" i="44"/>
  <c r="H678" i="44"/>
  <c r="H692" i="44"/>
  <c r="K390" i="52" s="1"/>
  <c r="M612" i="44"/>
  <c r="L616" i="44"/>
  <c r="H684" i="44"/>
  <c r="I390" i="52" s="1"/>
  <c r="L629" i="44"/>
  <c r="M616" i="44"/>
  <c r="L633" i="44"/>
  <c r="M624" i="44"/>
  <c r="H681" i="44"/>
  <c r="H390" i="52" s="1"/>
  <c r="L624" i="44"/>
  <c r="H688" i="44"/>
  <c r="J390" i="52" s="1"/>
  <c r="M629" i="44"/>
  <c r="M633" i="44"/>
  <c r="K404" i="52" s="1"/>
  <c r="G627" i="44"/>
  <c r="M372" i="52" s="1"/>
  <c r="G606" i="44"/>
  <c r="J22" i="52" s="1"/>
  <c r="G607" i="44"/>
  <c r="J21" i="52" s="1"/>
  <c r="G608" i="44"/>
  <c r="G609" i="44"/>
  <c r="L61" i="52" s="1"/>
  <c r="G610" i="44"/>
  <c r="G613" i="44"/>
  <c r="O71" i="52" s="1"/>
  <c r="G614" i="44"/>
  <c r="F196" i="52" s="1"/>
  <c r="F207" i="52" s="1"/>
  <c r="G622" i="44"/>
  <c r="F198" i="52" s="1"/>
  <c r="F209" i="52" s="1"/>
  <c r="G617" i="44"/>
  <c r="L148" i="52" s="1"/>
  <c r="G618" i="44"/>
  <c r="F197" i="52" s="1"/>
  <c r="F208" i="52" s="1"/>
  <c r="G625" i="44"/>
  <c r="F191" i="52" s="1"/>
  <c r="F202" i="52" s="1"/>
  <c r="J202" i="52" s="1"/>
  <c r="G626" i="44"/>
  <c r="M348" i="52" s="1"/>
  <c r="G630" i="44"/>
  <c r="F190" i="52" s="1"/>
  <c r="G631" i="44"/>
  <c r="G634" i="44"/>
  <c r="M322" i="52" s="1"/>
  <c r="G635" i="44"/>
  <c r="M346" i="52" s="1"/>
  <c r="G636" i="44"/>
  <c r="M370" i="52" s="1"/>
  <c r="F539" i="44"/>
  <c r="G539" i="44"/>
  <c r="H539" i="44"/>
  <c r="I539" i="44"/>
  <c r="J539" i="44"/>
  <c r="K539" i="44"/>
  <c r="L539" i="44"/>
  <c r="M539" i="44"/>
  <c r="N539" i="44"/>
  <c r="E532" i="44"/>
  <c r="O521" i="44"/>
  <c r="E315" i="52" s="1"/>
  <c r="D309" i="75" s="1"/>
  <c r="O536" i="44"/>
  <c r="E363" i="52" s="1"/>
  <c r="D372" i="75" s="1"/>
  <c r="G372" i="75" s="1"/>
  <c r="O530" i="44"/>
  <c r="E340" i="52" s="1"/>
  <c r="O529" i="44"/>
  <c r="E339" i="52" s="1"/>
  <c r="D342" i="75" s="1"/>
  <c r="G342" i="75" s="1"/>
  <c r="O522" i="44"/>
  <c r="E316" i="52" s="1"/>
  <c r="D310" i="75" s="1"/>
  <c r="F365" i="44"/>
  <c r="E255" i="52" s="1"/>
  <c r="F355" i="44"/>
  <c r="O435" i="44"/>
  <c r="O427" i="44"/>
  <c r="O420" i="44"/>
  <c r="O413" i="44"/>
  <c r="O472" i="44"/>
  <c r="J28" i="52" l="1"/>
  <c r="J30" i="52" s="1"/>
  <c r="O91" i="52"/>
  <c r="O76" i="52"/>
  <c r="L638" i="44"/>
  <c r="E407" i="52" s="1"/>
  <c r="N370" i="52"/>
  <c r="BZ102" i="42" s="1"/>
  <c r="O370" i="52"/>
  <c r="H190" i="52"/>
  <c r="F201" i="52"/>
  <c r="O346" i="52"/>
  <c r="N346" i="52"/>
  <c r="K352" i="75" s="1"/>
  <c r="N352" i="75" s="1"/>
  <c r="M303" i="52"/>
  <c r="J209" i="52"/>
  <c r="N322" i="52"/>
  <c r="J207" i="52"/>
  <c r="M299" i="52"/>
  <c r="D259" i="75" s="1"/>
  <c r="O192" i="52"/>
  <c r="D265" i="52" s="1"/>
  <c r="BD78" i="42" s="1"/>
  <c r="M301" i="52"/>
  <c r="J208" i="52"/>
  <c r="M282" i="52"/>
  <c r="J229" i="75" s="1"/>
  <c r="M229" i="75" s="1"/>
  <c r="M186" i="75"/>
  <c r="N186" i="75" s="1"/>
  <c r="N137" i="75"/>
  <c r="Z299" i="52"/>
  <c r="M136" i="75"/>
  <c r="M185" i="75" s="1"/>
  <c r="M342" i="52"/>
  <c r="N342" i="52" s="1"/>
  <c r="AT102" i="42" s="1"/>
  <c r="D343" i="75"/>
  <c r="G343" i="75" s="1"/>
  <c r="F352" i="75" s="1"/>
  <c r="G352" i="75" s="1"/>
  <c r="N362" i="75" s="1"/>
  <c r="M138" i="75"/>
  <c r="M187" i="75" s="1"/>
  <c r="D406" i="75"/>
  <c r="I417" i="75" s="1"/>
  <c r="G310" i="75"/>
  <c r="D405" i="75"/>
  <c r="G309" i="75"/>
  <c r="AU102" i="42"/>
  <c r="L604" i="44"/>
  <c r="K629" i="44"/>
  <c r="J404" i="52"/>
  <c r="K620" i="44"/>
  <c r="H404" i="52"/>
  <c r="K616" i="44"/>
  <c r="G404" i="52"/>
  <c r="K612" i="44"/>
  <c r="F404" i="52"/>
  <c r="H604" i="44"/>
  <c r="E402" i="52" s="1"/>
  <c r="K624" i="44"/>
  <c r="M638" i="44"/>
  <c r="L404" i="52" s="1"/>
  <c r="F271" i="75" s="1"/>
  <c r="I404" i="52"/>
  <c r="G390" i="52"/>
  <c r="H700" i="44"/>
  <c r="M318" i="52"/>
  <c r="N318" i="52" s="1"/>
  <c r="R102" i="42" s="1"/>
  <c r="F255" i="52"/>
  <c r="G255" i="52" s="1"/>
  <c r="H255" i="52" s="1"/>
  <c r="I255" i="52" s="1"/>
  <c r="J255" i="52" s="1"/>
  <c r="K255" i="52" s="1"/>
  <c r="L255" i="52" s="1"/>
  <c r="M255" i="52" s="1"/>
  <c r="N255" i="52" s="1"/>
  <c r="O255" i="52" s="1"/>
  <c r="CA29" i="42"/>
  <c r="AX29" i="42"/>
  <c r="U29" i="42"/>
  <c r="H17" i="75"/>
  <c r="AJ46" i="42"/>
  <c r="L62" i="52"/>
  <c r="M61" i="52" s="1"/>
  <c r="G620" i="44"/>
  <c r="H620" i="44"/>
  <c r="H480" i="44"/>
  <c r="K480" i="44"/>
  <c r="M480" i="44"/>
  <c r="I480" i="44"/>
  <c r="L480" i="44"/>
  <c r="G480" i="44"/>
  <c r="N480" i="44"/>
  <c r="J480" i="44"/>
  <c r="F480" i="44"/>
  <c r="O520" i="44"/>
  <c r="E314" i="52" s="1"/>
  <c r="D308" i="75" s="1"/>
  <c r="AF16" i="42"/>
  <c r="F193" i="52"/>
  <c r="F204" i="52" s="1"/>
  <c r="F194" i="52"/>
  <c r="F205" i="52" s="1"/>
  <c r="F192" i="52"/>
  <c r="M324" i="52"/>
  <c r="O322" i="52" s="1"/>
  <c r="H248" i="52"/>
  <c r="AZ63" i="42"/>
  <c r="AZ67" i="42"/>
  <c r="AZ65" i="42"/>
  <c r="F688" i="44"/>
  <c r="F681" i="44"/>
  <c r="E238" i="52"/>
  <c r="E180" i="52" s="1"/>
  <c r="K633" i="44"/>
  <c r="K604" i="44"/>
  <c r="F684" i="44"/>
  <c r="F692" i="44"/>
  <c r="F674" i="44"/>
  <c r="F678" i="44"/>
  <c r="O248" i="52"/>
  <c r="M248" i="52"/>
  <c r="F248" i="52"/>
  <c r="I528" i="44"/>
  <c r="I532" i="44" s="1"/>
  <c r="I524" i="44"/>
  <c r="K524" i="44"/>
  <c r="K528" i="44"/>
  <c r="K532" i="44" s="1"/>
  <c r="G524" i="44"/>
  <c r="G528" i="44"/>
  <c r="G532" i="44" s="1"/>
  <c r="N524" i="44"/>
  <c r="N528" i="44"/>
  <c r="N532" i="44" s="1"/>
  <c r="J524" i="44"/>
  <c r="J528" i="44"/>
  <c r="J532" i="44" s="1"/>
  <c r="F524" i="44"/>
  <c r="F528" i="44"/>
  <c r="M528" i="44"/>
  <c r="M532" i="44" s="1"/>
  <c r="M524" i="44"/>
  <c r="L524" i="44"/>
  <c r="L528" i="44"/>
  <c r="L532" i="44" s="1"/>
  <c r="H524" i="44"/>
  <c r="H528" i="44"/>
  <c r="H532" i="44" s="1"/>
  <c r="H629" i="44"/>
  <c r="J402" i="52" s="1"/>
  <c r="G629" i="44"/>
  <c r="G616" i="44"/>
  <c r="H616" i="44"/>
  <c r="G402" i="52" s="1"/>
  <c r="H612" i="44"/>
  <c r="F402" i="52" s="1"/>
  <c r="G612" i="44"/>
  <c r="G638" i="44" s="1"/>
  <c r="G633" i="44"/>
  <c r="H633" i="44"/>
  <c r="K402" i="52" s="1"/>
  <c r="O535" i="44"/>
  <c r="E362" i="52" s="1"/>
  <c r="G624" i="44"/>
  <c r="H624" i="44"/>
  <c r="E539" i="44"/>
  <c r="O539" i="44" s="1"/>
  <c r="O449" i="44"/>
  <c r="K383" i="75" l="1"/>
  <c r="N383" i="75" s="1"/>
  <c r="L38" i="75"/>
  <c r="N61" i="52"/>
  <c r="M38" i="75" s="1"/>
  <c r="M93" i="75" s="1"/>
  <c r="G28" i="77" s="1"/>
  <c r="G259" i="75"/>
  <c r="Z250" i="75" s="1"/>
  <c r="L223" i="52"/>
  <c r="AT63" i="42" s="1"/>
  <c r="J204" i="52"/>
  <c r="J201" i="52"/>
  <c r="H201" i="52"/>
  <c r="F199" i="75" s="1"/>
  <c r="G199" i="75" s="1"/>
  <c r="F180" i="52"/>
  <c r="G180" i="52" s="1"/>
  <c r="H180" i="52" s="1"/>
  <c r="I180" i="52" s="1"/>
  <c r="J180" i="52" s="1"/>
  <c r="K180" i="52" s="1"/>
  <c r="L180" i="52" s="1"/>
  <c r="M180" i="52" s="1"/>
  <c r="N180" i="52" s="1"/>
  <c r="H192" i="52"/>
  <c r="F203" i="52"/>
  <c r="J205" i="52"/>
  <c r="L224" i="52"/>
  <c r="I17" i="75"/>
  <c r="G11" i="77" s="1"/>
  <c r="L240" i="75"/>
  <c r="N229" i="75" s="1"/>
  <c r="G405" i="75"/>
  <c r="O421" i="75" s="1"/>
  <c r="L293" i="52"/>
  <c r="N282" i="52" s="1"/>
  <c r="BP114" i="42"/>
  <c r="F272" i="75"/>
  <c r="N187" i="75"/>
  <c r="N138" i="75"/>
  <c r="Z303" i="52"/>
  <c r="D261" i="75"/>
  <c r="L404" i="75"/>
  <c r="H351" i="75"/>
  <c r="G406" i="75"/>
  <c r="L417" i="75" s="1"/>
  <c r="F320" i="75"/>
  <c r="G320" i="75" s="1"/>
  <c r="N330" i="75" s="1"/>
  <c r="M404" i="75"/>
  <c r="H382" i="75"/>
  <c r="AU101" i="42"/>
  <c r="K353" i="75"/>
  <c r="N353" i="75" s="1"/>
  <c r="N185" i="75"/>
  <c r="N136" i="75"/>
  <c r="G308" i="75"/>
  <c r="Z301" i="52"/>
  <c r="D260" i="75"/>
  <c r="D135" i="75"/>
  <c r="D184" i="75" s="1"/>
  <c r="U102" i="42"/>
  <c r="K320" i="75"/>
  <c r="N320" i="75" s="1"/>
  <c r="BZ101" i="42"/>
  <c r="K384" i="75"/>
  <c r="N384" i="75" s="1"/>
  <c r="N290" i="52"/>
  <c r="N289" i="52"/>
  <c r="N286" i="52"/>
  <c r="AU97" i="42"/>
  <c r="CB97" i="42"/>
  <c r="K638" i="44"/>
  <c r="G604" i="44"/>
  <c r="E406" i="52" s="1"/>
  <c r="N407" i="52" s="1"/>
  <c r="G272" i="75" s="1"/>
  <c r="F620" i="44"/>
  <c r="H402" i="52"/>
  <c r="H638" i="44"/>
  <c r="L402" i="52" s="1"/>
  <c r="I402" i="52"/>
  <c r="L390" i="52"/>
  <c r="F700" i="44"/>
  <c r="E371" i="52"/>
  <c r="E366" i="52"/>
  <c r="E323" i="52"/>
  <c r="M317" i="52"/>
  <c r="N317" i="52" s="1"/>
  <c r="R101" i="42" s="1"/>
  <c r="AT65" i="42"/>
  <c r="D248" i="52"/>
  <c r="Z78" i="42" s="1"/>
  <c r="J248" i="52"/>
  <c r="AF20" i="42"/>
  <c r="J494" i="44"/>
  <c r="J562" i="44"/>
  <c r="J566" i="44" s="1"/>
  <c r="I494" i="44"/>
  <c r="I562" i="44"/>
  <c r="I566" i="44" s="1"/>
  <c r="N494" i="44"/>
  <c r="N562" i="44"/>
  <c r="N566" i="44" s="1"/>
  <c r="M494" i="44"/>
  <c r="M562" i="44"/>
  <c r="M566" i="44" s="1"/>
  <c r="G494" i="44"/>
  <c r="G562" i="44"/>
  <c r="G566" i="44" s="1"/>
  <c r="K494" i="44"/>
  <c r="K562" i="44"/>
  <c r="K566" i="44" s="1"/>
  <c r="F494" i="44"/>
  <c r="F562" i="44"/>
  <c r="F566" i="44" s="1"/>
  <c r="L494" i="44"/>
  <c r="L562" i="44"/>
  <c r="L566" i="44" s="1"/>
  <c r="H494" i="44"/>
  <c r="H562" i="44"/>
  <c r="H566" i="44" s="1"/>
  <c r="E480" i="44"/>
  <c r="E562" i="44" s="1"/>
  <c r="O528" i="44"/>
  <c r="E338" i="52" s="1"/>
  <c r="D341" i="75" s="1"/>
  <c r="G341" i="75" s="1"/>
  <c r="F532" i="44"/>
  <c r="E226" i="52"/>
  <c r="AR67" i="42" s="1"/>
  <c r="E223" i="52"/>
  <c r="AR61" i="42" s="1"/>
  <c r="E222" i="52"/>
  <c r="G222" i="52" s="1"/>
  <c r="BB59" i="42" s="1"/>
  <c r="E224" i="52"/>
  <c r="AR63" i="42" s="1"/>
  <c r="E225" i="52"/>
  <c r="G225" i="52" s="1"/>
  <c r="BB65" i="42" s="1"/>
  <c r="F624" i="44"/>
  <c r="F612" i="44"/>
  <c r="F629" i="44"/>
  <c r="F633" i="44"/>
  <c r="F616" i="44"/>
  <c r="F238" i="52"/>
  <c r="G238" i="52" s="1"/>
  <c r="H238" i="52" s="1"/>
  <c r="I238" i="52" s="1"/>
  <c r="J238" i="52" s="1"/>
  <c r="K238" i="52" s="1"/>
  <c r="L238" i="52" s="1"/>
  <c r="M238" i="52" s="1"/>
  <c r="N238" i="52" s="1"/>
  <c r="F604" i="44"/>
  <c r="AZ59" i="42"/>
  <c r="AZ61" i="42"/>
  <c r="O524" i="44"/>
  <c r="E318" i="52" s="1"/>
  <c r="F518" i="44"/>
  <c r="G518" i="44" s="1"/>
  <c r="H518" i="44" s="1"/>
  <c r="I518" i="44" s="1"/>
  <c r="J518" i="44" s="1"/>
  <c r="K518" i="44" s="1"/>
  <c r="L518" i="44" s="1"/>
  <c r="M518" i="44" s="1"/>
  <c r="N518" i="44" s="1"/>
  <c r="F455" i="44"/>
  <c r="G455" i="44" s="1"/>
  <c r="H455" i="44" s="1"/>
  <c r="I455" i="44" s="1"/>
  <c r="J455" i="44" s="1"/>
  <c r="K455" i="44" s="1"/>
  <c r="L455" i="44" s="1"/>
  <c r="M455" i="44" s="1"/>
  <c r="N455" i="44" s="1"/>
  <c r="F410" i="44"/>
  <c r="L271" i="75" l="1"/>
  <c r="N394" i="52"/>
  <c r="N271" i="75" s="1"/>
  <c r="E135" i="75"/>
  <c r="E184" i="75" s="1"/>
  <c r="O180" i="52"/>
  <c r="E271" i="75"/>
  <c r="N406" i="52"/>
  <c r="G271" i="75" s="1"/>
  <c r="G260" i="75"/>
  <c r="Z252" i="75" s="1"/>
  <c r="G261" i="75"/>
  <c r="Z254" i="75" s="1"/>
  <c r="J203" i="52"/>
  <c r="K201" i="52" s="1"/>
  <c r="H203" i="52"/>
  <c r="L222" i="52"/>
  <c r="N283" i="52"/>
  <c r="O290" i="52" s="1"/>
  <c r="N237" i="75"/>
  <c r="N233" i="75"/>
  <c r="N236" i="75"/>
  <c r="N230" i="75"/>
  <c r="J199" i="75"/>
  <c r="J204" i="75" s="1"/>
  <c r="F370" i="52"/>
  <c r="K404" i="75"/>
  <c r="N404" i="75" s="1"/>
  <c r="M417" i="75" s="1"/>
  <c r="H319" i="75"/>
  <c r="F322" i="52"/>
  <c r="D312" i="75"/>
  <c r="M313" i="75" s="1"/>
  <c r="U101" i="42"/>
  <c r="K321" i="75"/>
  <c r="N321" i="75" s="1"/>
  <c r="AZ114" i="42"/>
  <c r="E272" i="75"/>
  <c r="E285" i="75" s="1"/>
  <c r="AM22" i="77" s="1"/>
  <c r="M405" i="75"/>
  <c r="J308" i="75"/>
  <c r="F319" i="75"/>
  <c r="G319" i="75" s="1"/>
  <c r="N329" i="75" s="1"/>
  <c r="L405" i="75"/>
  <c r="F638" i="44"/>
  <c r="U97" i="42"/>
  <c r="E566" i="44"/>
  <c r="O566" i="44" s="1"/>
  <c r="O562" i="44"/>
  <c r="F362" i="52" s="1"/>
  <c r="D371" i="75" s="1"/>
  <c r="O480" i="44"/>
  <c r="E494" i="44"/>
  <c r="AR59" i="42"/>
  <c r="AR65" i="42"/>
  <c r="G226" i="52"/>
  <c r="BB67" i="42" s="1"/>
  <c r="G224" i="52"/>
  <c r="BB63" i="42" s="1"/>
  <c r="G223" i="52"/>
  <c r="BB61" i="42" s="1"/>
  <c r="E227" i="52"/>
  <c r="G227" i="52" s="1"/>
  <c r="BB70" i="42" s="1"/>
  <c r="AT67" i="42"/>
  <c r="O238" i="52"/>
  <c r="G410" i="44"/>
  <c r="AZ70" i="42"/>
  <c r="O532" i="44"/>
  <c r="E342" i="52" s="1"/>
  <c r="F285" i="75" l="1"/>
  <c r="J292" i="75" s="1"/>
  <c r="AM33" i="77" s="1"/>
  <c r="D285" i="75"/>
  <c r="O237" i="75"/>
  <c r="D294" i="52"/>
  <c r="F202" i="75"/>
  <c r="G202" i="75" s="1"/>
  <c r="G371" i="75"/>
  <c r="D404" i="75"/>
  <c r="I416" i="75" s="1"/>
  <c r="F135" i="75"/>
  <c r="F184" i="75" s="1"/>
  <c r="F346" i="52"/>
  <c r="D345" i="75"/>
  <c r="K405" i="75"/>
  <c r="N405" i="75" s="1"/>
  <c r="AA52" i="77"/>
  <c r="H352" i="75"/>
  <c r="G312" i="75"/>
  <c r="H383" i="75"/>
  <c r="AS52" i="77"/>
  <c r="E372" i="52"/>
  <c r="M365" i="52"/>
  <c r="N365" i="52" s="1"/>
  <c r="BV101" i="42" s="1"/>
  <c r="F366" i="52"/>
  <c r="AT59" i="42"/>
  <c r="AT61" i="42"/>
  <c r="Z56" i="42"/>
  <c r="O494" i="44"/>
  <c r="AR70" i="42"/>
  <c r="D78" i="42"/>
  <c r="H410" i="44"/>
  <c r="J293" i="75" l="1"/>
  <c r="AM34" i="77" s="1"/>
  <c r="J296" i="75"/>
  <c r="AM37" i="77" s="1"/>
  <c r="J295" i="75"/>
  <c r="AM36" i="77" s="1"/>
  <c r="J294" i="75"/>
  <c r="AM35" i="77" s="1"/>
  <c r="M416" i="75"/>
  <c r="I52" i="77" s="1"/>
  <c r="D293" i="75"/>
  <c r="AM17" i="77" s="1"/>
  <c r="D294" i="75"/>
  <c r="AM18" i="77" s="1"/>
  <c r="D295" i="75"/>
  <c r="AM19" i="77" s="1"/>
  <c r="D292" i="75"/>
  <c r="AM16" i="77" s="1"/>
  <c r="D296" i="75"/>
  <c r="AM20" i="77" s="1"/>
  <c r="G345" i="75"/>
  <c r="K341" i="75" s="1"/>
  <c r="M345" i="75"/>
  <c r="K309" i="75"/>
  <c r="J371" i="75"/>
  <c r="F382" i="75"/>
  <c r="G382" i="75" s="1"/>
  <c r="N392" i="75" s="1"/>
  <c r="G404" i="75"/>
  <c r="U12" i="77"/>
  <c r="U29" i="77"/>
  <c r="F373" i="52"/>
  <c r="D375" i="75"/>
  <c r="M376" i="75" s="1"/>
  <c r="Q52" i="77"/>
  <c r="H320" i="75"/>
  <c r="G135" i="75"/>
  <c r="G184" i="75" s="1"/>
  <c r="BK59" i="42"/>
  <c r="J244" i="75"/>
  <c r="AT70" i="42"/>
  <c r="I410" i="44"/>
  <c r="M244" i="75" l="1"/>
  <c r="AA12" i="77" s="1"/>
  <c r="H135" i="75"/>
  <c r="H184" i="75" s="1"/>
  <c r="G375" i="75"/>
  <c r="D408" i="75"/>
  <c r="D54" i="77"/>
  <c r="L416" i="75"/>
  <c r="AF78" i="42"/>
  <c r="F78" i="42"/>
  <c r="AQ78" i="42"/>
  <c r="J410" i="44"/>
  <c r="K372" i="75" l="1"/>
  <c r="G408" i="75"/>
  <c r="O417" i="75" s="1"/>
  <c r="I135" i="75"/>
  <c r="I184" i="75" s="1"/>
  <c r="K410" i="44"/>
  <c r="J135" i="75" l="1"/>
  <c r="J184" i="75" s="1"/>
  <c r="L410" i="44"/>
  <c r="K135" i="75" l="1"/>
  <c r="K184" i="75" s="1"/>
  <c r="M410" i="44"/>
  <c r="L135" i="75" l="1"/>
  <c r="L184" i="75" s="1"/>
  <c r="N410" i="44"/>
  <c r="M135" i="75" l="1"/>
  <c r="M184" i="75" s="1"/>
  <c r="N184" i="75" s="1"/>
  <c r="N135" i="75"/>
  <c r="X12" i="42"/>
</calcChain>
</file>

<file path=xl/sharedStrings.xml><?xml version="1.0" encoding="utf-8"?>
<sst xmlns="http://schemas.openxmlformats.org/spreadsheetml/2006/main" count="7266" uniqueCount="2341">
  <si>
    <t>Distribution</t>
  </si>
  <si>
    <t>Exploitation</t>
  </si>
  <si>
    <t>Entretien</t>
  </si>
  <si>
    <t>Acquisition</t>
  </si>
  <si>
    <t>Disposition</t>
  </si>
  <si>
    <t>Renouvellement</t>
  </si>
  <si>
    <t>TOTAL</t>
  </si>
  <si>
    <t>ACQUISITION</t>
  </si>
  <si>
    <t>DISPOSITION</t>
  </si>
  <si>
    <t>EXPLOITATION</t>
  </si>
  <si>
    <t>ENTRETIEN</t>
  </si>
  <si>
    <t>Plan de gestion des actifs de l'eau (PGA EAU)</t>
  </si>
  <si>
    <t>Approvisionnement et traitement</t>
  </si>
  <si>
    <t>1- Très faible</t>
  </si>
  <si>
    <t>4- Bon</t>
  </si>
  <si>
    <t>2- Élémentaire</t>
  </si>
  <si>
    <t>1- Débutant</t>
  </si>
  <si>
    <t>3- Moyen</t>
  </si>
  <si>
    <t>3- Intermédiaire</t>
  </si>
  <si>
    <t>2- Faible</t>
  </si>
  <si>
    <t>4- Avancé</t>
  </si>
  <si>
    <t>5- Excellent</t>
  </si>
  <si>
    <t>5- Expert</t>
  </si>
  <si>
    <t>Commentaires</t>
  </si>
  <si>
    <t>Portrait des actifs</t>
  </si>
  <si>
    <t>Financement</t>
  </si>
  <si>
    <t>Portrait</t>
  </si>
  <si>
    <t>Demande</t>
  </si>
  <si>
    <t>Risques</t>
  </si>
  <si>
    <t>Niv. Service</t>
  </si>
  <si>
    <t>CCV Immo.</t>
  </si>
  <si>
    <t>CCV Fonct.</t>
  </si>
  <si>
    <t>PORTRAIT DE LA PROGRESSION PAR PARTIE DU PGA</t>
  </si>
  <si>
    <t>PORTRAIT DE LA CONFIANCE DANS LES DONNÉES PAR PARTIE DU PGA</t>
  </si>
  <si>
    <t>GESTION DES RISQUES</t>
  </si>
  <si>
    <t>Inconnu</t>
  </si>
  <si>
    <t>GESTION DES NIVEAUX DE SERVICE</t>
  </si>
  <si>
    <t>COTE GLOBALE</t>
  </si>
  <si>
    <t>Niveau de progression</t>
  </si>
  <si>
    <t xml:space="preserve">Niveau de confiance </t>
  </si>
  <si>
    <t>Appro</t>
  </si>
  <si>
    <t>soit</t>
  </si>
  <si>
    <t>Coûts prévisionnels</t>
  </si>
  <si>
    <t>Distrib</t>
  </si>
  <si>
    <t>Sous-service: Distribution</t>
  </si>
  <si>
    <t>Ratio de financement du fonctionnement</t>
  </si>
  <si>
    <t>Très bon 
(A)</t>
  </si>
  <si>
    <t>Bon 
(B)</t>
  </si>
  <si>
    <t>Satisfaisant 
(C)</t>
  </si>
  <si>
    <t>Mauvais 
(D)</t>
  </si>
  <si>
    <t>Très mauvais 
(E)</t>
  </si>
  <si>
    <t>ÉTAT DES ACTIFS</t>
  </si>
  <si>
    <t>Demande à venir</t>
  </si>
  <si>
    <t>Ratio de financement des acquisitions/dispositions</t>
  </si>
  <si>
    <t>Ratio de financement du renouvellement</t>
  </si>
  <si>
    <t>FONCTIONNEMENT</t>
  </si>
  <si>
    <t>État</t>
  </si>
  <si>
    <t xml:space="preserve"> Partie 1 - Identification</t>
  </si>
  <si>
    <t>MUNICIPALITÉ ET RÉPONDANT</t>
  </si>
  <si>
    <t>STATUT</t>
  </si>
  <si>
    <t>À compléter</t>
  </si>
  <si>
    <t>Nom</t>
  </si>
  <si>
    <t>Prénom</t>
  </si>
  <si>
    <t>Courriel</t>
  </si>
  <si>
    <t>Téléphone</t>
  </si>
  <si>
    <t>Poste</t>
  </si>
  <si>
    <t xml:space="preserve"> Partie 2 - Portrait des actifs</t>
  </si>
  <si>
    <t>INVENTAIRE ET ÉTAT</t>
  </si>
  <si>
    <t>Sous-service: 
APPROVISIONNEMENT 
ET TRAITEMENT</t>
  </si>
  <si>
    <t>LINÉAIRE</t>
  </si>
  <si>
    <t>Inventaire (km)</t>
  </si>
  <si>
    <t>Valeur de remplacement ($)</t>
  </si>
  <si>
    <t>Très bon (A)</t>
  </si>
  <si>
    <t>Bon (B)</t>
  </si>
  <si>
    <t>Satisfaisant (C)</t>
  </si>
  <si>
    <t>Mauvais (D)</t>
  </si>
  <si>
    <t>Très mauvais (E)</t>
  </si>
  <si>
    <t>PONCTUEL</t>
  </si>
  <si>
    <t>Sous-service: 
DISTRIBUTION</t>
  </si>
  <si>
    <t>Somme des coûts sur 10 ans</t>
  </si>
  <si>
    <t>GESTION DE LA DEMANDE À VENIR</t>
  </si>
  <si>
    <t xml:space="preserve"> Partie 5 - Planification des coûts sur le cycle de vie</t>
  </si>
  <si>
    <t xml:space="preserve">BUDGET ACTUEL </t>
  </si>
  <si>
    <t>COÛTS PRÉVISIONNELS (BESOINS)</t>
  </si>
  <si>
    <t>Sous-service: APPROVISIONNEMENT ET TRAITEMENT</t>
  </si>
  <si>
    <t>Sous-service: DISTRIBUTION</t>
  </si>
  <si>
    <t xml:space="preserve"> Partie 6 - Résumé financier</t>
  </si>
  <si>
    <t>?</t>
  </si>
  <si>
    <t xml:space="preserve"> Partie 7 - Amélioration et suivi</t>
  </si>
  <si>
    <t xml:space="preserve">NIVEAU DE CONFIANCE DANS LES DONNÉES </t>
  </si>
  <si>
    <t>Type de données requises pour le PGA</t>
  </si>
  <si>
    <t>PORTRAIT DES ACTIFS</t>
  </si>
  <si>
    <t>Inventaire (linéaire)</t>
  </si>
  <si>
    <t>Inventaire (ponctuel)</t>
  </si>
  <si>
    <t>Valeur de remplacement (linéaire)</t>
  </si>
  <si>
    <t>Valeur de remplacement (ponctuel)</t>
  </si>
  <si>
    <t>Données d'état (linéaire)</t>
  </si>
  <si>
    <t>Données d'état (ponctuel)</t>
  </si>
  <si>
    <t>NIVEAUX DE SERVICES</t>
  </si>
  <si>
    <t>DEMANDE À VENIR</t>
  </si>
  <si>
    <t>CYCLE DE VIE - IMMOBILISATIONS</t>
  </si>
  <si>
    <t>Budget d'immobilisation</t>
  </si>
  <si>
    <t>Coûts prévus pour le renouvellement</t>
  </si>
  <si>
    <t>Coûts prévus pour l'acquisition et la disposition</t>
  </si>
  <si>
    <t>CYCLE DE VIE - FONCTIONNEMENT</t>
  </si>
  <si>
    <t>Budget de fonctionnement</t>
  </si>
  <si>
    <t>RÉSUMÉ FINANCIER</t>
  </si>
  <si>
    <t>Financement estimé pour le fonctionnement</t>
  </si>
  <si>
    <t>Financement estimé pour le renouvellement</t>
  </si>
  <si>
    <t>Financement estimé pour les acquisitions/dispositions</t>
  </si>
  <si>
    <t>Analyse et connaissance du linéaire</t>
  </si>
  <si>
    <t>Analyse et connaissance du ponctuel</t>
  </si>
  <si>
    <t>Analyse et planification de la demande à venir</t>
  </si>
  <si>
    <t xml:space="preserve">Analyse et planification des risques </t>
  </si>
  <si>
    <t>Analyse des données budgétaires d'immobilisation</t>
  </si>
  <si>
    <t>Analyse et planification des besoins d'immobilisations</t>
  </si>
  <si>
    <t>Analyse des données budgétaires de fonctionnement</t>
  </si>
  <si>
    <t>Analyse et planification des besoins de fonctionnement</t>
  </si>
  <si>
    <t>Stratégie de financement pour le fonctionnement</t>
  </si>
  <si>
    <t>Stratégie de financement pour le renouvellement</t>
  </si>
  <si>
    <t>Stratégie de financement pour les acquisitions/dispositions</t>
  </si>
  <si>
    <t>SERVICE DE L'EAU POTABLE - SOMMAIRE PGA</t>
  </si>
  <si>
    <t>Cumulatif</t>
  </si>
  <si>
    <t>RENOUVELLEMENT</t>
  </si>
  <si>
    <t xml:space="preserve"> </t>
  </si>
  <si>
    <t>Répondant 2</t>
  </si>
  <si>
    <t>Fonction</t>
  </si>
  <si>
    <t>Inventaire</t>
  </si>
  <si>
    <t>Besoins annuels moyens</t>
  </si>
  <si>
    <t>Budget actuel</t>
  </si>
  <si>
    <t>Explications et commentaires 
(si besoin)</t>
  </si>
  <si>
    <t>BUDGET GLOBAL DU SOUS-SERVICE</t>
  </si>
  <si>
    <t>Déficit de financement</t>
  </si>
  <si>
    <t>ACQUISITION / DISPOSITION</t>
  </si>
  <si>
    <t>Objectifs d'amélioration de la confiance</t>
  </si>
  <si>
    <t>(Cumulatif /30)</t>
  </si>
  <si>
    <t>(Cumulatif /10)</t>
  </si>
  <si>
    <t>(Cumulatif /5)</t>
  </si>
  <si>
    <t>(Cumulatif /15)</t>
  </si>
  <si>
    <t>Non, ces coûts ne sont pas inclus</t>
  </si>
  <si>
    <t>Oui, ces coûts sont inclus</t>
  </si>
  <si>
    <t>Aucun coût n'a été estimé auparavant</t>
  </si>
  <si>
    <t>Capacité</t>
  </si>
  <si>
    <t>Qualité</t>
  </si>
  <si>
    <t>Excédent de fonctionnement</t>
  </si>
  <si>
    <t>Financement du gouvernement provincial</t>
  </si>
  <si>
    <t>La municipalité débute la démarche.​ Elle prend connaissance de nouvelles notions avec lesquelles elle doit se familiariser.</t>
  </si>
  <si>
    <t>La municipalité a entrepris la démarche en mettant quelques éléments en pratique.​  Elle comprend la majorité des notions présentes.​</t>
  </si>
  <si>
    <t>La municipalité a bien avancé dans la démarche, il reste encore des éléments à compléter. ​ Elle connait l’ensemble des notions présentes.​</t>
  </si>
  <si>
    <t>La municipalité s'assure que la démarche est pérenne, cohérente, et que les informations restent à jour.​  Elle travaille habilement avec l’ensemble des notions présentes.</t>
  </si>
  <si>
    <t>COTE GLOBALE &amp; CUMULATIF GLOBAL (/100)</t>
  </si>
  <si>
    <t>Objectifs d'amélioration de la progression</t>
  </si>
  <si>
    <t>Objectifs d'amélioration court terme (1-4 ans):</t>
  </si>
  <si>
    <t>Montant global à planifier pour atteindre les objectifs court terme (1-4 ans):</t>
  </si>
  <si>
    <t>Sous-service: Approvisionnement et traitement</t>
  </si>
  <si>
    <t>MUNICIPALITÉS</t>
  </si>
  <si>
    <t>CODE GÉOGRAPHIQUE</t>
  </si>
  <si>
    <t>RÉGION ADMINISTRATIVE</t>
  </si>
  <si>
    <t xml:space="preserve">RÉGION ADMINISTRATIVE:  </t>
  </si>
  <si>
    <t xml:space="preserve">CODE GÉOGRAPHIQUE:  </t>
  </si>
  <si>
    <t xml:space="preserve">MUNICIPALITÉ:  </t>
  </si>
  <si>
    <t>Confiance</t>
  </si>
  <si>
    <t>Confiance en la valeur</t>
  </si>
  <si>
    <t>Moyenne</t>
  </si>
  <si>
    <t>EN TÊTE</t>
  </si>
  <si>
    <t>Niveaux de service</t>
  </si>
  <si>
    <t>CHOIX</t>
  </si>
  <si>
    <t>PORTRAIT Visuel 1</t>
  </si>
  <si>
    <t>PORTRAIT Visuels 2 à 5</t>
  </si>
  <si>
    <t>PLANIFICATION CYCLE DE VIE  Visuel 1</t>
  </si>
  <si>
    <t>PLANIFICATION CYCLE DE VIE  Visuel 2</t>
  </si>
  <si>
    <t>Écart</t>
  </si>
  <si>
    <t>CCV - Immo - Budget</t>
  </si>
  <si>
    <t>CCV - Fonct - Budget</t>
  </si>
  <si>
    <t>CCV - Immo - Prévisions Renouvellement</t>
  </si>
  <si>
    <t>CCV - Immo - Prévisions Acquisition/dispositions</t>
  </si>
  <si>
    <t>Somme</t>
  </si>
  <si>
    <t>Distribution / Linéaire</t>
  </si>
  <si>
    <t>Distribution / Ponctuel</t>
  </si>
  <si>
    <t xml:space="preserve">NOTE: </t>
  </si>
  <si>
    <t>PLANIFICATION CYCLE DE VIE  Visuel 3</t>
  </si>
  <si>
    <t>PLANIFICATION CYCLE DE VIE  Visuel 4</t>
  </si>
  <si>
    <t>APPRO</t>
  </si>
  <si>
    <t>NOTE:</t>
  </si>
  <si>
    <t>DISTRIBUTION</t>
  </si>
  <si>
    <t>NIVEAU DE CONFIANCE DANS LES DONNÉES ET ESTIMATIONS SAISIES</t>
  </si>
  <si>
    <t>Aller à la partie 7 pour déterminer maintenant le niveau de confiance de votre municipalité pour cette partie du PGA</t>
  </si>
  <si>
    <t>Aller à la partie 7 pour déterminer maintenant le niveau de progression de votre municipalité pour cette partie du PGA</t>
  </si>
  <si>
    <t>&gt;&gt; Évaluez les aspects suivants:</t>
  </si>
  <si>
    <t>Économiques</t>
  </si>
  <si>
    <t>Technologiques</t>
  </si>
  <si>
    <t>Autres</t>
  </si>
  <si>
    <t>&gt;&gt; Répondez aux questions suivantes en lien avec les niveaux de service dans votre municipalité.</t>
  </si>
  <si>
    <t>Démographiques</t>
  </si>
  <si>
    <t>Climatiques</t>
  </si>
  <si>
    <t>DEMANDE Visuel 1</t>
  </si>
  <si>
    <t>RISQUES Visuel 1</t>
  </si>
  <si>
    <t>Dotation de personnel</t>
  </si>
  <si>
    <t>Sous-financement</t>
  </si>
  <si>
    <t>Actifs critiques</t>
  </si>
  <si>
    <t>Changements climatiques</t>
  </si>
  <si>
    <t>Manque d'informations</t>
  </si>
  <si>
    <t>Certains risques associés sont de niveau élevé.</t>
  </si>
  <si>
    <t>Certains risques associés sont de niveau très élevé.</t>
  </si>
  <si>
    <t>Les risques associés sont de niveau modéré ou faible.</t>
  </si>
  <si>
    <t>Aucun risque associé n'a été déterminé.</t>
  </si>
  <si>
    <t>Expliquez (si désiré) les risques identifiés et conséquences possibles</t>
  </si>
  <si>
    <r>
      <t>Niveau de risque</t>
    </r>
    <r>
      <rPr>
        <b/>
        <sz val="10"/>
        <color theme="1"/>
        <rFont val="Webdings"/>
        <family val="1"/>
        <charset val="2"/>
      </rPr>
      <t xml:space="preserve"> 6</t>
    </r>
  </si>
  <si>
    <t>Des changements sont à prévoir à long terme (8-10 ans).</t>
  </si>
  <si>
    <t>Aucun changement n'est anticipé.</t>
  </si>
  <si>
    <r>
      <t>Changements anticipés</t>
    </r>
    <r>
      <rPr>
        <b/>
        <sz val="10"/>
        <color theme="1"/>
        <rFont val="Webdings"/>
        <family val="1"/>
        <charset val="2"/>
      </rPr>
      <t xml:space="preserve"> 6</t>
    </r>
  </si>
  <si>
    <t>Décrivez (si désiré) les changements identifiés et leurs répercussions</t>
  </si>
  <si>
    <t>Des changements sont anticipés à court terme (1-4 ans).</t>
  </si>
  <si>
    <t>Des changements sont anticipés à moyen terme (5-7 ans).</t>
  </si>
  <si>
    <t>&gt;&gt; Répondez aux questions suivantes en lien avec la gestion des risques dans votre municipalité.</t>
  </si>
  <si>
    <t>Amélioration</t>
  </si>
  <si>
    <t>Stabilité</t>
  </si>
  <si>
    <t>Détérioration</t>
  </si>
  <si>
    <t>Aucun objectif pour le moment</t>
  </si>
  <si>
    <t>Expliquez (si désiré) les tendances observées et objectifs de performance</t>
  </si>
  <si>
    <t>PARTICULARITÉS</t>
  </si>
  <si>
    <t>Technique</t>
  </si>
  <si>
    <t>Citoyen</t>
  </si>
  <si>
    <t>Indicateur de performance</t>
  </si>
  <si>
    <r>
      <t xml:space="preserve">Autre    </t>
    </r>
    <r>
      <rPr>
        <i/>
        <sz val="9"/>
        <color theme="1"/>
        <rFont val="Calibri"/>
        <family val="2"/>
        <scheme val="minor"/>
      </rPr>
      <t>Spécifiez:</t>
    </r>
  </si>
  <si>
    <t xml:space="preserve">Autre </t>
  </si>
  <si>
    <t>NIVEAU DE SERVICE Visuel 1</t>
  </si>
  <si>
    <t>Performance actuelle</t>
  </si>
  <si>
    <t>Performance souhaitée</t>
  </si>
  <si>
    <r>
      <rPr>
        <b/>
        <sz val="9"/>
        <color theme="4" tint="-0.499984740745262"/>
        <rFont val="Calibri"/>
        <family val="2"/>
        <scheme val="minor"/>
      </rPr>
      <t>&gt; FONCTION</t>
    </r>
    <r>
      <rPr>
        <sz val="9"/>
        <color theme="4" tint="-0.499984740745262"/>
        <rFont val="Calibri"/>
        <family val="2"/>
        <scheme val="minor"/>
      </rPr>
      <t xml:space="preserve">  </t>
    </r>
    <r>
      <rPr>
        <i/>
        <sz val="9"/>
        <color theme="4" tint="-0.499984740745262"/>
        <rFont val="Calibri"/>
        <family val="2"/>
        <scheme val="minor"/>
      </rPr>
      <t>(Le service est fonctionnel)</t>
    </r>
  </si>
  <si>
    <t>NIVEAU DE SERVICE Visuel 2</t>
  </si>
  <si>
    <t>Changements à prévoir</t>
  </si>
  <si>
    <t>Certains risques associés</t>
  </si>
  <si>
    <t>pouvant potentiellement atteindre</t>
  </si>
  <si>
    <t>un niveau faible ou modéré</t>
  </si>
  <si>
    <t>un niveau élevé</t>
  </si>
  <si>
    <t>un niveau très élevé</t>
  </si>
  <si>
    <t>à court terme (1-4 ans)</t>
  </si>
  <si>
    <t>à moyen terme (5-7 ans)</t>
  </si>
  <si>
    <t>à long terme (8-10 ans)</t>
  </si>
  <si>
    <t>Partie 2:  Portrait des actifs</t>
  </si>
  <si>
    <t>Partie 3:  Niveaux de service</t>
  </si>
  <si>
    <t>Partie 5:  Planification des coûts sur le cycle de vie</t>
  </si>
  <si>
    <t>Partie 6:  Résumé financier</t>
  </si>
  <si>
    <t>Partie 7:  Amélioration et suivi</t>
  </si>
  <si>
    <t>NOTE IMPORTANTE</t>
  </si>
  <si>
    <t xml:space="preserve">Il est souhaitable de remplir ces cases pour obtenir un portrait plus complet de la gestion des actifs dans la municipalité. </t>
  </si>
  <si>
    <t xml:space="preserve">Cela vous permettra d'obtenir un premier portrait sommaire PGA pour votre municipalité, qui pourra être amélioré dans le temps.  </t>
  </si>
  <si>
    <t>PARTIE 1 IDENTIFICATION</t>
  </si>
  <si>
    <t>PARTIE 2 PORTRAIT</t>
  </si>
  <si>
    <t>PARTIE 3 NIVEAUX DE SERVICE</t>
  </si>
  <si>
    <t>PARTIE 5 PLANIFICATION DES COÛTS SUR LE CYCLE DE VIE</t>
  </si>
  <si>
    <t>Répartition des besoins du sous-service par phase du cycle de vie:</t>
  </si>
  <si>
    <t>Phase du cycle de vie / 
Regroupement usuel</t>
  </si>
  <si>
    <t>RÉSUMÉ FINANCIER  Visuel 1</t>
  </si>
  <si>
    <t>RÉSUMÉ FINANCIER  Visuel 2</t>
  </si>
  <si>
    <t>RÉSUMÉ FINANCIER  Visuel 3</t>
  </si>
  <si>
    <t>ACQUISITION/DISPOSITION</t>
  </si>
  <si>
    <t>Indique que les cases prioritaires demandées ne sont pas toutes complétées dans l'encadré correspondant.</t>
  </si>
  <si>
    <t>Indique que les cases prioritaires demandées dans l'encadré correspondant sont toutes complétées.</t>
  </si>
  <si>
    <t>&gt;&gt;</t>
  </si>
  <si>
    <t>***</t>
  </si>
  <si>
    <t>Lien</t>
  </si>
  <si>
    <t>Hyperlien proposé pour naviguer plus rapidement dans le formulaire</t>
  </si>
  <si>
    <t>Menu déroulant disponible</t>
  </si>
  <si>
    <t>Oui, j'ai compris</t>
  </si>
  <si>
    <t>Précisions / Notes importantes</t>
  </si>
  <si>
    <t>Instructions / Explication des cases à remplir</t>
  </si>
  <si>
    <t>Distribution / Autres actifs</t>
  </si>
  <si>
    <t>Linéaire</t>
  </si>
  <si>
    <t>Ponctuel</t>
  </si>
  <si>
    <t>Eau potable</t>
  </si>
  <si>
    <t>Eaux usées</t>
  </si>
  <si>
    <t>Eaux pluviales</t>
  </si>
  <si>
    <t>Municipalité</t>
  </si>
  <si>
    <t>STRATÉGIE DE FINANCEMENT</t>
  </si>
  <si>
    <t>Revenus du gouvernement provincial</t>
  </si>
  <si>
    <t>inframunicipal : www.inframunicipal.ca</t>
  </si>
  <si>
    <t>Plan d'intervention : https://www.mamh.gouv.qc.ca/infrastructures/plan-dintervention/</t>
  </si>
  <si>
    <t>Outil BI : https://www.mamh.gouv.qc.ca/infrastructures/strategie/outils-aux-municipalites</t>
  </si>
  <si>
    <t>(inclut les ouvrages suivants : barrages, prises d'eau, réservoirs, installations de traitement)</t>
  </si>
  <si>
    <t>(inclut les conduites ou canaux d'amenée)</t>
  </si>
  <si>
    <r>
      <t xml:space="preserve">État </t>
    </r>
    <r>
      <rPr>
        <sz val="8"/>
        <color theme="1"/>
        <rFont val="Calibri"/>
        <family val="2"/>
        <scheme val="minor"/>
      </rPr>
      <t xml:space="preserve"> (Répartition de l'état des actifs 
selon la valeur de remplacement)</t>
    </r>
  </si>
  <si>
    <t>Inventaire (nombre d'ouvrages)</t>
  </si>
  <si>
    <t>AUTRES ACTIFS</t>
  </si>
  <si>
    <t xml:space="preserve">ANNÉE DU PGA:  </t>
  </si>
  <si>
    <t>Nous ne demandons pas de confiance et d'état pour les autres actifs</t>
  </si>
  <si>
    <t>Indiquez le ou les actifs associés</t>
  </si>
  <si>
    <t>(inclut les conduites d'alimentation et de distribution)</t>
  </si>
  <si>
    <t>Si oui, veuillez indiquer de quel(s) actif(s) il s'agit et quels sont les modes de partage associés:</t>
  </si>
  <si>
    <t>Autre</t>
  </si>
  <si>
    <t>Type de financement ou de revenus</t>
  </si>
  <si>
    <t>Autres types de financement</t>
  </si>
  <si>
    <t>Type d'actifs</t>
  </si>
  <si>
    <t>Références pour obtenir plus d'aide</t>
  </si>
  <si>
    <t>Court terme (1-4 ans)</t>
  </si>
  <si>
    <t>Long terme (8-10 ans)</t>
  </si>
  <si>
    <t>Moyen terme (5-7 ans)</t>
  </si>
  <si>
    <t xml:space="preserve">Aucun objectif </t>
  </si>
  <si>
    <r>
      <t xml:space="preserve"> Horizon 
 d'amélioration</t>
    </r>
    <r>
      <rPr>
        <sz val="10"/>
        <color theme="1"/>
        <rFont val="Webdings"/>
        <family val="1"/>
        <charset val="2"/>
      </rPr>
      <t>6</t>
    </r>
  </si>
  <si>
    <r>
      <t xml:space="preserve"> Cote de 
 progression </t>
    </r>
    <r>
      <rPr>
        <sz val="10"/>
        <color theme="1"/>
        <rFont val="Webdings"/>
        <family val="1"/>
        <charset val="2"/>
      </rPr>
      <t>6</t>
    </r>
  </si>
  <si>
    <t xml:space="preserve"> Objectifs / Actions à mettre en place</t>
  </si>
  <si>
    <t>Abercorn</t>
  </si>
  <si>
    <t>Estrie (05)</t>
  </si>
  <si>
    <t>Acton Vale</t>
  </si>
  <si>
    <t>Montérégie (16)</t>
  </si>
  <si>
    <t>Adstock</t>
  </si>
  <si>
    <t>Chaudière-Appalaches (12)</t>
  </si>
  <si>
    <t>Aguanish</t>
  </si>
  <si>
    <t>Côte-Nord (09)</t>
  </si>
  <si>
    <t>Akulivik</t>
  </si>
  <si>
    <t>Nord-du-Québec (10)</t>
  </si>
  <si>
    <t>Albanel</t>
  </si>
  <si>
    <t>Saguenay--Lac-Saint-Jean (02)</t>
  </si>
  <si>
    <t>Albertville</t>
  </si>
  <si>
    <t>Bas-Saint-Laurent (01)</t>
  </si>
  <si>
    <t>Alleyn-et-Cawood</t>
  </si>
  <si>
    <t>Outaouais (07)</t>
  </si>
  <si>
    <t>Alma</t>
  </si>
  <si>
    <t>Amherst</t>
  </si>
  <si>
    <t>Laurentides (15)</t>
  </si>
  <si>
    <t>Amos</t>
  </si>
  <si>
    <t>Abitibi-Témiscamingue (08)</t>
  </si>
  <si>
    <t>Amqui</t>
  </si>
  <si>
    <t>Ange-Gardien</t>
  </si>
  <si>
    <t>Armagh</t>
  </si>
  <si>
    <t>Arundel</t>
  </si>
  <si>
    <t>Ascot Corner</t>
  </si>
  <si>
    <t>Aston-Jonction</t>
  </si>
  <si>
    <t>Centre-du-Québec (17)</t>
  </si>
  <si>
    <t>Auclair</t>
  </si>
  <si>
    <t>Audet</t>
  </si>
  <si>
    <t>Aumond</t>
  </si>
  <si>
    <t>Aupaluk</t>
  </si>
  <si>
    <t>Austin</t>
  </si>
  <si>
    <t>Authier</t>
  </si>
  <si>
    <t>Authier-Nord</t>
  </si>
  <si>
    <t>Ayer's Cliff</t>
  </si>
  <si>
    <t>Baie-Comeau</t>
  </si>
  <si>
    <t>Baie-des-Sables</t>
  </si>
  <si>
    <t>Baie-du-Febvre</t>
  </si>
  <si>
    <t>Baie-D'Urfé</t>
  </si>
  <si>
    <t>Montréal (06)</t>
  </si>
  <si>
    <t>Baie-Johan-Beetz</t>
  </si>
  <si>
    <t>Baie-Sainte-Catherine</t>
  </si>
  <si>
    <t>Capitale-Nationale (03)</t>
  </si>
  <si>
    <t>Baie-Saint-Paul</t>
  </si>
  <si>
    <t>Baie-Trinité</t>
  </si>
  <si>
    <t>Barkmere</t>
  </si>
  <si>
    <t>Barnston-Ouest</t>
  </si>
  <si>
    <t>Barraute</t>
  </si>
  <si>
    <t>Batiscan</t>
  </si>
  <si>
    <t>Mauricie (04)</t>
  </si>
  <si>
    <t>Beaconsfield</t>
  </si>
  <si>
    <t>Béarn</t>
  </si>
  <si>
    <t>Beauceville</t>
  </si>
  <si>
    <t>Beauharnois</t>
  </si>
  <si>
    <t>Beaulac-Garthby</t>
  </si>
  <si>
    <t>Beaumont</t>
  </si>
  <si>
    <t>Beaupré</t>
  </si>
  <si>
    <t>Bécancour</t>
  </si>
  <si>
    <t>Bedford</t>
  </si>
  <si>
    <t>Bégin</t>
  </si>
  <si>
    <t>Belcourt</t>
  </si>
  <si>
    <t>Belleterre</t>
  </si>
  <si>
    <t>Beloeil</t>
  </si>
  <si>
    <t>Berry</t>
  </si>
  <si>
    <t>Berthier-sur-Mer</t>
  </si>
  <si>
    <t>Berthierville</t>
  </si>
  <si>
    <t>Lanaudière (14)</t>
  </si>
  <si>
    <t>Béthanie</t>
  </si>
  <si>
    <t>Biencourt</t>
  </si>
  <si>
    <t>Blainville</t>
  </si>
  <si>
    <t>Blanc-Sablon</t>
  </si>
  <si>
    <t>Blue Sea</t>
  </si>
  <si>
    <t>Boileau</t>
  </si>
  <si>
    <t>Boisbriand</t>
  </si>
  <si>
    <t>Boischatel</t>
  </si>
  <si>
    <t>Bois-des-Filion</t>
  </si>
  <si>
    <t>Bois-Franc</t>
  </si>
  <si>
    <t>Bolton-Est</t>
  </si>
  <si>
    <t>Bolton-Ouest</t>
  </si>
  <si>
    <t>Bonaventure</t>
  </si>
  <si>
    <t>Gaspésie--Îles-de-la-Madeleine (11)</t>
  </si>
  <si>
    <t>Bonne-Espérance</t>
  </si>
  <si>
    <t>Bonsecours</t>
  </si>
  <si>
    <t>Boucherville</t>
  </si>
  <si>
    <t>Bouchette</t>
  </si>
  <si>
    <t>Bowman</t>
  </si>
  <si>
    <t>Brébeuf</t>
  </si>
  <si>
    <t>Brigham</t>
  </si>
  <si>
    <t>Bristol</t>
  </si>
  <si>
    <t>Brome</t>
  </si>
  <si>
    <t>Bromont</t>
  </si>
  <si>
    <t>Brossard</t>
  </si>
  <si>
    <t>Brownsburg-Chatham</t>
  </si>
  <si>
    <t>Bryson</t>
  </si>
  <si>
    <t>Bury</t>
  </si>
  <si>
    <t>Cacouna</t>
  </si>
  <si>
    <t>Calixa-Lavallée</t>
  </si>
  <si>
    <t>Campbell's Bay</t>
  </si>
  <si>
    <t>Candiac</t>
  </si>
  <si>
    <t>Cantley</t>
  </si>
  <si>
    <t>Cap-Chat</t>
  </si>
  <si>
    <t>Caplan</t>
  </si>
  <si>
    <t>Cap-Saint-Ignace</t>
  </si>
  <si>
    <t>Cap-Santé</t>
  </si>
  <si>
    <t>Carignan</t>
  </si>
  <si>
    <t>Carleton-sur-Mer</t>
  </si>
  <si>
    <t>Cascapédia--Saint-Jules</t>
  </si>
  <si>
    <t>Causapscal</t>
  </si>
  <si>
    <t>Cayamant</t>
  </si>
  <si>
    <t>Chambly</t>
  </si>
  <si>
    <t>Chambord</t>
  </si>
  <si>
    <t>Champlain</t>
  </si>
  <si>
    <t>Champneuf</t>
  </si>
  <si>
    <t>Chandler</t>
  </si>
  <si>
    <t>Chapais</t>
  </si>
  <si>
    <t>Charette</t>
  </si>
  <si>
    <t>Charlemagne</t>
  </si>
  <si>
    <t>Chartierville</t>
  </si>
  <si>
    <t>Châteauguay</t>
  </si>
  <si>
    <t>Château-Richer</t>
  </si>
  <si>
    <t>Chazel</t>
  </si>
  <si>
    <t>Chelsea</t>
  </si>
  <si>
    <t>Chénéville</t>
  </si>
  <si>
    <t>Chertsey</t>
  </si>
  <si>
    <t>Chesterville</t>
  </si>
  <si>
    <t>Chibougamau</t>
  </si>
  <si>
    <t>Chichester</t>
  </si>
  <si>
    <t>Chisasibi</t>
  </si>
  <si>
    <t>Chute-aux-Outardes</t>
  </si>
  <si>
    <t>Chute-Saint-Philippe</t>
  </si>
  <si>
    <t>Clarenceville</t>
  </si>
  <si>
    <t>Clarendon</t>
  </si>
  <si>
    <t>Clermont</t>
  </si>
  <si>
    <t>Clerval</t>
  </si>
  <si>
    <t>Cleveland</t>
  </si>
  <si>
    <t>Cloridorme</t>
  </si>
  <si>
    <t>Coaticook</t>
  </si>
  <si>
    <t>Colombier</t>
  </si>
  <si>
    <t>Compton</t>
  </si>
  <si>
    <t>Contrecoeur</t>
  </si>
  <si>
    <t>Cookshire-Eaton</t>
  </si>
  <si>
    <t>Coteau-du-Lac</t>
  </si>
  <si>
    <t>Côte-Nord-du-Golfe-du-Saint-Laurent</t>
  </si>
  <si>
    <t>Côte-Saint-Luc</t>
  </si>
  <si>
    <t>Courcelles</t>
  </si>
  <si>
    <t>Cowansville</t>
  </si>
  <si>
    <t>Crabtree</t>
  </si>
  <si>
    <t>Danville</t>
  </si>
  <si>
    <t>Daveluyville</t>
  </si>
  <si>
    <t>Dégelis</t>
  </si>
  <si>
    <t>Déléage</t>
  </si>
  <si>
    <t>Delson</t>
  </si>
  <si>
    <t>Denholm</t>
  </si>
  <si>
    <t>Desbiens</t>
  </si>
  <si>
    <t>Deschaillons-sur-Saint-Laurent</t>
  </si>
  <si>
    <t>Deschambault-Grondines</t>
  </si>
  <si>
    <t>Deux-Montagnes</t>
  </si>
  <si>
    <t>Disraeli</t>
  </si>
  <si>
    <t>Dixville</t>
  </si>
  <si>
    <t>Dolbeau-Mistassini</t>
  </si>
  <si>
    <t>Dollard-des-Ormeaux</t>
  </si>
  <si>
    <t>Donnacona</t>
  </si>
  <si>
    <t>Dorval</t>
  </si>
  <si>
    <t>Dosquet</t>
  </si>
  <si>
    <t>Drummondville</t>
  </si>
  <si>
    <t>Dudswell</t>
  </si>
  <si>
    <t>Duhamel</t>
  </si>
  <si>
    <t>Duhamel-Ouest</t>
  </si>
  <si>
    <t>Dundee</t>
  </si>
  <si>
    <t>Dunham</t>
  </si>
  <si>
    <t>Duparquet</t>
  </si>
  <si>
    <t>Dupuy</t>
  </si>
  <si>
    <t>Durham-Sud</t>
  </si>
  <si>
    <t>East Angus</t>
  </si>
  <si>
    <t>East Broughton</t>
  </si>
  <si>
    <t>East Farnham</t>
  </si>
  <si>
    <t>East Hereford</t>
  </si>
  <si>
    <t>Eastmain</t>
  </si>
  <si>
    <t>Eastman</t>
  </si>
  <si>
    <t>Eeyou Istchee Baie-James</t>
  </si>
  <si>
    <t>Egan-Sud</t>
  </si>
  <si>
    <t>Elgin</t>
  </si>
  <si>
    <t>Entrelacs</t>
  </si>
  <si>
    <t>Escuminac</t>
  </si>
  <si>
    <t>Esprit-Saint</t>
  </si>
  <si>
    <t>Estérel</t>
  </si>
  <si>
    <t>Farnham</t>
  </si>
  <si>
    <t>Fassett</t>
  </si>
  <si>
    <t>Ferland-et-Boilleau</t>
  </si>
  <si>
    <t>Ferme-Neuve</t>
  </si>
  <si>
    <t>Fermont</t>
  </si>
  <si>
    <t>Forestville</t>
  </si>
  <si>
    <t>Fort-Coulonge</t>
  </si>
  <si>
    <t>Fortierville</t>
  </si>
  <si>
    <t>Fossambault-sur-le-Lac</t>
  </si>
  <si>
    <t>Frampton</t>
  </si>
  <si>
    <t>Franklin</t>
  </si>
  <si>
    <t>Franquelin</t>
  </si>
  <si>
    <t>Frelighsburg</t>
  </si>
  <si>
    <t>Frontenac</t>
  </si>
  <si>
    <t>Fugèreville</t>
  </si>
  <si>
    <t>Gallichan</t>
  </si>
  <si>
    <t>Gaspé</t>
  </si>
  <si>
    <t>Gatineau</t>
  </si>
  <si>
    <t>Girardville</t>
  </si>
  <si>
    <t>Godbout</t>
  </si>
  <si>
    <t>Godmanchester</t>
  </si>
  <si>
    <t>Gore</t>
  </si>
  <si>
    <t>Gracefield</t>
  </si>
  <si>
    <t>Granby</t>
  </si>
  <si>
    <t>Grande-Rivière</t>
  </si>
  <si>
    <t>Grandes-Piles</t>
  </si>
  <si>
    <t>Grande-Vallée</t>
  </si>
  <si>
    <t>Grand-Métis</t>
  </si>
  <si>
    <t>Grand-Remous</t>
  </si>
  <si>
    <t>Grand-Saint-Esprit</t>
  </si>
  <si>
    <t>Grenville</t>
  </si>
  <si>
    <t>Grenville-sur-la-Rouge</t>
  </si>
  <si>
    <t>Gros-Mécatina</t>
  </si>
  <si>
    <t>Grosse-Île</t>
  </si>
  <si>
    <t>Grosses-Roches</t>
  </si>
  <si>
    <t>Guérin</t>
  </si>
  <si>
    <t>Ham-Nord</t>
  </si>
  <si>
    <t>Hampden</t>
  </si>
  <si>
    <t>Hampstead</t>
  </si>
  <si>
    <t>Ham-Sud</t>
  </si>
  <si>
    <t>Harrington</t>
  </si>
  <si>
    <t>Hatley</t>
  </si>
  <si>
    <t>Havelock</t>
  </si>
  <si>
    <t>Havre-Saint-Pierre</t>
  </si>
  <si>
    <t>Hébertville</t>
  </si>
  <si>
    <t>Hébertville-Station</t>
  </si>
  <si>
    <t>Hemmingford</t>
  </si>
  <si>
    <t>Henryville</t>
  </si>
  <si>
    <t>Hérouxville</t>
  </si>
  <si>
    <t>Hinchinbrooke</t>
  </si>
  <si>
    <t>Honfleur</t>
  </si>
  <si>
    <t>Hope</t>
  </si>
  <si>
    <t>Hope Town</t>
  </si>
  <si>
    <t>Howick</t>
  </si>
  <si>
    <t>Huberdeau</t>
  </si>
  <si>
    <t>Hudson</t>
  </si>
  <si>
    <t>Huntingdon</t>
  </si>
  <si>
    <t>Inukjuak</t>
  </si>
  <si>
    <t>Inverness</t>
  </si>
  <si>
    <t>Irlande</t>
  </si>
  <si>
    <t>Ivry-sur-le-Lac</t>
  </si>
  <si>
    <t>Ivujivik</t>
  </si>
  <si>
    <t>Joliette</t>
  </si>
  <si>
    <t>Kamouraska</t>
  </si>
  <si>
    <t>Kangiqsualujjuaq</t>
  </si>
  <si>
    <t>Kangiqsujuaq</t>
  </si>
  <si>
    <t>Kangirsuk</t>
  </si>
  <si>
    <t>Kawawachikamach</t>
  </si>
  <si>
    <t>Kazabazua</t>
  </si>
  <si>
    <t>Kiamika</t>
  </si>
  <si>
    <t>Kingsbury</t>
  </si>
  <si>
    <t>Kingsey Falls</t>
  </si>
  <si>
    <t>Kinnear's Mills</t>
  </si>
  <si>
    <t>Kipawa</t>
  </si>
  <si>
    <t>Kirkland</t>
  </si>
  <si>
    <t>Kuujjuaq</t>
  </si>
  <si>
    <t>Kuujjuarapik</t>
  </si>
  <si>
    <t>La Bostonnais</t>
  </si>
  <si>
    <t>La Conception</t>
  </si>
  <si>
    <t>La Corne</t>
  </si>
  <si>
    <t>La Doré</t>
  </si>
  <si>
    <t>La Durantaye</t>
  </si>
  <si>
    <t>La Guadeloupe</t>
  </si>
  <si>
    <t>La Macaza</t>
  </si>
  <si>
    <t>La Malbaie</t>
  </si>
  <si>
    <t>La Martre</t>
  </si>
  <si>
    <t>La Minerve</t>
  </si>
  <si>
    <t>La Morandière-Rochebaucourt</t>
  </si>
  <si>
    <t>La Motte</t>
  </si>
  <si>
    <t>La Patrie</t>
  </si>
  <si>
    <t>La Pêche</t>
  </si>
  <si>
    <t>La Pocatière</t>
  </si>
  <si>
    <t>La Prairie</t>
  </si>
  <si>
    <t>La Présentation</t>
  </si>
  <si>
    <t>La Rédemption</t>
  </si>
  <si>
    <t>La Reine</t>
  </si>
  <si>
    <t>La Sarre</t>
  </si>
  <si>
    <t>La Trinité-des-Monts</t>
  </si>
  <si>
    <t>La Tuque</t>
  </si>
  <si>
    <t>La Visitation-de-l'Île-Dupas</t>
  </si>
  <si>
    <t>La Visitation-de-Yamaska</t>
  </si>
  <si>
    <t>Labelle</t>
  </si>
  <si>
    <t>Labrecque</t>
  </si>
  <si>
    <t>Lac-au-Saumon</t>
  </si>
  <si>
    <t>Lac-aux-Sables</t>
  </si>
  <si>
    <t>Lac-Beauport</t>
  </si>
  <si>
    <t>Lac-Bouchette</t>
  </si>
  <si>
    <t>Lac-Brome</t>
  </si>
  <si>
    <t>Lac-Delage</t>
  </si>
  <si>
    <t>Lac-des-Aigles</t>
  </si>
  <si>
    <t>Lac-des-Écorces</t>
  </si>
  <si>
    <t>Lac-des-Plages</t>
  </si>
  <si>
    <t>Lac-des-Seize-Îles</t>
  </si>
  <si>
    <t>Lac-Drolet</t>
  </si>
  <si>
    <t>Lac-du-Cerf</t>
  </si>
  <si>
    <t>Lac-Édouard</t>
  </si>
  <si>
    <t>Lac-Etchemin</t>
  </si>
  <si>
    <t>Lac-Frontière</t>
  </si>
  <si>
    <t>Lachute</t>
  </si>
  <si>
    <t>Lac-Mégantic</t>
  </si>
  <si>
    <t>Lacolle</t>
  </si>
  <si>
    <t>Lac-Poulin</t>
  </si>
  <si>
    <t>Lac-Saguay</t>
  </si>
  <si>
    <t>Lac-Sainte-Marie</t>
  </si>
  <si>
    <t>Lac-Saint-Joseph</t>
  </si>
  <si>
    <t>Lac-Saint-Paul</t>
  </si>
  <si>
    <t>Lac-Sergent</t>
  </si>
  <si>
    <t>Lac-Simon</t>
  </si>
  <si>
    <t>Lac-Supérieur</t>
  </si>
  <si>
    <t>Lac-Tremblant-Nord</t>
  </si>
  <si>
    <t>Laforce</t>
  </si>
  <si>
    <t>Lamarche</t>
  </si>
  <si>
    <t>Lambton</t>
  </si>
  <si>
    <t>L'Ancienne-Lorette</t>
  </si>
  <si>
    <t>Landrienne</t>
  </si>
  <si>
    <t>L'Ange-Gardien</t>
  </si>
  <si>
    <t>Lanoraie</t>
  </si>
  <si>
    <t>L'Anse-Saint-Jean</t>
  </si>
  <si>
    <t>Lantier</t>
  </si>
  <si>
    <t>Larouche</t>
  </si>
  <si>
    <t>L'Ascension</t>
  </si>
  <si>
    <t>L'Ascension-de-Notre-Seigneur</t>
  </si>
  <si>
    <t>L'Ascension-de-Patapédia</t>
  </si>
  <si>
    <t>L'Assomption</t>
  </si>
  <si>
    <t>Latulipe-et-Gaboury</t>
  </si>
  <si>
    <t>Launay</t>
  </si>
  <si>
    <t>Laurier-Station</t>
  </si>
  <si>
    <t>Laurierville</t>
  </si>
  <si>
    <t>Laval</t>
  </si>
  <si>
    <t>Laval (13)</t>
  </si>
  <si>
    <t>Lavaltrie</t>
  </si>
  <si>
    <t>L'Avenir</t>
  </si>
  <si>
    <t>Laverlochère-Angliers</t>
  </si>
  <si>
    <t>Lawrenceville</t>
  </si>
  <si>
    <t>Lebel-sur-Quévillon</t>
  </si>
  <si>
    <t>Leclercville</t>
  </si>
  <si>
    <t>Lefebvre</t>
  </si>
  <si>
    <t>Lejeune</t>
  </si>
  <si>
    <t>Lemieux</t>
  </si>
  <si>
    <t>L'Épiphanie</t>
  </si>
  <si>
    <t>Léry</t>
  </si>
  <si>
    <t>Les Bergeronnes</t>
  </si>
  <si>
    <t>Les Cèdres</t>
  </si>
  <si>
    <t>Les Coteaux</t>
  </si>
  <si>
    <t>Les Éboulements</t>
  </si>
  <si>
    <t>Les Escoumins</t>
  </si>
  <si>
    <t>Les Hauteurs</t>
  </si>
  <si>
    <t>Les Îles-de-la-Madeleine</t>
  </si>
  <si>
    <t>Les Méchins</t>
  </si>
  <si>
    <t>Lévis</t>
  </si>
  <si>
    <t>L'Île-Cadieux</t>
  </si>
  <si>
    <t>L'Île-d'Anticosti</t>
  </si>
  <si>
    <t>L'Île-Dorval</t>
  </si>
  <si>
    <t>L'Île-du-Grand-Calumet</t>
  </si>
  <si>
    <t>L'Île-Perrot</t>
  </si>
  <si>
    <t>Lingwick</t>
  </si>
  <si>
    <t>L'Isle-aux-Allumettes</t>
  </si>
  <si>
    <t>L'Isle-aux-Coudres</t>
  </si>
  <si>
    <t>L'Islet</t>
  </si>
  <si>
    <t>L'Isle-Verte</t>
  </si>
  <si>
    <t>Litchfield</t>
  </si>
  <si>
    <t>Lochaber</t>
  </si>
  <si>
    <t>Lochaber-Partie-Ouest</t>
  </si>
  <si>
    <t>Longue-Pointe-de-Mingan</t>
  </si>
  <si>
    <t>Longue-Rive</t>
  </si>
  <si>
    <t>Longueuil</t>
  </si>
  <si>
    <t>Lorraine</t>
  </si>
  <si>
    <t>Lorrainville</t>
  </si>
  <si>
    <t>Lotbinière</t>
  </si>
  <si>
    <t>Louiseville</t>
  </si>
  <si>
    <t>Low</t>
  </si>
  <si>
    <t>Lyster</t>
  </si>
  <si>
    <t>Macamic</t>
  </si>
  <si>
    <t>Maddington Falls</t>
  </si>
  <si>
    <t>Magog</t>
  </si>
  <si>
    <t>Malartic</t>
  </si>
  <si>
    <t>Mandeville</t>
  </si>
  <si>
    <t>Maniwaki</t>
  </si>
  <si>
    <t>Manseau</t>
  </si>
  <si>
    <t>Mansfield-et-Pontefract</t>
  </si>
  <si>
    <t>Maria</t>
  </si>
  <si>
    <t>Maricourt</t>
  </si>
  <si>
    <t>Marieville</t>
  </si>
  <si>
    <t>Marsoui</t>
  </si>
  <si>
    <t>Marston</t>
  </si>
  <si>
    <t>Martinville</t>
  </si>
  <si>
    <t>Mascouche</t>
  </si>
  <si>
    <t>Maskinongé</t>
  </si>
  <si>
    <t>Massueville</t>
  </si>
  <si>
    <t>Matagami</t>
  </si>
  <si>
    <t>Matane</t>
  </si>
  <si>
    <t>Matapédia</t>
  </si>
  <si>
    <t>Mayo</t>
  </si>
  <si>
    <t>McMasterville</t>
  </si>
  <si>
    <t>Melbourne</t>
  </si>
  <si>
    <t>Mercier</t>
  </si>
  <si>
    <t>Messines</t>
  </si>
  <si>
    <t>Métabetchouan--Lac-à-la-Croix</t>
  </si>
  <si>
    <t>Métis-sur-Mer</t>
  </si>
  <si>
    <t>Milan</t>
  </si>
  <si>
    <t>Mille-Isles</t>
  </si>
  <si>
    <t>Mirabel</t>
  </si>
  <si>
    <t>Mistissini</t>
  </si>
  <si>
    <t>Moffet</t>
  </si>
  <si>
    <t>Mont-Blanc</t>
  </si>
  <si>
    <t>Montcalm</t>
  </si>
  <si>
    <t>Mont-Carmel</t>
  </si>
  <si>
    <t>Montcerf-Lytton</t>
  </si>
  <si>
    <t>Montebello</t>
  </si>
  <si>
    <t>Mont-Joli</t>
  </si>
  <si>
    <t>Mont-Laurier</t>
  </si>
  <si>
    <t>Montmagny</t>
  </si>
  <si>
    <t>Montpellier</t>
  </si>
  <si>
    <t>Montréal</t>
  </si>
  <si>
    <t>Montréal-Est</t>
  </si>
  <si>
    <t>Montréal-Ouest</t>
  </si>
  <si>
    <t>Mont-Royal</t>
  </si>
  <si>
    <t>Mont-Saint-Grégoire</t>
  </si>
  <si>
    <t>Mont-Saint-Hilaire</t>
  </si>
  <si>
    <t>Mont-Saint-Michel</t>
  </si>
  <si>
    <t>Mont-Saint-Pierre</t>
  </si>
  <si>
    <t>Mont-Tremblant</t>
  </si>
  <si>
    <t>Morin-Heights</t>
  </si>
  <si>
    <t>Mulgrave-et-Derry</t>
  </si>
  <si>
    <t>Murdochville</t>
  </si>
  <si>
    <t>Namur</t>
  </si>
  <si>
    <t>Nantes</t>
  </si>
  <si>
    <t>Napierville</t>
  </si>
  <si>
    <t>Natashquan</t>
  </si>
  <si>
    <t>Notre-Dame-Auxiliatrice-de-Buckland</t>
  </si>
  <si>
    <t>Notre-Dame-de-Bonsecours</t>
  </si>
  <si>
    <t>Notre-Dame-du-Sacré-Coeur-d'Issoudun</t>
  </si>
  <si>
    <t>Nédélec</t>
  </si>
  <si>
    <t>Nemaska</t>
  </si>
  <si>
    <t>Neuville</t>
  </si>
  <si>
    <t>New Carlisle</t>
  </si>
  <si>
    <t>New Richmond</t>
  </si>
  <si>
    <t>Newport</t>
  </si>
  <si>
    <t>Nicolet</t>
  </si>
  <si>
    <t>Nominingue</t>
  </si>
  <si>
    <t>Normandin</t>
  </si>
  <si>
    <t>Normétal</t>
  </si>
  <si>
    <t>North Hatley</t>
  </si>
  <si>
    <t>Notre-Dame-de-Ham</t>
  </si>
  <si>
    <t>Notre-Dame-de-la-Merci</t>
  </si>
  <si>
    <t>Notre-Dame-de-la-Paix</t>
  </si>
  <si>
    <t>Notre-Dame-de-la-Salette</t>
  </si>
  <si>
    <t>Notre-Dame-de-l'Île-Perrot</t>
  </si>
  <si>
    <t>Notre-Dame-de-Lorette</t>
  </si>
  <si>
    <t>Notre-Dame-de-Lourdes</t>
  </si>
  <si>
    <t>Notre-Dame-de-Montauban</t>
  </si>
  <si>
    <t>Notre-Dame-de-Pontmain</t>
  </si>
  <si>
    <t>Notre-Dame-des-Anges</t>
  </si>
  <si>
    <t>Notre-Dame-des-Bois</t>
  </si>
  <si>
    <t>Notre-Dame-des-Monts</t>
  </si>
  <si>
    <t>Notre-Dame-des-Neiges</t>
  </si>
  <si>
    <t>Notre-Dame-des-Pins</t>
  </si>
  <si>
    <t>Notre-Dame-des-Prairies</t>
  </si>
  <si>
    <t>Notre-Dame-des-Sept-Douleurs</t>
  </si>
  <si>
    <t>Notre-Dame-de-Stanbridge</t>
  </si>
  <si>
    <t>Notre-Dame-du-Bon-Conseil</t>
  </si>
  <si>
    <t>Notre-Dame-du-Laus</t>
  </si>
  <si>
    <t>Notre-Dame-du-Mont-Carmel</t>
  </si>
  <si>
    <t>Notre-Dame-du-Nord</t>
  </si>
  <si>
    <t>Notre-Dame-du-Portage</t>
  </si>
  <si>
    <t>Notre-Dame-du-Rosaire</t>
  </si>
  <si>
    <t>Nouvelle</t>
  </si>
  <si>
    <t>Noyan</t>
  </si>
  <si>
    <t>Ogden</t>
  </si>
  <si>
    <t>Oka</t>
  </si>
  <si>
    <t>Orford</t>
  </si>
  <si>
    <t>Ormstown</t>
  </si>
  <si>
    <t>Otter Lake</t>
  </si>
  <si>
    <t>Otterburn Park</t>
  </si>
  <si>
    <t>Packington</t>
  </si>
  <si>
    <t>Padoue</t>
  </si>
  <si>
    <t>Palmarolle</t>
  </si>
  <si>
    <t>Papineauville</t>
  </si>
  <si>
    <t>Parisville</t>
  </si>
  <si>
    <t>Paspébiac</t>
  </si>
  <si>
    <t>Percé</t>
  </si>
  <si>
    <t>Péribonka</t>
  </si>
  <si>
    <t>Petite-Rivière-Saint-François</t>
  </si>
  <si>
    <t>Petite-Vallée</t>
  </si>
  <si>
    <t>Petit-Saguenay</t>
  </si>
  <si>
    <t>Piedmont</t>
  </si>
  <si>
    <t>Pierreville</t>
  </si>
  <si>
    <t>Pike River</t>
  </si>
  <si>
    <t>Pincourt</t>
  </si>
  <si>
    <t>Piopolis</t>
  </si>
  <si>
    <t>Plaisance</t>
  </si>
  <si>
    <t>Plessisville</t>
  </si>
  <si>
    <t>Pohénégamook</t>
  </si>
  <si>
    <t>Pointe-à-la-Croix</t>
  </si>
  <si>
    <t>Pointe-aux-Outardes</t>
  </si>
  <si>
    <t>Pointe-Calumet</t>
  </si>
  <si>
    <t>Pointe-Claire</t>
  </si>
  <si>
    <t>Pointe-des-Cascades</t>
  </si>
  <si>
    <t>Pointe-Fortune</t>
  </si>
  <si>
    <t>Pointe-Lebel</t>
  </si>
  <si>
    <t>Pontiac</t>
  </si>
  <si>
    <t>Pont-Rouge</t>
  </si>
  <si>
    <t>Portage-du-Fort</t>
  </si>
  <si>
    <t>Port-Cartier</t>
  </si>
  <si>
    <t>Port-Daniel--Gascons</t>
  </si>
  <si>
    <t>Portneuf</t>
  </si>
  <si>
    <t>Portneuf-sur-Mer</t>
  </si>
  <si>
    <t>Potton</t>
  </si>
  <si>
    <t>Poularies</t>
  </si>
  <si>
    <t>Preissac</t>
  </si>
  <si>
    <t>Prévost</t>
  </si>
  <si>
    <t>Price</t>
  </si>
  <si>
    <t>Princeville</t>
  </si>
  <si>
    <t>Puvirnituq</t>
  </si>
  <si>
    <t>Quaqtaq</t>
  </si>
  <si>
    <t>Québec</t>
  </si>
  <si>
    <t>Racine</t>
  </si>
  <si>
    <t>Ragueneau</t>
  </si>
  <si>
    <t>Rapide-Danseur</t>
  </si>
  <si>
    <t>Rapides-des-Joachims</t>
  </si>
  <si>
    <t>Rawdon</t>
  </si>
  <si>
    <t>Rémigny</t>
  </si>
  <si>
    <t>Repentigny</t>
  </si>
  <si>
    <t>Richelieu</t>
  </si>
  <si>
    <t>Richmond</t>
  </si>
  <si>
    <t>Rigaud</t>
  </si>
  <si>
    <t>Rimouski</t>
  </si>
  <si>
    <t>Ripon</t>
  </si>
  <si>
    <t>Ristigouche-Partie-Sud-Est</t>
  </si>
  <si>
    <t>Rivière-à-Claude</t>
  </si>
  <si>
    <t>Rivière-à-Pierre</t>
  </si>
  <si>
    <t>Rivière-au-Tonnerre</t>
  </si>
  <si>
    <t>Rivière-Beaudette</t>
  </si>
  <si>
    <t>Rivière-Bleue</t>
  </si>
  <si>
    <t>Rivière-du-Loup</t>
  </si>
  <si>
    <t>Rivière-Éternité</t>
  </si>
  <si>
    <t>Rivière-Héva</t>
  </si>
  <si>
    <t>Rivière-Ouelle</t>
  </si>
  <si>
    <t>Rivière-Rouge</t>
  </si>
  <si>
    <t>Rivière-Saint-Jean</t>
  </si>
  <si>
    <t>Roberval</t>
  </si>
  <si>
    <t>Roquemaure</t>
  </si>
  <si>
    <t>Rosemère</t>
  </si>
  <si>
    <t>Rougemont</t>
  </si>
  <si>
    <t>Rouyn-Noranda</t>
  </si>
  <si>
    <t>Roxton</t>
  </si>
  <si>
    <t>Roxton Falls</t>
  </si>
  <si>
    <t>Roxton Pond</t>
  </si>
  <si>
    <t>Sacré-Coeur</t>
  </si>
  <si>
    <t>Sacré-Coeur-de-Jésus</t>
  </si>
  <si>
    <t>Saguenay</t>
  </si>
  <si>
    <t>Saint-Adalbert</t>
  </si>
  <si>
    <t>Saint-Adelme</t>
  </si>
  <si>
    <t>Saint-Adelphe</t>
  </si>
  <si>
    <t>Saint-Adolphe-d'Howard</t>
  </si>
  <si>
    <t>Saint-Adrien</t>
  </si>
  <si>
    <t>Saint-Adrien-d'Irlande</t>
  </si>
  <si>
    <t>Saint-Agapit</t>
  </si>
  <si>
    <t>Saint-Aimé</t>
  </si>
  <si>
    <t>Saint-Aimé-des-Lacs</t>
  </si>
  <si>
    <t>Saint-Aimé-du-Lac-des-Îles</t>
  </si>
  <si>
    <t>Saint-Alban</t>
  </si>
  <si>
    <t>Saint-Albert</t>
  </si>
  <si>
    <t>Saint-Alexandre</t>
  </si>
  <si>
    <t>Saint-Alexandre-de-Kamouraska</t>
  </si>
  <si>
    <t>Saint-Alexandre-des-Lacs</t>
  </si>
  <si>
    <t>Saint-Alexis</t>
  </si>
  <si>
    <t>Saint-Alexis-de-Matapédia</t>
  </si>
  <si>
    <t>Saint-Alexis-des-Monts</t>
  </si>
  <si>
    <t>Saint-Alfred</t>
  </si>
  <si>
    <t>Saint-Alphonse</t>
  </si>
  <si>
    <t>Saint-Alphonse-de-Granby</t>
  </si>
  <si>
    <t>Saint-Alphonse-Rodriguez</t>
  </si>
  <si>
    <t>Saint-Amable</t>
  </si>
  <si>
    <t>Saint-Ambroise</t>
  </si>
  <si>
    <t>Saint-Ambroise-de-Kildare</t>
  </si>
  <si>
    <t>Saint-Anaclet-de-Lessard</t>
  </si>
  <si>
    <t>Saint-André-Avellin</t>
  </si>
  <si>
    <t>Saint-André-d'Argenteuil</t>
  </si>
  <si>
    <t>Saint-André-de-Kamouraska</t>
  </si>
  <si>
    <t>Saint-André-de-Restigouche</t>
  </si>
  <si>
    <t>Saint-André-du-Lac-Saint-Jean</t>
  </si>
  <si>
    <t>Saint-Anicet</t>
  </si>
  <si>
    <t>Saint-Anselme</t>
  </si>
  <si>
    <t>Saint-Antoine-de-Tilly</t>
  </si>
  <si>
    <t>Saint-Antoine-de-l'Isle-aux-Grues</t>
  </si>
  <si>
    <t>Saint-Antoine-sur-Richelieu</t>
  </si>
  <si>
    <t>Saint-Antonin</t>
  </si>
  <si>
    <t>Saint-Apollinaire</t>
  </si>
  <si>
    <t>Saint-Armand</t>
  </si>
  <si>
    <t>Saint-Arsène</t>
  </si>
  <si>
    <t>Saint-Athanase</t>
  </si>
  <si>
    <t>Saint-Aubert</t>
  </si>
  <si>
    <t>Saint-Augustin</t>
  </si>
  <si>
    <t>Saint-Augustin-de-Desmaures</t>
  </si>
  <si>
    <t>Saint-Augustin-de-Woburn</t>
  </si>
  <si>
    <t>Saint-Barnabé</t>
  </si>
  <si>
    <t>Saint-Barnabé-Sud</t>
  </si>
  <si>
    <t>Saint-Barthélemy</t>
  </si>
  <si>
    <t>Saint-Basile</t>
  </si>
  <si>
    <t>Saint-Basile-le-Grand</t>
  </si>
  <si>
    <t>Saint-Benjamin</t>
  </si>
  <si>
    <t>Saint-Benoît-du-Lac</t>
  </si>
  <si>
    <t>Saint-Benoît-Labre</t>
  </si>
  <si>
    <t>Saint-Bernard</t>
  </si>
  <si>
    <t>Saint-Bernard-de-Lacolle</t>
  </si>
  <si>
    <t>Saint-Bernard-de-Michaudville</t>
  </si>
  <si>
    <t>Saint-Blaise-sur-Richelieu</t>
  </si>
  <si>
    <t>Saint-Bonaventure</t>
  </si>
  <si>
    <t>Saint-Boniface</t>
  </si>
  <si>
    <t>Saint-Bruno</t>
  </si>
  <si>
    <t>Saint-Bruno-de-Guigues</t>
  </si>
  <si>
    <t>Saint-Bruno-de-Kamouraska</t>
  </si>
  <si>
    <t>Saint-Bruno-de-Montarville</t>
  </si>
  <si>
    <t>Saint-Calixte</t>
  </si>
  <si>
    <t>Saint-Camille</t>
  </si>
  <si>
    <t>Saint-Camille-de-Lellis</t>
  </si>
  <si>
    <t>Saint-Casimir</t>
  </si>
  <si>
    <t>Saint-Célestin</t>
  </si>
  <si>
    <t>Saint-Césaire</t>
  </si>
  <si>
    <t>Saint-Charles-Borromée</t>
  </si>
  <si>
    <t>Saint-Charles-de-Bellechasse</t>
  </si>
  <si>
    <t>Saint-Charles-de-Bourget</t>
  </si>
  <si>
    <t>Saint-Charles-Garnier</t>
  </si>
  <si>
    <t>Saint-Charles-sur-Richelieu</t>
  </si>
  <si>
    <t>Saint-Christophe-d'Arthabaska</t>
  </si>
  <si>
    <t>Saint-Chrysostome</t>
  </si>
  <si>
    <t>Saint-Claude</t>
  </si>
  <si>
    <t>Saint-Clément</t>
  </si>
  <si>
    <t>Saint-Cléophas</t>
  </si>
  <si>
    <t>Saint-Cléophas-de-Brandon</t>
  </si>
  <si>
    <t>Saint-Clet</t>
  </si>
  <si>
    <t>Saint-Colomban</t>
  </si>
  <si>
    <t>Saint-Côme</t>
  </si>
  <si>
    <t>Saint-Côme--Linière</t>
  </si>
  <si>
    <t>Saint-Constant</t>
  </si>
  <si>
    <t>Saint-Cuthbert</t>
  </si>
  <si>
    <t>Saint-Cyprien</t>
  </si>
  <si>
    <t>Saint-Cyprien-de-Napierville</t>
  </si>
  <si>
    <t>Saint-Cyrille-de-Lessard</t>
  </si>
  <si>
    <t>Saint-Cyrille-de-Wendover</t>
  </si>
  <si>
    <t>Saint-Damase</t>
  </si>
  <si>
    <t>Saint-Damase-de-L'Islet</t>
  </si>
  <si>
    <t>Saint-Damien</t>
  </si>
  <si>
    <t>Saint-Damien-de-Buckland</t>
  </si>
  <si>
    <t>Saint-David</t>
  </si>
  <si>
    <t>Saint-David-de-Falardeau</t>
  </si>
  <si>
    <t>Saint-Denis-De La Bouteillerie</t>
  </si>
  <si>
    <t>Saint-Denis-de-Brompton</t>
  </si>
  <si>
    <t>Saint-Denis-sur-Richelieu</t>
  </si>
  <si>
    <t>Saint-Didace</t>
  </si>
  <si>
    <t>Saint-Dominique</t>
  </si>
  <si>
    <t>Saint-Dominique-du-Rosaire</t>
  </si>
  <si>
    <t>Saint-Donat</t>
  </si>
  <si>
    <t>Sainte-Adèle</t>
  </si>
  <si>
    <t>Sainte-Agathe-de-Lotbinière</t>
  </si>
  <si>
    <t>Sainte-Agathe-des-Monts</t>
  </si>
  <si>
    <t>Sainte-Angèle-de-Mérici</t>
  </si>
  <si>
    <t>Sainte-Angèle-de-Monnoir</t>
  </si>
  <si>
    <t>Sainte-Angèle-de-Prémont</t>
  </si>
  <si>
    <t>Sainte-Anne-de-Beaupré</t>
  </si>
  <si>
    <t>Sainte-Anne-de-Bellevue</t>
  </si>
  <si>
    <t>Sainte-Anne-de-la-Pérade</t>
  </si>
  <si>
    <t>Sainte-Anne-de-la-Pocatière</t>
  </si>
  <si>
    <t>Sainte-Anne-de-la-Rochelle</t>
  </si>
  <si>
    <t>Sainte-Anne-de-Sabrevois</t>
  </si>
  <si>
    <t>Sainte-Anne-des-Lacs</t>
  </si>
  <si>
    <t>Sainte-Anne-des-Monts</t>
  </si>
  <si>
    <t>Sainte-Anne-de-Sorel</t>
  </si>
  <si>
    <t>Sainte-Anne-des-Plaines</t>
  </si>
  <si>
    <t>Sainte-Anne-du-Lac</t>
  </si>
  <si>
    <t>Sainte-Apolline-de-Patton</t>
  </si>
  <si>
    <t>Sainte-Aurélie</t>
  </si>
  <si>
    <t>Sainte-Barbe</t>
  </si>
  <si>
    <t>Sainte-Béatrix</t>
  </si>
  <si>
    <t>Sainte-Brigide-d'Iberville</t>
  </si>
  <si>
    <t>Sainte-Brigitte-de-Laval</t>
  </si>
  <si>
    <t>Sainte-Brigitte-des-Saults</t>
  </si>
  <si>
    <t>Sainte-Catherine</t>
  </si>
  <si>
    <t>Sainte-Catherine-de-Hatley</t>
  </si>
  <si>
    <t>Sainte-Cécile-de-Lévrard</t>
  </si>
  <si>
    <t>Sainte-Cécile-de-Milton</t>
  </si>
  <si>
    <t>Sainte-Cécile-de-Whitton</t>
  </si>
  <si>
    <t>Sainte-Christine</t>
  </si>
  <si>
    <t>Sainte-Christine-d'Auvergne</t>
  </si>
  <si>
    <t>Sainte-Claire</t>
  </si>
  <si>
    <t>Sainte-Clotilde</t>
  </si>
  <si>
    <t>Sainte-Clotilde-de-Beauce</t>
  </si>
  <si>
    <t>Sainte-Clotilde-de-Horton</t>
  </si>
  <si>
    <t>Sainte-Croix</t>
  </si>
  <si>
    <t>Saint-Edmond-de-Grantham</t>
  </si>
  <si>
    <t>Saint-Edmond-les-Plaines</t>
  </si>
  <si>
    <t>Saint-Édouard</t>
  </si>
  <si>
    <t>Saint-Édouard-de-Fabre</t>
  </si>
  <si>
    <t>Saint-Édouard-de-Lotbinière</t>
  </si>
  <si>
    <t>Saint-Édouard-de-Maskinongé</t>
  </si>
  <si>
    <t>Sainte-Edwidge-de-Clifton</t>
  </si>
  <si>
    <t>Sainte-Élisabeth</t>
  </si>
  <si>
    <t>Sainte-Élizabeth-de-Warwick</t>
  </si>
  <si>
    <t>Sainte-Émélie-de-l'Énergie</t>
  </si>
  <si>
    <t>Sainte-Eulalie</t>
  </si>
  <si>
    <t>Sainte-Euphémie-sur-Rivière-du-Sud</t>
  </si>
  <si>
    <t>Sainte-Famille-de-l'Île-d'Orléans</t>
  </si>
  <si>
    <t>Sainte-Félicité</t>
  </si>
  <si>
    <t>Sainte-Flavie</t>
  </si>
  <si>
    <t>Sainte-Florence</t>
  </si>
  <si>
    <t>Sainte-Françoise</t>
  </si>
  <si>
    <t>Sainte-Geneviève-de-Batiscan</t>
  </si>
  <si>
    <t>Sainte-Geneviève-de-Berthier</t>
  </si>
  <si>
    <t>Sainte-Germaine-Boulé</t>
  </si>
  <si>
    <t>Sainte-Gertrude-Manneville</t>
  </si>
  <si>
    <t>Sainte-Hedwidge</t>
  </si>
  <si>
    <t>Sainte-Hélène-de-Bagot</t>
  </si>
  <si>
    <t>Sainte-Hélène-de-Chester</t>
  </si>
  <si>
    <t>Sainte-Hélène-de-Kamouraska</t>
  </si>
  <si>
    <t>Sainte-Hélène-de-Mancebourg</t>
  </si>
  <si>
    <t>Sainte-Hénédine</t>
  </si>
  <si>
    <t>Sainte-Irène</t>
  </si>
  <si>
    <t>Sainte-Jeanne-d'Arc</t>
  </si>
  <si>
    <t>Sainte-Julie</t>
  </si>
  <si>
    <t>Sainte-Julienne</t>
  </si>
  <si>
    <t>Sainte-Justine</t>
  </si>
  <si>
    <t>Sainte-Justine-de-Newton</t>
  </si>
  <si>
    <t>Saint-Élie-de-Caxton</t>
  </si>
  <si>
    <t>Saint-Éloi</t>
  </si>
  <si>
    <t>Sainte-Louise</t>
  </si>
  <si>
    <t>Saint-Elphège</t>
  </si>
  <si>
    <t>Sainte-Luce</t>
  </si>
  <si>
    <t>Sainte-Lucie-de-Beauregard</t>
  </si>
  <si>
    <t>Sainte-Lucie-des-Laurentides</t>
  </si>
  <si>
    <t>Saint-Elzéar</t>
  </si>
  <si>
    <t>Saint-Elzéar-de-Témiscouata</t>
  </si>
  <si>
    <t>Sainte-Madeleine</t>
  </si>
  <si>
    <t>Sainte-Madeleine-de-la-Rivière-Madeleine</t>
  </si>
  <si>
    <t>Sainte-Marcelline-de-Kildare</t>
  </si>
  <si>
    <t>Sainte-Marguerite</t>
  </si>
  <si>
    <t>Sainte-Marguerite-du-Lac-Masson</t>
  </si>
  <si>
    <t>Sainte-Marguerite-Marie</t>
  </si>
  <si>
    <t>Sainte-Marie</t>
  </si>
  <si>
    <t>Sainte-Marie-de-Blandford</t>
  </si>
  <si>
    <t>Sainte-Marie-Madeleine</t>
  </si>
  <si>
    <t>Sainte-Marie-Salomé</t>
  </si>
  <si>
    <t>Sainte-Marthe</t>
  </si>
  <si>
    <t>Sainte-Marthe-sur-le-Lac</t>
  </si>
  <si>
    <t>Sainte-Martine</t>
  </si>
  <si>
    <t>Sainte-Mélanie</t>
  </si>
  <si>
    <t>Saint-Émile-de-Suffolk</t>
  </si>
  <si>
    <t>Sainte-Monique</t>
  </si>
  <si>
    <t>Sainte-Paule</t>
  </si>
  <si>
    <t>Sainte-Perpétue</t>
  </si>
  <si>
    <t>Sainte-Pétronille</t>
  </si>
  <si>
    <t>Saint-Éphrem-de-Beauce</t>
  </si>
  <si>
    <t>Saint-Épiphane</t>
  </si>
  <si>
    <t>Sainte-Praxède</t>
  </si>
  <si>
    <t>Sainte-Rita</t>
  </si>
  <si>
    <t>Sainte-Rose-de-Watford</t>
  </si>
  <si>
    <t>Sainte-Rose-du-Nord</t>
  </si>
  <si>
    <t>Sainte-Sabine</t>
  </si>
  <si>
    <t>Sainte-Séraphine</t>
  </si>
  <si>
    <t>Sainte-Sophie</t>
  </si>
  <si>
    <t>Sainte-Sophie-de-Lévrard</t>
  </si>
  <si>
    <t>Sainte-Sophie-d'Halifax</t>
  </si>
  <si>
    <t>Saint-Esprit</t>
  </si>
  <si>
    <t>Sainte-Thècle</t>
  </si>
  <si>
    <t>Sainte-Thérèse</t>
  </si>
  <si>
    <t>Sainte-Thérèse-de-Gaspé</t>
  </si>
  <si>
    <t>Sainte-Thérèse-de-la-Gatineau</t>
  </si>
  <si>
    <t>Saint-Étienne-de-Beauharnois</t>
  </si>
  <si>
    <t>Saint-Étienne-de-Bolton</t>
  </si>
  <si>
    <t>Saint-Étienne-des-Grès</t>
  </si>
  <si>
    <t>Saint-Eugène</t>
  </si>
  <si>
    <t>Saint-Eugène-d'Argentenay</t>
  </si>
  <si>
    <t>Saint-Eugène-de-Guigues</t>
  </si>
  <si>
    <t>Saint-Eugène-de-Ladrière</t>
  </si>
  <si>
    <t>Sainte-Ursule</t>
  </si>
  <si>
    <t>Saint-Eusèbe</t>
  </si>
  <si>
    <t>Saint-Eustache</t>
  </si>
  <si>
    <t>Saint-Évariste-de-Forsyth</t>
  </si>
  <si>
    <t>Sainte-Victoire-de-Sorel</t>
  </si>
  <si>
    <t>Saint-Fabien</t>
  </si>
  <si>
    <t>Saint-Fabien-de-Panet</t>
  </si>
  <si>
    <t>Saint-Félicien</t>
  </si>
  <si>
    <t>Saint-Félix-de-Dalquier</t>
  </si>
  <si>
    <t>Saint-Félix-de-Kingsey</t>
  </si>
  <si>
    <t>Saint-Félix-de-Valois</t>
  </si>
  <si>
    <t>Saint-Félix-d'Otis</t>
  </si>
  <si>
    <t>Saint-Ferdinand</t>
  </si>
  <si>
    <t>Saint-Ferréol-les-Neiges</t>
  </si>
  <si>
    <t>Saint-Flavien</t>
  </si>
  <si>
    <t>Saint-Fortunat</t>
  </si>
  <si>
    <t>Saint-François-d'Assise</t>
  </si>
  <si>
    <t>Saint-François-de-la-Rivière-du-Sud</t>
  </si>
  <si>
    <t>Saint-François-de-l'Île-d'Orléans</t>
  </si>
  <si>
    <t>Saint-François-de-Sales</t>
  </si>
  <si>
    <t>Saint-François-du-Lac</t>
  </si>
  <si>
    <t>Saint-François-Xavier-de-Brompton</t>
  </si>
  <si>
    <t>Saint-François-Xavier-de-Viger</t>
  </si>
  <si>
    <t>Saint-Frédéric</t>
  </si>
  <si>
    <t>Saint-Fulgence</t>
  </si>
  <si>
    <t>Saint-Gabriel</t>
  </si>
  <si>
    <t>Saint-Gabriel-de-Brandon</t>
  </si>
  <si>
    <t>Saint-Gabriel-de-Rimouski</t>
  </si>
  <si>
    <t>Saint-Gabriel-de-Valcartier</t>
  </si>
  <si>
    <t>Saint-Gabriel-Lalemant</t>
  </si>
  <si>
    <t>Saint-Gédéon</t>
  </si>
  <si>
    <t>Saint-Gédéon-de-Beauce</t>
  </si>
  <si>
    <t>Saint-Georges</t>
  </si>
  <si>
    <t>Saint-Georges-de-Windsor</t>
  </si>
  <si>
    <t>Saint-Gérard-Majella</t>
  </si>
  <si>
    <t>Saint-Germain-de-Grantham</t>
  </si>
  <si>
    <t>Saint-Germain-de-Kamouraska</t>
  </si>
  <si>
    <t>Saint-Gervais</t>
  </si>
  <si>
    <t>Saint-Gilbert</t>
  </si>
  <si>
    <t>Saint-Gilles</t>
  </si>
  <si>
    <t>Saint-Godefroi</t>
  </si>
  <si>
    <t>Saint-Guillaume</t>
  </si>
  <si>
    <t>Saint-Guy</t>
  </si>
  <si>
    <t>Saint-Henri</t>
  </si>
  <si>
    <t>Saint-Henri-de-Taillon</t>
  </si>
  <si>
    <t>Saint-Herménégilde</t>
  </si>
  <si>
    <t>Saint-Hilaire-de-Dorset</t>
  </si>
  <si>
    <t>Saint-Hilarion</t>
  </si>
  <si>
    <t>Saint-Hippolyte</t>
  </si>
  <si>
    <t>Saint-Honoré</t>
  </si>
  <si>
    <t>Saint-Honoré-de-Shenley</t>
  </si>
  <si>
    <t>Saint-Honoré-de-Témiscouata</t>
  </si>
  <si>
    <t>Saint-Hubert-de-Rivière-du-Loup</t>
  </si>
  <si>
    <t>Saint-Hugues</t>
  </si>
  <si>
    <t>Saint-Hyacinthe</t>
  </si>
  <si>
    <t>Saint-Ignace-de-Loyola</t>
  </si>
  <si>
    <t>Saint-Ignace-de-Stanbridge</t>
  </si>
  <si>
    <t>Saint-Irénée</t>
  </si>
  <si>
    <t>Saint-Isidore</t>
  </si>
  <si>
    <t>Saint-Isidore-de-Clifton</t>
  </si>
  <si>
    <t>Saint-Jacques</t>
  </si>
  <si>
    <t>Saint-Jacques-de-Leeds</t>
  </si>
  <si>
    <t>Saint-Jacques-le-Mineur</t>
  </si>
  <si>
    <t>Saint-Jacques-le-Majeur-de-Wolfestown</t>
  </si>
  <si>
    <t>Saint-Janvier-de-Joly</t>
  </si>
  <si>
    <t>Saint-Jean-Baptiste</t>
  </si>
  <si>
    <t>Saint-Jean-de-Brébeuf</t>
  </si>
  <si>
    <t>Saint-Jean-de-Cherbourg</t>
  </si>
  <si>
    <t>Saint-Jean-de-Dieu</t>
  </si>
  <si>
    <t>Saint-Jean-de-la-Lande</t>
  </si>
  <si>
    <t>Saint-Jean-de-l'Île-d'Orléans</t>
  </si>
  <si>
    <t>Saint-Jean-de-Matha</t>
  </si>
  <si>
    <t>Saint-Jean-Port-Joli</t>
  </si>
  <si>
    <t>Saint-Jean-sur-Richelieu</t>
  </si>
  <si>
    <t>Saint-Jérôme</t>
  </si>
  <si>
    <t>Saint-Joachim</t>
  </si>
  <si>
    <t>Saint-Joachim-de-Shefford</t>
  </si>
  <si>
    <t>Saint-Joseph-de-Beauce</t>
  </si>
  <si>
    <t>Saint-Joseph-de-Coleraine</t>
  </si>
  <si>
    <t>Saint-Joseph-de-Kamouraska</t>
  </si>
  <si>
    <t>Saint-Joseph-de-Lepage</t>
  </si>
  <si>
    <t>Saint-Joseph-des-Érables</t>
  </si>
  <si>
    <t>Saint-Joseph-de-Sorel</t>
  </si>
  <si>
    <t>Saint-Joseph-du-Lac</t>
  </si>
  <si>
    <t>Saint-Jude</t>
  </si>
  <si>
    <t>Saint-Jules</t>
  </si>
  <si>
    <t>Saint-Julien</t>
  </si>
  <si>
    <t>Saint-Just-de-Bretenières</t>
  </si>
  <si>
    <t>Saint-Juste-du-Lac</t>
  </si>
  <si>
    <t>Saint-Justin</t>
  </si>
  <si>
    <t>Saint-Lambert</t>
  </si>
  <si>
    <t>Saint-Lambert-de-Lauzon</t>
  </si>
  <si>
    <t>Saint-Laurent-de-l'Île-d'Orléans</t>
  </si>
  <si>
    <t>Saint-Lazare</t>
  </si>
  <si>
    <t>Saint-Lazare-de-Bellechasse</t>
  </si>
  <si>
    <t>Saint-Léandre</t>
  </si>
  <si>
    <t>Saint-Léonard-d'Aston</t>
  </si>
  <si>
    <t>Saint-Léonard-de-Portneuf</t>
  </si>
  <si>
    <t>Saint-Léon-de-Standon</t>
  </si>
  <si>
    <t>Saint-Léon-le-Grand</t>
  </si>
  <si>
    <t>Saint-Liboire</t>
  </si>
  <si>
    <t>Saint-Liguori</t>
  </si>
  <si>
    <t>Saint-Lin--Laurentides</t>
  </si>
  <si>
    <t>Saint-Louis</t>
  </si>
  <si>
    <t>Saint-Louis-de-Gonzague-du-Cap-Tourmente</t>
  </si>
  <si>
    <t>Saint-Louis-de-Blandford</t>
  </si>
  <si>
    <t>Saint-Louis-de-Gonzague</t>
  </si>
  <si>
    <t>Saint-Louis-du-Ha! Ha!</t>
  </si>
  <si>
    <t>Saint-Luc-de-Bellechasse</t>
  </si>
  <si>
    <t>Saint-Luc-de-Vincennes</t>
  </si>
  <si>
    <t>Saint-Lucien</t>
  </si>
  <si>
    <t>Saint-Ludger</t>
  </si>
  <si>
    <t>Saint-Ludger-de-Milot</t>
  </si>
  <si>
    <t>Saint-Magloire</t>
  </si>
  <si>
    <t>Saint-Majorique-de-Grantham</t>
  </si>
  <si>
    <t>Saint-Malachie</t>
  </si>
  <si>
    <t>Saint-Malo</t>
  </si>
  <si>
    <t>Saint-Marc-de-Figuery</t>
  </si>
  <si>
    <t>Saint-Marc-des-Carrières</t>
  </si>
  <si>
    <t>Saint-Marc-du-Lac-Long</t>
  </si>
  <si>
    <t>Saint-Marcel</t>
  </si>
  <si>
    <t>Saint-Marcel-de-Richelieu</t>
  </si>
  <si>
    <t>Saint-Marcellin</t>
  </si>
  <si>
    <t>Saint-Marc-sur-Richelieu</t>
  </si>
  <si>
    <t>Saint-Martin</t>
  </si>
  <si>
    <t>Saint-Mathias-sur-Richelieu</t>
  </si>
  <si>
    <t>Saint-Mathieu</t>
  </si>
  <si>
    <t>Saint-Mathieu-de-Beloeil</t>
  </si>
  <si>
    <t>Saint-Mathieu-de-Rioux</t>
  </si>
  <si>
    <t>Saint-Mathieu-d'Harricana</t>
  </si>
  <si>
    <t>Saint-Mathieu-du-Parc</t>
  </si>
  <si>
    <t>Saint-Maurice</t>
  </si>
  <si>
    <t>Saint-Maxime-du-Mont-Louis</t>
  </si>
  <si>
    <t>Saint-Médard</t>
  </si>
  <si>
    <t>Saint-Michel</t>
  </si>
  <si>
    <t>Saint-Michel-de-Bellechasse</t>
  </si>
  <si>
    <t>Saint-Michel-des-Saints</t>
  </si>
  <si>
    <t>Saint-Michel-du-Squatec</t>
  </si>
  <si>
    <t>Saint-Modeste</t>
  </si>
  <si>
    <t>Saint-Moïse</t>
  </si>
  <si>
    <t>Saint-Narcisse</t>
  </si>
  <si>
    <t>Saint-Narcisse-de-Beaurivage</t>
  </si>
  <si>
    <t>Saint-Narcisse-de-Rimouski</t>
  </si>
  <si>
    <t>Saint-Nazaire</t>
  </si>
  <si>
    <t>Saint-Nazaire-d'Acton</t>
  </si>
  <si>
    <t>Saint-Nazaire-de-Dorchester</t>
  </si>
  <si>
    <t>Saint-Nérée-de-Bellechasse</t>
  </si>
  <si>
    <t>Saint-Noël</t>
  </si>
  <si>
    <t>Saint-Norbert</t>
  </si>
  <si>
    <t>Saint-Norbert-d'Arthabaska</t>
  </si>
  <si>
    <t>Saint-Octave-de-Métis</t>
  </si>
  <si>
    <t>Saint-Odilon-de-Cranbourne</t>
  </si>
  <si>
    <t>Saint-Omer</t>
  </si>
  <si>
    <t>Saint-Onésime-d'Ixworth</t>
  </si>
  <si>
    <t>Saint-Ours</t>
  </si>
  <si>
    <t>Saint-Pacôme</t>
  </si>
  <si>
    <t>Saint-Pamphile</t>
  </si>
  <si>
    <t>Saint-Pascal</t>
  </si>
  <si>
    <t>Saint-Patrice-de-Beaurivage</t>
  </si>
  <si>
    <t>Saint-Patrice-de-Sherrington</t>
  </si>
  <si>
    <t>Saint-Paul</t>
  </si>
  <si>
    <t>Saint-Paul-d'Abbotsford</t>
  </si>
  <si>
    <t>Saint-Paul-de-la-Croix</t>
  </si>
  <si>
    <t>Saint-Paul-de-l'Île-aux-Noix</t>
  </si>
  <si>
    <t>Saint-Paul-de-Montminy</t>
  </si>
  <si>
    <t>Saint-Paulin</t>
  </si>
  <si>
    <t>Saint-Philémon</t>
  </si>
  <si>
    <t>Saint-Philibert</t>
  </si>
  <si>
    <t>Saint-Philippe</t>
  </si>
  <si>
    <t>Saint-Philippe-de-Néri</t>
  </si>
  <si>
    <t>Saint-Pie</t>
  </si>
  <si>
    <t>Saint-Pie-de-Guire</t>
  </si>
  <si>
    <t>Saint-Pierre</t>
  </si>
  <si>
    <t>Saint-Pierre-Baptiste</t>
  </si>
  <si>
    <t>Saint-Pierre-de-Broughton</t>
  </si>
  <si>
    <t>Saint-Pierre-de-Lamy</t>
  </si>
  <si>
    <t>Saint-Pierre-de-l'Île-d'Orléans</t>
  </si>
  <si>
    <t>Saint-Pierre-les-Becquets</t>
  </si>
  <si>
    <t>Saint-Pierre-de-la-Rivière-du-Sud</t>
  </si>
  <si>
    <t>Saint-Placide</t>
  </si>
  <si>
    <t>Saint-Polycarpe</t>
  </si>
  <si>
    <t>Saint-Prime</t>
  </si>
  <si>
    <t>Saint-Prosper</t>
  </si>
  <si>
    <t>Saint-Prosper-de-Champlain</t>
  </si>
  <si>
    <t>Saint-Raphaël</t>
  </si>
  <si>
    <t>Saint-Raymond</t>
  </si>
  <si>
    <t>Saint-Rémi</t>
  </si>
  <si>
    <t>Saint-Rémi-de-Tingwick</t>
  </si>
  <si>
    <t>Saint-René</t>
  </si>
  <si>
    <t>Saint-René-de-Matane</t>
  </si>
  <si>
    <t>Saint-Robert</t>
  </si>
  <si>
    <t>Saint-Robert-Bellarmin</t>
  </si>
  <si>
    <t>Saint-Roch-de-l'Achigan</t>
  </si>
  <si>
    <t>Saint-Roch-de-Mékinac</t>
  </si>
  <si>
    <t>Saint-Roch-de-Richelieu</t>
  </si>
  <si>
    <t>Saint-Roch-des-Aulnaies</t>
  </si>
  <si>
    <t>Saint-Roch-Ouest</t>
  </si>
  <si>
    <t>Saint-Romain</t>
  </si>
  <si>
    <t>Saint-Rosaire</t>
  </si>
  <si>
    <t>Saint-Samuel</t>
  </si>
  <si>
    <t>Saints-Anges</t>
  </si>
  <si>
    <t>Saint-Sauveur</t>
  </si>
  <si>
    <t>Saint-Sébastien</t>
  </si>
  <si>
    <t>Saint-Sévère</t>
  </si>
  <si>
    <t>Saint-Séverin</t>
  </si>
  <si>
    <t>Saint-Siméon</t>
  </si>
  <si>
    <t>Saint-Simon</t>
  </si>
  <si>
    <t>Saint-Simon-de-Rimouski</t>
  </si>
  <si>
    <t>Saint-Simon-les-Mines</t>
  </si>
  <si>
    <t>Saint-Sixte</t>
  </si>
  <si>
    <t>Saints-Martyrs-Canadiens</t>
  </si>
  <si>
    <t>Saint-Stanislas</t>
  </si>
  <si>
    <t>Saint-Stanislas-de-Kostka</t>
  </si>
  <si>
    <t>Saint-Sulpice</t>
  </si>
  <si>
    <t>Saint-Sylvère</t>
  </si>
  <si>
    <t>Saint-Sylvestre</t>
  </si>
  <si>
    <t>Saint-Télesphore</t>
  </si>
  <si>
    <t>Saint-Tharcisius</t>
  </si>
  <si>
    <t>Saint-Théodore-d'Acton</t>
  </si>
  <si>
    <t>Saint-Théophile</t>
  </si>
  <si>
    <t>Saint-Thomas</t>
  </si>
  <si>
    <t>Saint-Thomas-Didyme</t>
  </si>
  <si>
    <t>Saint-Thuribe</t>
  </si>
  <si>
    <t>Saint-Tite</t>
  </si>
  <si>
    <t>Saint-Tite-des-Caps</t>
  </si>
  <si>
    <t>Saint-Ubalde</t>
  </si>
  <si>
    <t>Saint-Ulric</t>
  </si>
  <si>
    <t>Saint-Urbain</t>
  </si>
  <si>
    <t>Saint-Urbain-Premier</t>
  </si>
  <si>
    <t>Saint-Valentin</t>
  </si>
  <si>
    <t>Saint-Valère</t>
  </si>
  <si>
    <t>Saint-Valérien</t>
  </si>
  <si>
    <t>Saint-Valérien-de-Milton</t>
  </si>
  <si>
    <t>Saint-Vallier</t>
  </si>
  <si>
    <t>Saint-Venant-de-Paquette</t>
  </si>
  <si>
    <t>Saint-Vianney</t>
  </si>
  <si>
    <t>Saint-Victor</t>
  </si>
  <si>
    <t>Saint-Wenceslas</t>
  </si>
  <si>
    <t>Saint-Zacharie</t>
  </si>
  <si>
    <t>Saint-Zénon</t>
  </si>
  <si>
    <t>Saint-Zénon-du-Lac-Humqui</t>
  </si>
  <si>
    <t>Saint-Zéphirin-de-Courval</t>
  </si>
  <si>
    <t>Saint-Zotique</t>
  </si>
  <si>
    <t>Salaberry-de-Valleyfield</t>
  </si>
  <si>
    <t>Salluit</t>
  </si>
  <si>
    <t>Sayabec</t>
  </si>
  <si>
    <t>Schefferville</t>
  </si>
  <si>
    <t>Scotstown</t>
  </si>
  <si>
    <t>Scott</t>
  </si>
  <si>
    <t>Senneterre</t>
  </si>
  <si>
    <t>Senneville</t>
  </si>
  <si>
    <t>Sept-Îles</t>
  </si>
  <si>
    <t>Shannon</t>
  </si>
  <si>
    <t>Shawinigan</t>
  </si>
  <si>
    <t>Shawville</t>
  </si>
  <si>
    <t>Sheenboro</t>
  </si>
  <si>
    <t>Shefford</t>
  </si>
  <si>
    <t>Sherbrooke</t>
  </si>
  <si>
    <t>Shigawake</t>
  </si>
  <si>
    <t>Sorel-Tracy</t>
  </si>
  <si>
    <t>Stanbridge East</t>
  </si>
  <si>
    <t>Stanbridge Station</t>
  </si>
  <si>
    <t>Stanstead</t>
  </si>
  <si>
    <t>Stanstead-Est</t>
  </si>
  <si>
    <t>Sainte-Catherine-de-la-Jacques-Cartier</t>
  </si>
  <si>
    <t>Stoke</t>
  </si>
  <si>
    <t>Stoneham-et-Tewkesbury</t>
  </si>
  <si>
    <t>Stornoway</t>
  </si>
  <si>
    <t>Stratford</t>
  </si>
  <si>
    <t>Stukely-Sud</t>
  </si>
  <si>
    <t>Sutton</t>
  </si>
  <si>
    <t>Tadoussac</t>
  </si>
  <si>
    <t>Taschereau</t>
  </si>
  <si>
    <t>Tasiujaq</t>
  </si>
  <si>
    <t>Témiscaming</t>
  </si>
  <si>
    <t>Témiscouata-sur-le-Lac</t>
  </si>
  <si>
    <t>Terrasse-Vaudreuil</t>
  </si>
  <si>
    <t>Terrebonne</t>
  </si>
  <si>
    <t>Thetford Mines</t>
  </si>
  <si>
    <t>Thorne</t>
  </si>
  <si>
    <t>Thurso</t>
  </si>
  <si>
    <t>Tingwick</t>
  </si>
  <si>
    <t>Tourville</t>
  </si>
  <si>
    <t>Trécesson</t>
  </si>
  <si>
    <t>Très-Saint-Rédempteur</t>
  </si>
  <si>
    <t>Très-Saint-Sacrement</t>
  </si>
  <si>
    <t>Tring-Jonction</t>
  </si>
  <si>
    <t>Trois-Pistoles</t>
  </si>
  <si>
    <t>Trois-Rives</t>
  </si>
  <si>
    <t>Trois-Rivières</t>
  </si>
  <si>
    <t>Ulverton</t>
  </si>
  <si>
    <t>Umiujaq</t>
  </si>
  <si>
    <t>Upton</t>
  </si>
  <si>
    <t>Val-Alain</t>
  </si>
  <si>
    <t>Val-Brillant</t>
  </si>
  <si>
    <t>Valcourt</t>
  </si>
  <si>
    <t>Val-David</t>
  </si>
  <si>
    <t>Val-des-Bois</t>
  </si>
  <si>
    <t>Val-des-Lacs</t>
  </si>
  <si>
    <t>Val-des-Monts</t>
  </si>
  <si>
    <t>Val-des-Sources</t>
  </si>
  <si>
    <t>Val-d'Or</t>
  </si>
  <si>
    <t>Val-Joli</t>
  </si>
  <si>
    <t>Vallée-Jonction</t>
  </si>
  <si>
    <t>Val-Morin</t>
  </si>
  <si>
    <t>Val-Racine</t>
  </si>
  <si>
    <t>Val-Saint-Gilles</t>
  </si>
  <si>
    <t>Varennes</t>
  </si>
  <si>
    <t>Vaudreuil-Dorion</t>
  </si>
  <si>
    <t>Vaudreuil-sur-le-Lac</t>
  </si>
  <si>
    <t>Venise-en-Québec</t>
  </si>
  <si>
    <t>Verchères</t>
  </si>
  <si>
    <t>Victoriaville</t>
  </si>
  <si>
    <t>Ville-Marie</t>
  </si>
  <si>
    <t>Villeroy</t>
  </si>
  <si>
    <t>Waltham</t>
  </si>
  <si>
    <t>Warden</t>
  </si>
  <si>
    <t>Warwick</t>
  </si>
  <si>
    <t>Waskaganish</t>
  </si>
  <si>
    <t>Waswanipi</t>
  </si>
  <si>
    <t>Waterloo</t>
  </si>
  <si>
    <t>Waterville</t>
  </si>
  <si>
    <t>Weedon</t>
  </si>
  <si>
    <t>Wemindji</t>
  </si>
  <si>
    <t>Wentworth</t>
  </si>
  <si>
    <t>Wentworth-Nord</t>
  </si>
  <si>
    <t>Westbury</t>
  </si>
  <si>
    <t>Westmount</t>
  </si>
  <si>
    <t>Whapmagoostui</t>
  </si>
  <si>
    <t>Wickham</t>
  </si>
  <si>
    <t>Windsor</t>
  </si>
  <si>
    <t>Wotton</t>
  </si>
  <si>
    <t>Yamachiche</t>
  </si>
  <si>
    <t>Yamaska</t>
  </si>
  <si>
    <t xml:space="preserve"> FORMULAIRE PGA Eau potable</t>
  </si>
  <si>
    <t xml:space="preserve"> FORMULAIRE PGA Eaux usées</t>
  </si>
  <si>
    <t xml:space="preserve"> FORMULAIRE PGA Eaux pluviales</t>
  </si>
  <si>
    <t xml:space="preserve"> SOMMAIRE PGA Eau potable</t>
  </si>
  <si>
    <t xml:space="preserve"> SOMMAIRE PGA Eaux usées</t>
  </si>
  <si>
    <t xml:space="preserve"> SOMMAIRE PGA Eaux pluviales</t>
  </si>
  <si>
    <t xml:space="preserve"> INTRODUCTION</t>
  </si>
  <si>
    <t>Liste municipalités</t>
  </si>
  <si>
    <t xml:space="preserve">      le renouvellement (maintien et rattrapage) et les acquisitions/dispositions (ajouts et amélioration/bonification de service).</t>
  </si>
  <si>
    <r>
      <t xml:space="preserve"> Cote de 
 confiance </t>
    </r>
    <r>
      <rPr>
        <sz val="10"/>
        <color theme="1"/>
        <rFont val="Webdings"/>
        <family val="1"/>
        <charset val="2"/>
      </rPr>
      <t>6</t>
    </r>
  </si>
  <si>
    <t xml:space="preserve">***  Il est préférable d'évaluer son niveau réel au meilleur de sa connaissance; il n'y a pas d'attentes quant au niveau minimal à atteindre au départ </t>
  </si>
  <si>
    <t>&gt;&gt; Vous pouvez à présent consulter le sommaire complet de votre PGA pour l'eau potable.</t>
  </si>
  <si>
    <t>***  L'onglet "Liste municipalités" peut être consulté pour obtenir le code géographique de votre municipalité.</t>
  </si>
  <si>
    <t xml:space="preserve">Cases complémentaires </t>
  </si>
  <si>
    <t>u</t>
  </si>
  <si>
    <t>w</t>
  </si>
  <si>
    <r>
      <t xml:space="preserve">Lignes avec cases prioritaires à remplir </t>
    </r>
    <r>
      <rPr>
        <i/>
        <sz val="10"/>
        <rFont val="Calibri"/>
        <family val="2"/>
        <scheme val="minor"/>
      </rPr>
      <t>(Ces symboles s'effaceront au fur et à mesure que vous remplissez le chiffrier)</t>
    </r>
  </si>
  <si>
    <r>
      <t xml:space="preserve">Lignes avec cases souhaitables à remplir </t>
    </r>
    <r>
      <rPr>
        <i/>
        <sz val="10"/>
        <rFont val="Calibri"/>
        <family val="2"/>
        <scheme val="minor"/>
      </rPr>
      <t>(Ces symboles s'effaceront au fur et à mesure que vous remplissez le chiffrier)</t>
    </r>
  </si>
  <si>
    <t xml:space="preserve">Ces cases doivent absolument être remplies pour obtenir un portrait des actifs et une planification sommaire sur 10 ans. </t>
  </si>
  <si>
    <t xml:space="preserve"> Partie 8 - Sommaire</t>
  </si>
  <si>
    <r>
      <t xml:space="preserve">Déficit de maintien </t>
    </r>
    <r>
      <rPr>
        <sz val="8"/>
        <color theme="1"/>
        <rFont val="Calibri"/>
        <family val="2"/>
        <scheme val="minor"/>
      </rPr>
      <t>(rattrapage)</t>
    </r>
  </si>
  <si>
    <t>g</t>
  </si>
  <si>
    <r>
      <t xml:space="preserve">Tendance actuelle </t>
    </r>
    <r>
      <rPr>
        <b/>
        <sz val="10"/>
        <color theme="1"/>
        <rFont val="Webdings"/>
        <family val="1"/>
        <charset val="2"/>
      </rPr>
      <t>6</t>
    </r>
  </si>
  <si>
    <t>Indicateur de performance 
(vos 3 prioritaires d'abord)</t>
  </si>
  <si>
    <r>
      <t xml:space="preserve">Objectif général pour 
cet indicateur </t>
    </r>
    <r>
      <rPr>
        <b/>
        <sz val="10"/>
        <color theme="1"/>
        <rFont val="Webdings"/>
        <family val="1"/>
        <charset val="2"/>
      </rPr>
      <t xml:space="preserve"> 6</t>
    </r>
  </si>
  <si>
    <r>
      <t xml:space="preserve"> Critère de niveau 
 de service </t>
    </r>
    <r>
      <rPr>
        <b/>
        <sz val="10"/>
        <color theme="1"/>
        <rFont val="Webdings"/>
        <family val="1"/>
        <charset val="2"/>
      </rPr>
      <t>6</t>
    </r>
  </si>
  <si>
    <r>
      <t xml:space="preserve"> Catégorie niveau 
 de service </t>
    </r>
    <r>
      <rPr>
        <b/>
        <sz val="10"/>
        <color theme="1"/>
        <rFont val="Webdings"/>
        <family val="1"/>
        <charset val="2"/>
      </rPr>
      <t>6</t>
    </r>
  </si>
  <si>
    <t>Augmenter la performance</t>
  </si>
  <si>
    <t>Maintenir la performance</t>
  </si>
  <si>
    <t>Diminuer la performance</t>
  </si>
  <si>
    <t>TENDANCE ACTUELLE</t>
  </si>
  <si>
    <t>CRITÈRE N.S.</t>
  </si>
  <si>
    <t>CATÉGORIE N.S.</t>
  </si>
  <si>
    <t>OBJECTIF DE PERFORMANCE</t>
  </si>
  <si>
    <t xml:space="preserve"> Partie 7 - Amélioration et suivi (suite)</t>
  </si>
  <si>
    <t>premier</t>
  </si>
  <si>
    <t>deuxième</t>
  </si>
  <si>
    <t>troisième</t>
  </si>
  <si>
    <t>quatrième</t>
  </si>
  <si>
    <t>cinquième</t>
  </si>
  <si>
    <t>Type d'exigence / Provenance</t>
  </si>
  <si>
    <t>Actifs concernés</t>
  </si>
  <si>
    <r>
      <t xml:space="preserve">Sous-service concerné </t>
    </r>
    <r>
      <rPr>
        <b/>
        <sz val="10"/>
        <color theme="1"/>
        <rFont val="Webdings"/>
        <family val="1"/>
        <charset val="2"/>
      </rPr>
      <t>6</t>
    </r>
  </si>
  <si>
    <t>Exigences / Mise aux normes</t>
  </si>
  <si>
    <t>SOUS-SERVICE</t>
  </si>
  <si>
    <t>Approvisionnement/Traitement</t>
  </si>
  <si>
    <t xml:space="preserve">Cases prioritaires </t>
  </si>
  <si>
    <t xml:space="preserve">Cases souhaitables </t>
  </si>
  <si>
    <t>v</t>
  </si>
  <si>
    <t>BUDGET DE FONCTIONNEMENT</t>
  </si>
  <si>
    <t>BUDGET D'IMMOBILISATIONS</t>
  </si>
  <si>
    <t>Provenance des données (la source et son année)</t>
  </si>
  <si>
    <t>Oui</t>
  </si>
  <si>
    <t>Non</t>
  </si>
  <si>
    <r>
      <t xml:space="preserve">Avez-vous des actifs dont la propriété est partagée? </t>
    </r>
    <r>
      <rPr>
        <sz val="10"/>
        <color theme="1"/>
        <rFont val="Webdings"/>
        <family val="1"/>
        <charset val="2"/>
      </rPr>
      <t>6</t>
    </r>
  </si>
  <si>
    <t>Description des actifs</t>
  </si>
  <si>
    <t>Sous-service associé</t>
  </si>
  <si>
    <t>Explication (si requis)</t>
  </si>
  <si>
    <r>
      <t xml:space="preserve">Mode de partage </t>
    </r>
    <r>
      <rPr>
        <sz val="10"/>
        <color theme="1"/>
        <rFont val="Webdings"/>
        <family val="1"/>
        <charset val="2"/>
      </rPr>
      <t>6</t>
    </r>
  </si>
  <si>
    <t>Approvisionnement / Traitement</t>
  </si>
  <si>
    <t>Multiple</t>
  </si>
  <si>
    <t>Agglomération</t>
  </si>
  <si>
    <t>Partie 2</t>
  </si>
  <si>
    <t>Partie 3</t>
  </si>
  <si>
    <t>Partie 6</t>
  </si>
  <si>
    <t>Identification</t>
  </si>
  <si>
    <t>Niveau de confiance dans les données</t>
  </si>
  <si>
    <t>Partie 1</t>
  </si>
  <si>
    <t>Partie 8</t>
  </si>
  <si>
    <t>Voir le sommaire du portrait des actifs</t>
  </si>
  <si>
    <t>Voir le sommaire niveaux de service</t>
  </si>
  <si>
    <t>Partie 4A</t>
  </si>
  <si>
    <t>Partie 4B</t>
  </si>
  <si>
    <t>Partie 5A</t>
  </si>
  <si>
    <t>Planification sur le cycle de vie - Budget actuel</t>
  </si>
  <si>
    <t>Planification sur le cycle de vie - Coûts prévisionnels</t>
  </si>
  <si>
    <t>Amélioration et suivi - Niveau de confiance dans les données</t>
  </si>
  <si>
    <t>Sommaire et commentaire général</t>
  </si>
  <si>
    <t>Amélioration et suivi - Niveau de progression PGA</t>
  </si>
  <si>
    <t>Partie 7A</t>
  </si>
  <si>
    <t>Coûts prévisionnels totaux (besoins totaux)</t>
  </si>
  <si>
    <t>Autres actifs</t>
  </si>
  <si>
    <t>COMPRÉHENSION DES OBJECTIFS ET DES LIMITES</t>
  </si>
  <si>
    <t>LÉGENDE</t>
  </si>
  <si>
    <r>
      <t xml:space="preserve">Le présent chiffrier permet de saisir les informations clés pour chaque service de l'eau (eau potable, eaux usées et eaux pluviales) 
de façon indépendante, afin d'obtenir un </t>
    </r>
    <r>
      <rPr>
        <u/>
        <sz val="12"/>
        <color theme="1"/>
        <rFont val="Calibri"/>
        <family val="2"/>
        <scheme val="minor"/>
      </rPr>
      <t>sommaire PGA par service</t>
    </r>
    <r>
      <rPr>
        <sz val="12"/>
        <color theme="1"/>
        <rFont val="Calibri"/>
        <family val="2"/>
        <scheme val="minor"/>
      </rPr>
      <t xml:space="preserve">,  ainsi qu'un </t>
    </r>
    <r>
      <rPr>
        <u/>
        <sz val="12"/>
        <color theme="1"/>
        <rFont val="Calibri"/>
        <family val="2"/>
        <scheme val="minor"/>
      </rPr>
      <t>sommaire général</t>
    </r>
    <r>
      <rPr>
        <sz val="12"/>
        <color theme="1"/>
        <rFont val="Calibri"/>
        <family val="2"/>
        <scheme val="minor"/>
      </rPr>
      <t xml:space="preserve"> pour les 3 services de l'eau.</t>
    </r>
  </si>
  <si>
    <t>Le présent schéma résume le fonctionnement du chiffrier:</t>
  </si>
  <si>
    <r>
      <t xml:space="preserve">&gt;&gt;  </t>
    </r>
    <r>
      <rPr>
        <u/>
        <sz val="11"/>
        <color theme="1"/>
        <rFont val="Calibri"/>
        <family val="2"/>
        <scheme val="minor"/>
      </rPr>
      <t>Afin d'obtenir des visuels pertinents et utiles dans les onglets sommaires</t>
    </r>
    <r>
      <rPr>
        <sz val="11"/>
        <color theme="1"/>
        <rFont val="Calibri"/>
        <family val="2"/>
        <scheme val="minor"/>
      </rPr>
      <t>, certaines cases sont prioritaires, d'autres sont souhaitables, et finalement certaines sont optionnelles.</t>
    </r>
  </si>
  <si>
    <t>&gt;&gt;  Voici les différents statuts que vous retrouverez à chaque partie du formulaire à remplir:</t>
  </si>
  <si>
    <t>Niveau de progression PGA</t>
  </si>
  <si>
    <t>Voir le sommaire de la demande à venir</t>
  </si>
  <si>
    <t>Objectif de performance</t>
  </si>
  <si>
    <t>EXIGENCES ET MISES AUX NORMES À SURVEILLER</t>
  </si>
  <si>
    <t>INDICATEURS DE PERFORMANCE TECHNIQUE ET CITOYEN IDENTIFIÉS</t>
  </si>
  <si>
    <t>PRIORITÉS DE PERFORMANCE</t>
  </si>
  <si>
    <t>Exigence / Mise aux normes</t>
  </si>
  <si>
    <t>Catégorie citoyen</t>
  </si>
  <si>
    <t>Aucune réflexion n'a été amorcée à ce sujet pour le moment.</t>
  </si>
  <si>
    <t>Critère</t>
  </si>
  <si>
    <t>Catégorie</t>
  </si>
  <si>
    <t>Tendance</t>
  </si>
  <si>
    <t>Objectif</t>
  </si>
  <si>
    <t>Approvisionnement&amp;Traitement / Linéaire</t>
  </si>
  <si>
    <t>Approvisionnement&amp;Traitement / Ponctuel</t>
  </si>
  <si>
    <t>Approvisionnement&amp;Traitement / Autres actifs</t>
  </si>
  <si>
    <t>Voir le sommaire pour les risques</t>
  </si>
  <si>
    <t>Voir le sommaire du financement</t>
  </si>
  <si>
    <t>Voir le sommaire des prévisions</t>
  </si>
  <si>
    <t>Voir le sommaire du niveau de confiance</t>
  </si>
  <si>
    <t>Voir le sommaire du niveau de progression</t>
  </si>
  <si>
    <t xml:space="preserve">FORMULAIRE PGA Eau potable </t>
  </si>
  <si>
    <r>
      <t>Complété</t>
    </r>
    <r>
      <rPr>
        <sz val="9"/>
        <color rgb="FF006100"/>
        <rFont val="Wingdings 3"/>
        <family val="1"/>
        <charset val="2"/>
      </rPr>
      <t xml:space="preserve">   </t>
    </r>
  </si>
  <si>
    <t>n</t>
  </si>
  <si>
    <t>Fonctionnement</t>
  </si>
  <si>
    <t>Gestion de la demande à venir</t>
  </si>
  <si>
    <t>Gestion des risques</t>
  </si>
  <si>
    <t>Tendance et performance (en lien avec les niveaux de services)</t>
  </si>
  <si>
    <t>Niveaux de risques</t>
  </si>
  <si>
    <t>Changements anticipés</t>
  </si>
  <si>
    <t>Coûts prévus pour l'exploitation et pour l'entretien</t>
  </si>
  <si>
    <t xml:space="preserve">Total </t>
  </si>
  <si>
    <t>NOTES ET COMMENTAIRES (si besoin)</t>
  </si>
  <si>
    <t>TOTAL - DISTRIBUTION</t>
  </si>
  <si>
    <t>TOTAL - APPROV. ET TRAITEMENT</t>
  </si>
  <si>
    <t xml:space="preserve">Coûts prévisionnels (besoins) par année de planification </t>
  </si>
  <si>
    <t>Coûts prévisionnels (besoins) par année de planification</t>
  </si>
  <si>
    <t>Des changements sont à prévoir continuellement sur 10 ans.</t>
  </si>
  <si>
    <t>COPYRIGHT ET CONDITIONS D'UTILISATION</t>
  </si>
  <si>
    <t xml:space="preserve">&gt;&gt; Inscrivez votre stratégie financière sur les 10 prochaines années, en $ actuels, par sous-service (approvisionnement/traitement et distribution), pour le fonctionnement (exploitation et entretien), </t>
  </si>
  <si>
    <t>Revenus générés par la municipalité</t>
  </si>
  <si>
    <t>Budget total planifié par la municipalité</t>
  </si>
  <si>
    <t xml:space="preserve">      Si désiré, chiffrez de façon plus précise votre performance actuelle et votre performance souhaité, et expliquez les tendances et objectifs au besoin. </t>
  </si>
  <si>
    <t>Niveaux de service de catégorie "Exigences et mise aux normes"</t>
  </si>
  <si>
    <t>Niveaux de service de catégorie "Technique" et "Citoyen"</t>
  </si>
  <si>
    <t>&gt;&gt; Indiquez les exigences ou les mises aux normes que doit rencontrer votre municipalité relativement à son service d'eau potable et qui auront un impact sur la planification des coûts dans les prochaines années.</t>
  </si>
  <si>
    <t>***  Si vous n'êtes pas en mesure de départager facilement votre budget global entre les 5 phases du cycle de vie ou entre les 2 sous-services de façon précise,</t>
  </si>
  <si>
    <r>
      <rPr>
        <b/>
        <sz val="14"/>
        <rFont val="Bahnschrift Light SemiCondensed"/>
        <family val="2"/>
      </rPr>
      <t>Notes et commentaires</t>
    </r>
    <r>
      <rPr>
        <b/>
        <sz val="11"/>
        <rFont val="Bahnschrift Light SemiCondensed"/>
        <family val="2"/>
      </rPr>
      <t xml:space="preserve">
</t>
    </r>
    <r>
      <rPr>
        <sz val="11"/>
        <rFont val="Bahnschrift Light SemiCondensed"/>
        <family val="2"/>
      </rPr>
      <t>(si besoin; pour historique et suivi 
au sein de la municipalité)</t>
    </r>
  </si>
  <si>
    <t xml:space="preserve">***  Si vous n'êtes pas en mesure de départager facilement vos prévisions entre les 5 phases du cycle de vie ou entre les 2 sous-services de façon précise, </t>
  </si>
  <si>
    <r>
      <rPr>
        <b/>
        <u/>
        <sz val="11"/>
        <color theme="1"/>
        <rFont val="Calibri"/>
        <family val="2"/>
        <scheme val="minor"/>
      </rPr>
      <t>IMPORTANT</t>
    </r>
    <r>
      <rPr>
        <b/>
        <sz val="11"/>
        <color theme="1"/>
        <rFont val="Calibri"/>
        <family val="2"/>
        <scheme val="minor"/>
      </rPr>
      <t>:       Les coûts prévisionnels à saisir prioritairement sont</t>
    </r>
    <r>
      <rPr>
        <b/>
        <sz val="11"/>
        <color theme="1"/>
        <rFont val="Calibri"/>
        <family val="2"/>
        <scheme val="minor"/>
      </rPr>
      <t xml:space="preserve">: </t>
    </r>
  </si>
  <si>
    <r>
      <t xml:space="preserve">Les coûts additionnels  - ou déductions de coûts </t>
    </r>
    <r>
      <rPr>
        <i/>
        <sz val="10"/>
        <color theme="1"/>
        <rFont val="Calibri"/>
        <family val="2"/>
        <scheme val="minor"/>
      </rPr>
      <t>(dans ce cas mettre des montants négatifs)</t>
    </r>
    <r>
      <rPr>
        <i/>
        <sz val="11"/>
        <color theme="1"/>
        <rFont val="Calibri"/>
        <family val="2"/>
        <scheme val="minor"/>
      </rPr>
      <t xml:space="preserve"> -  </t>
    </r>
    <r>
      <rPr>
        <sz val="11"/>
        <color theme="1"/>
        <rFont val="Calibri"/>
        <family val="2"/>
        <scheme val="minor"/>
      </rPr>
      <t xml:space="preserve">pour l'atteinte des niveaux de service souhaités </t>
    </r>
  </si>
  <si>
    <t xml:space="preserve">Notez qu'il est possible que vous souhaitiez revoir vos niveaux de service à la baisse pour réduire les coûts. </t>
  </si>
  <si>
    <r>
      <t xml:space="preserve">&gt;&gt; Inscrivez vos coûts prévisionnels estimés pour les 10 prochaines années, </t>
    </r>
    <r>
      <rPr>
        <b/>
        <sz val="11"/>
        <color theme="1"/>
        <rFont val="Calibri"/>
        <family val="2"/>
        <scheme val="minor"/>
      </rPr>
      <t>en $ actuels</t>
    </r>
  </si>
  <si>
    <t>(Cumulatif /20)</t>
  </si>
  <si>
    <t>AMÉLIORATION ET SUIVI</t>
  </si>
  <si>
    <t xml:space="preserve"> Analyse de la confiance, la progression et objectifs d'amélioration</t>
  </si>
  <si>
    <t>NIVEAU DE CONFIANCE</t>
  </si>
  <si>
    <t>NIVEAU DE PROGRESSION</t>
  </si>
  <si>
    <t>(inclut les postes de pompage et de régulation de pression, réservoirs, chambres majeures de service)</t>
  </si>
  <si>
    <t>Notre municipalité ne possède aucun actif en approvisionnement et traitement de l'eau potable.</t>
  </si>
  <si>
    <t>Notre municipalité ne possède que des actifs ponctuels liés à ce sous-service.</t>
  </si>
  <si>
    <t>Notre municipalité possède des actifs linéaires et ponctuels liés à ce sous-service.</t>
  </si>
  <si>
    <t>Autre (voir section commentaires pour plus d'explications)</t>
  </si>
  <si>
    <r>
      <t>Indiquez quels types d'actifs possède votre municipalité pour l'approvisionnement et le traitement de l'eau potable:</t>
    </r>
    <r>
      <rPr>
        <sz val="10"/>
        <color theme="1"/>
        <rFont val="Webdings"/>
        <family val="1"/>
        <charset val="2"/>
      </rPr>
      <t xml:space="preserve"> 6</t>
    </r>
  </si>
  <si>
    <t>Notre municipalité ne possède que des actifs linéaires liés à ce sous-service.</t>
  </si>
  <si>
    <t>Ne s'applique pas</t>
  </si>
  <si>
    <t>Notre municipalité ne possède aucun actif en distribution d'eau potable.</t>
  </si>
  <si>
    <t>&gt;&gt; Répondez aux questions suivantes en lien avec la gestion de la demande à venir dans votre municipalité.</t>
  </si>
  <si>
    <t xml:space="preserve">&gt;&gt; Vous pouvez à présent consulter les éléments visuels du sommaire pour cette partie. </t>
  </si>
  <si>
    <t>&gt; liés aux ACQUISITIONS futures</t>
  </si>
  <si>
    <t>&gt; liés à la gestion des niveaux de service</t>
  </si>
  <si>
    <t>&gt; liés à la gestion de la demande à venir</t>
  </si>
  <si>
    <t>&gt; liés à la gestion des risques</t>
  </si>
  <si>
    <t>Coûts pour maintenir le service actuel</t>
  </si>
  <si>
    <t xml:space="preserve">Les coûts additionnels totaux, c'est-à-dire l'ensemble des coûts supplémentaires anticipés pour gérer ce qui s'en vient dans la municipalité au cours des prochaines années. </t>
  </si>
  <si>
    <t>À titre d'exemple, l'ajout de nouveaux actifs engendrera nécessairement des coûts annuels d'exploitation et d'entretien additionnels.</t>
  </si>
  <si>
    <t xml:space="preserve">Également, en fonction de la réflexion entamée aux Parties 3 et 4 concernant la gestion des niveaux de service, la gestion de la demande à venir et la gestion des risques, </t>
  </si>
  <si>
    <t>vous pourriez ajouter des coûts prévisionnels additionnels liés spécifiquement à ces catégories, soit:</t>
  </si>
  <si>
    <t>***  Pour le déficit de maintien, vous pouvez soit indiquer un montant global à la première année ou répartir le coût total sur les 10 prochaines années, selon ce que vous préférez illustrer dans le SOMMAIRE PGA.</t>
  </si>
  <si>
    <t>Partie 5B</t>
  </si>
  <si>
    <t>Partie 7B</t>
  </si>
  <si>
    <t>La municipalité maîtrise l'ensemble de la démarche.  Elle est familière et sait travailler avec l’ensemble des notions présentes.​</t>
  </si>
  <si>
    <t>L'objectif est que vous puissiez constater vos points forts et vos points à améliorer, ainsi que de suivre votre amélioration dans le temps</t>
  </si>
  <si>
    <t>Coûts additionnels totaux</t>
  </si>
  <si>
    <t xml:space="preserve"> Partie 3 - Niveaux de service</t>
  </si>
  <si>
    <r>
      <rPr>
        <sz val="11"/>
        <rFont val="Wingdings"/>
        <charset val="2"/>
      </rPr>
      <t>v</t>
    </r>
    <r>
      <rPr>
        <i/>
        <sz val="11"/>
        <rFont val="Calibri"/>
        <family val="2"/>
        <scheme val="minor"/>
      </rPr>
      <t xml:space="preserve">  </t>
    </r>
    <r>
      <rPr>
        <sz val="10"/>
        <rFont val="Bahnschrift Light SemiCondensed"/>
        <family val="2"/>
      </rPr>
      <t>Afin de vous guider dans cette partie, vous pouvez consulter le Guide d'élaboration d'un plan de gestion des actifs municipaux et les fiches techniques PGA-Eau du CERIU (voir détails dans l'onglet AIDE).</t>
    </r>
  </si>
  <si>
    <t>En l'absence d'informations sur le sujet, vous pouvez toujours vous référer à vos plus récentes données du Portrait des infrastructures en eau des municipalités du Québec disponibles sur www.inframunicipal.ca.</t>
  </si>
  <si>
    <t xml:space="preserve">***   Les informations contenues dans cette partie peuvent être obtenues à partir de votre plus récent Plan d'intervention pour le renouvellement des conduites d'eau potable, d'égouts et des chaussées (PI) 
         et de tout récent formulaire relatif à vos infrastructures ponctuelles (Outil besoin en investissement (Outil BI) du MAMH, plan de renouvellement...). </t>
  </si>
  <si>
    <t>Voici quelques liens utiles:</t>
  </si>
  <si>
    <t>NIVEAU DE PROGRESSION DANS LA RÉALISATION DE CETTE PARTIE DU PGA</t>
  </si>
  <si>
    <t>NIVEAU DE PROGRESSION DANS LA DÉMARCHE DE RÉALISATION DU PGA</t>
  </si>
  <si>
    <t>Expliquez les enjeux rencontrés</t>
  </si>
  <si>
    <t xml:space="preserve">&gt;&gt; Décrivez (s'il y a lieu) les actions à mettre
      en place pour rencontrer les exigences 
      et mettre aux normes ? </t>
  </si>
  <si>
    <t xml:space="preserve">&gt;&gt; Décrivez (s'il y a lieu) les actions à mettre
      en place pour atteindre les objectifs de niveaux
      de service et la performance souhaitée ? </t>
  </si>
  <si>
    <t>&gt;&gt;  De façon globale, quelles actions sont à mettre
en place pour gérer les différents risques identifiés ?</t>
  </si>
  <si>
    <t>&gt;&gt; De façon globale, quelles actions sont à mettre 
en place pour gérer ces changements à venir ?</t>
  </si>
  <si>
    <t xml:space="preserve">&gt;&gt;  À la partie 5 - Planification des coûts sur le cycle de vie, plus bas, il vous est possible de saisir des coûts prévisionnels qui sont spécifiques à la gestion de la demande à venir. </t>
  </si>
  <si>
    <r>
      <t xml:space="preserve">&gt;&gt; Est-ce que votre municipalité a entamé une réflexion concernant les niveaux de service qu'elle offre actuellement en eau potable et ceux qu'elle souhaite offrir dans le futur? </t>
    </r>
    <r>
      <rPr>
        <i/>
        <sz val="11"/>
        <rFont val="Webdings"/>
        <family val="1"/>
        <charset val="2"/>
      </rPr>
      <t>6</t>
    </r>
  </si>
  <si>
    <r>
      <t xml:space="preserve">&gt;&gt; Est-ce que votre municipalité a entamé une réflexion concernant la
gestion de la demande à venir en lien avec le service d'eau potable ? </t>
    </r>
    <r>
      <rPr>
        <i/>
        <sz val="11"/>
        <rFont val="Webdings"/>
        <family val="1"/>
        <charset val="2"/>
      </rPr>
      <t>6</t>
    </r>
  </si>
  <si>
    <r>
      <t xml:space="preserve">&gt;&gt; Est-ce que votre municipalité a entamé une réflexion concernant 
la gestion des risques en lien avec le service d'eau potable ? </t>
    </r>
    <r>
      <rPr>
        <i/>
        <sz val="11"/>
        <rFont val="Webdings"/>
        <family val="1"/>
        <charset val="2"/>
      </rPr>
      <t>6</t>
    </r>
  </si>
  <si>
    <t>vous pouvez le faire en vous basant sur un % estimé de votre budget global et indiquer votre hypothèse dans une section commentaires.</t>
  </si>
  <si>
    <t xml:space="preserve">                                 Dans le cas du renouvellement, il faut également saisir: </t>
  </si>
  <si>
    <t>***  Les coûts prévisionnels attendus ici ne devraient pas être indexés, mais plutôt en $ actuels. Ils couvrent l'ensemble des activités et frais liés (ex. surveillance, conception, contingences, taxes, etc.).</t>
  </si>
  <si>
    <t>Montants de financement interne et externe tel qu'anticipé actuellement, par année de planification</t>
  </si>
  <si>
    <t xml:space="preserve">***  Les coûts prévisionnels totaux (besoins totaux) présentés dans les tableaux ci-dessous sont directement reportés de la Partie 5 - Planification des coûts sur le cycle de vie. </t>
  </si>
  <si>
    <t>selon les exigences et mises aux normes à rencontrer et les objectifs de performance indiqués à la Partie 3 (s'il y a lieu);</t>
  </si>
  <si>
    <t>Les coûts additionnels liés à la gestion de risques selon les risques identifiés à la partie 4A (s'il y a lieu);</t>
  </si>
  <si>
    <t>Les coûts additionnels liés à la gestion de la demande à venir selon les changements anticipés à la Partie 4B (s'il y a lieu).</t>
  </si>
  <si>
    <t>vous pouvez le faire en vous basant sur un % estimé des prévisions globales et indiquer votre hypothèse dans une section commentaires.</t>
  </si>
  <si>
    <r>
      <t xml:space="preserve">&gt; pour chacune des phases du cycle de vie  </t>
    </r>
    <r>
      <rPr>
        <sz val="10"/>
        <color theme="1"/>
        <rFont val="Calibri"/>
        <family val="2"/>
        <scheme val="minor"/>
      </rPr>
      <t>(exploitation, entretien, renouvellement, acquisition, disposition);</t>
    </r>
  </si>
  <si>
    <r>
      <t xml:space="preserve">&gt; par sous-service  </t>
    </r>
    <r>
      <rPr>
        <sz val="10"/>
        <color theme="1"/>
        <rFont val="Calibri"/>
        <family val="2"/>
        <scheme val="minor"/>
      </rPr>
      <t>(1er tableau: Approvisionnement et traitement; 2e tableau: Distribution).</t>
    </r>
  </si>
  <si>
    <r>
      <t xml:space="preserve">&gt; pour chacune des phases du cycle de vie  </t>
    </r>
    <r>
      <rPr>
        <sz val="10"/>
        <color theme="1"/>
        <rFont val="Calibri"/>
        <family val="2"/>
        <scheme val="minor"/>
      </rPr>
      <t>(Exploitation; Entretien; Renouvellement; Acquisition; Disposition);</t>
    </r>
  </si>
  <si>
    <t>Pour ce faire, vous devez toutefois distinguer les coûts de la mise en place des actions que vous venez de décrire en fonction:     &gt; du sous-service  (Approvisionnement et traitement; Distribution);</t>
  </si>
  <si>
    <t>&gt; de la phase du cycle de vie  (Exploitation; Entretien; Renouvellement; Acquisition; Disposition).</t>
  </si>
  <si>
    <t>*** Notez que la valeur de remplacement de certains accessoires et équipements situés sur le réseau linéaire 
       peut être déjà incluse dans celle indiquée dans votre plan d'intervention.</t>
  </si>
  <si>
    <t>*** Notez que la valeur de remplacement de certains accessoires et équipements situés sur le réseau linéaire
       peut être déjà incluse dans celle indiquée dans votre plan d'intervention.</t>
  </si>
  <si>
    <r>
      <t>&gt;&gt; Inscrivez les informations demandées</t>
    </r>
    <r>
      <rPr>
        <sz val="11"/>
        <rFont val="Calibri"/>
        <family val="2"/>
        <scheme val="minor"/>
      </rPr>
      <t xml:space="preserve"> en lien avec les actifs en eau potable de votre municipalité.</t>
    </r>
  </si>
  <si>
    <t>&gt;&gt; Déterminez ensuite sur quel(s) aspect(s) vous projetez de vous améliorer à court terme (1-4 ans), moyen terme (5-7 ans) et long terme (8-10 ans) en remplissant la colonne "horizon d'amélioration".</t>
  </si>
  <si>
    <t>***  Notez qu'il est préférable d'évaluer son niveau réel au meilleur de sa connaissance; il n'y a pas d'attentes quant au niveau minimal à atteindre au départ.</t>
  </si>
  <si>
    <t>L'objectif est que vous puissiez constater vos points forts et vos points à améliorer, ainsi que votre amélioration dans le temps.</t>
  </si>
  <si>
    <t>DESCRIPTION DES COTES</t>
  </si>
  <si>
    <t>&gt;&gt; Prenez connaissance des différentes cotes du niveau de confiance dans les données proposées ci-dessous:</t>
  </si>
  <si>
    <t>Données considérées fiables sur 40-59% des actifs / Données issues d'éléments documentés majoritairement à jour et d'éléments non documentés  / Données traduisent une partie de la réalité</t>
  </si>
  <si>
    <t>Données considérées fiables sur 60-79% des actifs / Données issues d'éléments majoritairement documentés et à jour / Données considérées comme proche de la réalité</t>
  </si>
  <si>
    <t>Données considérées fiables sur 80-99% des actifs / Données basées exclusivement sur des éléments documentés et à jour / Données considérées comme représentatives de la réalité</t>
  </si>
  <si>
    <t>&gt;&gt; Déterminez votre niveau de confiance en chaque type de donnée requise pour réaliser le PGA de votre municipalité, pour chaque sous-service indépendamment, en remplissant la colonne "cote de confiance".</t>
  </si>
  <si>
    <t>NIVEAUX DE SERVICE</t>
  </si>
  <si>
    <t>&gt;&gt; Déterminez votre niveau de progression pour la réalisation de chaque partie du PGA de votre municipalité, pour chaque sous-service indépendamment, en remplissant la colonne "cote de progression".</t>
  </si>
  <si>
    <t>***  Notez que si certains visuels n'apparaissent pas dans le sommaire, il est probable que ce soit parce que certaines sections ci-haut ne sont pas complètement remplies.</t>
  </si>
  <si>
    <t>RÉSULTATS DANS LE SOMMAIRE PGA EAU POTABLE  ET COMMENTAIRES</t>
  </si>
  <si>
    <t>RÉSULTATS DANS LE SOMMAIRE PGA EAU GÉNÉRAL ET COMMENTAIRES</t>
  </si>
  <si>
    <t>***  Notez que si certains visuels relatifs à l'eau potable n'apparaissent pas dans le sommaire général, il est probable que ce soit parce que certaines sections ci-haut ne sont pas complètement remplies.</t>
  </si>
  <si>
    <t xml:space="preserve">  Si certains visuels ne semblent pas correspondre à votre réalité, vous pouvez revalider les données saisies dans ce formulaire.</t>
  </si>
  <si>
    <t xml:space="preserve">  Rappelons que les formulaires par service doivent tous être remplis pour obtenir l'ensemble des visuels dans ce sommaire général.</t>
  </si>
  <si>
    <t>&gt;&gt; Vous pouvez également consulter le sommaire général PGA EAU dans lequel certaines données synthèses pour l'eau potable saisies dans le présent formulaire apparaissent.</t>
  </si>
  <si>
    <t>IDENTIFICATION</t>
  </si>
  <si>
    <t>AIDE</t>
  </si>
  <si>
    <t>PARTIE 4B DEMANDE À VENIR</t>
  </si>
  <si>
    <t>PARTIE 4A RISQUES</t>
  </si>
  <si>
    <t>PARTIE 7 AMÉLIORATION ET SUIVI</t>
  </si>
  <si>
    <t>FORMULAIRE EAU POTABLE</t>
  </si>
  <si>
    <t>FORMULAIRE EAUX USÉES</t>
  </si>
  <si>
    <t>FORMULAIRES</t>
  </si>
  <si>
    <t>MENUS DÉROULANTS DU PRÉSENT CHIFFRIER</t>
  </si>
  <si>
    <t>Compréhension des objectifs et des limites</t>
  </si>
  <si>
    <t>Statut</t>
  </si>
  <si>
    <t>Copyright et conditions d'utilisation</t>
  </si>
  <si>
    <t>Identification de la municipalité</t>
  </si>
  <si>
    <t>Identification des répondants</t>
  </si>
  <si>
    <t>TABLE DES MATIÈRES ET GRILLE DE SUIVI POUR CET ONGLET</t>
  </si>
  <si>
    <t>Partie A</t>
  </si>
  <si>
    <t>Partie B</t>
  </si>
  <si>
    <t>Partie C</t>
  </si>
  <si>
    <t>Partie D</t>
  </si>
  <si>
    <t>Partie E</t>
  </si>
  <si>
    <t xml:space="preserve"> Partie A</t>
  </si>
  <si>
    <t>Il est attendu que vous remplissiez les formulaires au meilleur de votre connaissance. Vous n'avez pas besoin de données "parfaites" pour remplir votre PGA. L'important est de débuter avec les données disponibles et en estimant 
au besoin les données manquantes.</t>
  </si>
  <si>
    <t>IDENTIFICATION DE LA MUNICIPALITÉ</t>
  </si>
  <si>
    <t>IDENTIFICATION DES RÉPONDANTS</t>
  </si>
  <si>
    <t xml:space="preserve"> Partie E</t>
  </si>
  <si>
    <t xml:space="preserve"> Partie C</t>
  </si>
  <si>
    <t xml:space="preserve"> Partie D</t>
  </si>
  <si>
    <t xml:space="preserve"> Partie B</t>
  </si>
  <si>
    <t>&gt;&gt; Inscrivez le code géographique de votre municipalité et les autres informations requises apparaitront automatiquement.</t>
  </si>
  <si>
    <t>La reproduction de cet outil par quelque procédé que ce soit et sa traduction, même partielles, sont interdites sans l’autorisation du CERIU.</t>
  </si>
  <si>
    <r>
      <t xml:space="preserve">Ce formulaire permet de saisir vos données </t>
    </r>
    <r>
      <rPr>
        <u/>
        <sz val="11"/>
        <color theme="1"/>
        <rFont val="Calibri"/>
        <family val="2"/>
        <scheme val="minor"/>
      </rPr>
      <t>synthèses</t>
    </r>
    <r>
      <rPr>
        <sz val="11"/>
        <color theme="1"/>
        <rFont val="Calibri"/>
        <family val="2"/>
        <scheme val="minor"/>
      </rPr>
      <t xml:space="preserve"> en lien avec la gestion de vos actifs pour produire une </t>
    </r>
    <r>
      <rPr>
        <u/>
        <sz val="11"/>
        <color theme="1"/>
        <rFont val="Calibri"/>
        <family val="2"/>
        <scheme val="minor"/>
      </rPr>
      <t>planification à haut niveau</t>
    </r>
    <r>
      <rPr>
        <sz val="11"/>
        <color theme="1"/>
        <rFont val="Calibri"/>
        <family val="2"/>
        <scheme val="minor"/>
      </rPr>
      <t xml:space="preserve"> des investissements requis sur les 10 prochaines années. </t>
    </r>
  </si>
  <si>
    <r>
      <t xml:space="preserve">Sachez qu'il vous sera demandé d'évaluer votre </t>
    </r>
    <r>
      <rPr>
        <u/>
        <sz val="11"/>
        <color theme="1"/>
        <rFont val="Calibri"/>
        <family val="2"/>
        <scheme val="minor"/>
      </rPr>
      <t>niveau de confiance</t>
    </r>
    <r>
      <rPr>
        <sz val="11"/>
        <color theme="1"/>
        <rFont val="Calibri"/>
        <family val="2"/>
        <scheme val="minor"/>
      </rPr>
      <t xml:space="preserve"> dans les données saisies et votre </t>
    </r>
    <r>
      <rPr>
        <u/>
        <sz val="11"/>
        <color theme="1"/>
        <rFont val="Calibri"/>
        <family val="2"/>
        <scheme val="minor"/>
      </rPr>
      <t>niveau de progression</t>
    </r>
    <r>
      <rPr>
        <sz val="11"/>
        <color theme="1"/>
        <rFont val="Calibri"/>
        <family val="2"/>
        <scheme val="minor"/>
      </rPr>
      <t xml:space="preserve"> dans la démarche à chacune des étapes, 
ce qui vous permettra de mettre en perspective les visuels obtenus dans l'onglet sommaire et de mettre en lumière les aspects sur lesquels il serait pertinent de s'améliorer dans les années à venir.</t>
    </r>
  </si>
  <si>
    <t>Région
administrative</t>
  </si>
  <si>
    <t>FORMULAIRE EAUX PLUVIALES</t>
  </si>
  <si>
    <t xml:space="preserve"> (incluant eaux pluviales)</t>
  </si>
  <si>
    <t xml:space="preserve"> Partie F</t>
  </si>
  <si>
    <t>Répondant 3</t>
  </si>
  <si>
    <t>Répondant 4</t>
  </si>
  <si>
    <t>Répondant 5</t>
  </si>
  <si>
    <t>Tous les services</t>
  </si>
  <si>
    <t>Eaux usées &amp; pluviales</t>
  </si>
  <si>
    <t>&gt;&gt; Inscrivez la date de complétion des différents formulaires, ainsi que les dates de révision et de remise au besoin.</t>
  </si>
  <si>
    <t>Explications / commentaires</t>
  </si>
  <si>
    <t>FORMULAIRE PGA Eau potable</t>
  </si>
  <si>
    <t>FORMULAIRE PGA Eaux usées</t>
  </si>
  <si>
    <t>FORMULAIRE PGA Eaux pluviales</t>
  </si>
  <si>
    <t>Partie F</t>
  </si>
  <si>
    <r>
      <rPr>
        <sz val="11"/>
        <rFont val="Wingdings"/>
        <charset val="2"/>
      </rPr>
      <t>v</t>
    </r>
    <r>
      <rPr>
        <i/>
        <sz val="11"/>
        <rFont val="Calibri"/>
        <family val="2"/>
        <scheme val="minor"/>
      </rPr>
      <t xml:space="preserve">  </t>
    </r>
    <r>
      <rPr>
        <sz val="10"/>
        <rFont val="Bahnschrift Light SemiCondensed"/>
        <family val="2"/>
      </rPr>
      <t>Afin de vous guider dans cette partie, vous pouvez consulter le Guide d'élaboration d'un plan de gestion des actifs municipaux et les fiches techniques PGA-Eau du CERIU.</t>
    </r>
  </si>
  <si>
    <t>&gt;&gt;  Inscrivez vos budgets annuels actuels pour l'eau potable:</t>
  </si>
  <si>
    <r>
      <t xml:space="preserve">  d'une seule activité aditionnelle mais récurrente. Toutefois, </t>
    </r>
    <r>
      <rPr>
        <b/>
        <i/>
        <sz val="11"/>
        <rFont val="Calibri"/>
        <family val="2"/>
        <scheme val="minor"/>
      </rPr>
      <t>inscrivez au moins un montant sur toutes les lignes prioritaires</t>
    </r>
    <r>
      <rPr>
        <i/>
        <sz val="11"/>
        <rFont val="Calibri"/>
        <family val="2"/>
        <scheme val="minor"/>
      </rPr>
      <t xml:space="preserve"> (même si ce montant est de 0$) pour obtenir le statut "Complété".</t>
    </r>
  </si>
  <si>
    <t>Date des révisions s'il y a lieu  (AAAA-MM-JJ)</t>
  </si>
  <si>
    <r>
      <rPr>
        <sz val="10.5"/>
        <color theme="1"/>
        <rFont val="Webdings"/>
        <family val="1"/>
        <charset val="2"/>
      </rPr>
      <t xml:space="preserve">6  </t>
    </r>
    <r>
      <rPr>
        <i/>
        <sz val="10.5"/>
        <color theme="1"/>
        <rFont val="Calibri"/>
        <family val="2"/>
        <scheme val="minor"/>
      </rPr>
      <t>***Correspond à la première année de planification des coûts sur le cycle de vie dans le PGA.</t>
    </r>
  </si>
  <si>
    <r>
      <rPr>
        <sz val="10.5"/>
        <color theme="1"/>
        <rFont val="Webdings"/>
        <family val="1"/>
        <charset val="2"/>
      </rPr>
      <t xml:space="preserve">6  </t>
    </r>
    <r>
      <rPr>
        <sz val="10.5"/>
        <color theme="1"/>
        <rFont val="Calibri"/>
        <family val="2"/>
        <scheme val="minor"/>
      </rPr>
      <t>que notre municipalité remet au MAMH.</t>
    </r>
  </si>
  <si>
    <t xml:space="preserve"> SOMMAIRE
 PGA EAU</t>
  </si>
  <si>
    <t>ONGLETS À REMPLIR</t>
  </si>
  <si>
    <t>ONGLETS À CONSULTER</t>
  </si>
  <si>
    <t>ONGLETS D'AIDE</t>
  </si>
  <si>
    <t xml:space="preserve">ONGLETS DE RÉSULTATS VISUELS AUTOMATIQUES </t>
  </si>
  <si>
    <r>
      <t xml:space="preserve">▪  Les onglets </t>
    </r>
    <r>
      <rPr>
        <b/>
        <u/>
        <sz val="12"/>
        <color theme="1"/>
        <rFont val="Calibri"/>
        <family val="2"/>
        <scheme val="minor"/>
      </rPr>
      <t>FORMULAIRES</t>
    </r>
    <r>
      <rPr>
        <sz val="11"/>
        <color theme="1"/>
        <rFont val="Calibri"/>
        <family val="2"/>
        <scheme val="minor"/>
      </rPr>
      <t xml:space="preserve"> doivent être remplis au meilleur de vos connaissances. Plusieurs informations sont déjà compilées et disponibles pour vos actifs d'eau potable, 
       notamment par le biais du Plan d'intervention, de l'outil BI, du formulaire de la SQEEP / Audit de l'eau, etc.  Ces documents pourront vous être utiles, combinés aux 
       informations disponibles dans votre municipalité du côté de l'ingénierie, des travaux publics, des finances, etc.</t>
    </r>
  </si>
  <si>
    <r>
      <t xml:space="preserve">   Notez que plusieurs des informations demandées pour chacune de ces parties le sont par sous-service. 
       </t>
    </r>
    <r>
      <rPr>
        <sz val="11"/>
        <color theme="1"/>
        <rFont val="Calibri"/>
        <family val="2"/>
      </rPr>
      <t xml:space="preserve">▪  </t>
    </r>
    <r>
      <rPr>
        <sz val="11"/>
        <color theme="1"/>
        <rFont val="Calibri"/>
        <family val="2"/>
        <scheme val="minor"/>
      </rPr>
      <t>Pour l'eau potable, on parle de "Approvisionnement et traitement" et de "Distribution". 
       ▪  Pour les eaux usées et pluviales, on parle de "Collecte" et "Traitement".
       (Pour plus de détails, voir les fiches PGA-Eau du CERIU).</t>
    </r>
  </si>
  <si>
    <r>
      <t xml:space="preserve">&gt;&gt;  Dans chacun des onglets </t>
    </r>
    <r>
      <rPr>
        <b/>
        <u/>
        <sz val="12"/>
        <color theme="1"/>
        <rFont val="Calibri"/>
        <family val="2"/>
        <scheme val="minor"/>
      </rPr>
      <t>FORMULAIRES</t>
    </r>
    <r>
      <rPr>
        <sz val="11"/>
        <color theme="1"/>
        <rFont val="Calibri"/>
        <family val="2"/>
        <scheme val="minor"/>
      </rPr>
      <t xml:space="preserve">, remplissez toutes les informations demandées au meilleur de votre connaissance, 
      pour le </t>
    </r>
    <r>
      <rPr>
        <u/>
        <sz val="11"/>
        <color theme="1"/>
        <rFont val="Calibri"/>
        <family val="2"/>
        <scheme val="minor"/>
      </rPr>
      <t>service correspondant au formulaire uniquement</t>
    </r>
    <r>
      <rPr>
        <sz val="11"/>
        <color theme="1"/>
        <rFont val="Calibri"/>
        <family val="2"/>
        <scheme val="minor"/>
      </rPr>
      <t>, pour chacune des parties suivantes d'un PGA:</t>
    </r>
  </si>
  <si>
    <t xml:space="preserve">*** Une table des matières est disponible au début de l'onglet pour faire un suivi de ce qui est à remplir et de l'avancement quant à la saisie des informations demandées. </t>
  </si>
  <si>
    <t>Partie 1:  Identification</t>
  </si>
  <si>
    <t>Partie 8:  Sommaire</t>
  </si>
  <si>
    <t>Partie A:  Compréhension des objectifs et des limites</t>
  </si>
  <si>
    <t>Partie B:  Copyright et conditions d'utilisation</t>
  </si>
  <si>
    <t>Partie C:  Identification de la municipalité</t>
  </si>
  <si>
    <t>Partie E:  Identification des répondants</t>
  </si>
  <si>
    <r>
      <t xml:space="preserve">&gt;&gt;  Dans l'onglet </t>
    </r>
    <r>
      <rPr>
        <b/>
        <u/>
        <sz val="12"/>
        <color theme="1"/>
        <rFont val="Calibri"/>
        <family val="2"/>
        <scheme val="minor"/>
      </rPr>
      <t>IDENTIFICATION</t>
    </r>
    <r>
      <rPr>
        <sz val="11"/>
        <color theme="1"/>
        <rFont val="Calibri"/>
        <family val="2"/>
        <scheme val="minor"/>
      </rPr>
      <t xml:space="preserve">, remplissez toutes les informations demandées concernant: </t>
    </r>
  </si>
  <si>
    <t xml:space="preserve">&gt;&gt;  Peu importe la façon dont vous remplirez chaque formulaire (estimations sommaires ou précises, niveau de détails plus ou moins important, cases prioritaires seulement ou toutes les cases remplies, etc.), 
      il est nécessaire que vous évaluiez votre niveau de confiance dans les données saisies et votre niveau de progression dans la démarche pour chacune des parties du PGA (voir à la Partie 7), 
      selon les échelles proposées ci-dessous:
</t>
  </si>
  <si>
    <t>Partie 2 - Portrait des actifs</t>
  </si>
  <si>
    <t>Partie 3 - Niveaux de service</t>
  </si>
  <si>
    <t>Partie 5 - Planification des coûts sur le cycle de vie</t>
  </si>
  <si>
    <t>Partie 6 - Résumé financier</t>
  </si>
  <si>
    <t>Partie 7 - Amélioration et suivi</t>
  </si>
  <si>
    <t>Partie 8 - Sommaire</t>
  </si>
  <si>
    <t>Graphiques des onglets sommaire / service</t>
  </si>
  <si>
    <t>Graphiques du sommaire général PGA EAU</t>
  </si>
  <si>
    <t>CHIFFRIER EXCEL POUR L'ÉLABORATION D'UN PLAN DE GESTION DES ACTIFS EN EAU</t>
  </si>
  <si>
    <t>MISE EN CONTEXTE</t>
  </si>
  <si>
    <t xml:space="preserve">PRÉSENTATION DES AUTRES OUTILS DU PGA </t>
  </si>
  <si>
    <t>Type d'outil</t>
  </si>
  <si>
    <t>Description</t>
  </si>
  <si>
    <t>Action à réaliser</t>
  </si>
  <si>
    <t>Plan type Plan de gestion des actifs municipaux en eau</t>
  </si>
  <si>
    <t>C’est un document servant de gabarit pour réaliser un plan de gestion des actifs en eau. L’utilisateur remplit le gabarit en y intégrant les visuels issus du chiffrier Excel et en ajoutant ses commentaires et constats. Ce document vous orientera dans la prise de décisions éclairées car il rassemble les éléments clés de la gestion d’actifs, facilitant ainsi la communication de ceux-ci entre les intervenants.</t>
  </si>
  <si>
    <t>À remplir</t>
  </si>
  <si>
    <t>Actifs en eau</t>
  </si>
  <si>
    <t>Guide d’élaboration d’un plan de gestion d’actifs municipaux</t>
  </si>
  <si>
    <t>Le guide est un document à consulter par l’utilisateur afin de comprendre les principes fondamentaux pour la réalisation d’un plan de gestion d’actifs municipaux (en eau, bâtiments, chaussées, etc.).</t>
  </si>
  <si>
    <t>À consulter</t>
  </si>
  <si>
    <t>Actifs en général</t>
  </si>
  <si>
    <t>Fiches techniques adaptées aux infrastructures en eau</t>
  </si>
  <si>
    <t xml:space="preserve">Actifs en eau </t>
  </si>
  <si>
    <t>Document type Démarche de gestion des actifs municipaux</t>
  </si>
  <si>
    <t>La Démarche est la première étape à réaliser avant l’élaboration du plan de gestion d’actifs en eau. C’est un document servant de gabarit à la municipalité pour réaliser une Démarche de gestion des actifs municipaux (en eau).</t>
  </si>
  <si>
    <r>
      <t xml:space="preserve">Si vous rencontrez des difficultés techniques ou avez des questions et/ou suggestions d’amélioration sur le chiffrier, veuillez communiquer avec l’équipe du CERIU au </t>
    </r>
    <r>
      <rPr>
        <u/>
        <sz val="11"/>
        <rFont val="Calibri"/>
        <family val="2"/>
        <scheme val="minor"/>
      </rPr>
      <t>gamunicipal@ceriu.qc.ca</t>
    </r>
    <r>
      <rPr>
        <sz val="11"/>
        <rFont val="Calibri"/>
        <family val="2"/>
        <scheme val="minor"/>
      </rPr>
      <t xml:space="preserve"> .</t>
    </r>
  </si>
  <si>
    <t>MODE D'EMPLOI</t>
  </si>
  <si>
    <r>
      <t xml:space="preserve">▪  L'onglet </t>
    </r>
    <r>
      <rPr>
        <b/>
        <u/>
        <sz val="12"/>
        <color theme="1"/>
        <rFont val="Calibri"/>
        <family val="2"/>
        <scheme val="minor"/>
      </rPr>
      <t>IDENTIFICATION</t>
    </r>
    <r>
      <rPr>
        <sz val="11"/>
        <color theme="1"/>
        <rFont val="Calibri"/>
        <family val="2"/>
        <scheme val="minor"/>
      </rPr>
      <t xml:space="preserve"> doit être rempli en premier lieu et permet de saisir les informations clés en lien avec le PGA-Eau de votre municipalité.</t>
    </r>
  </si>
  <si>
    <r>
      <rPr>
        <sz val="11"/>
        <color theme="1"/>
        <rFont val="Calibri"/>
        <family val="2"/>
      </rPr>
      <t>▪</t>
    </r>
    <r>
      <rPr>
        <sz val="11"/>
        <color theme="1"/>
        <rFont val="Calibri"/>
        <family val="2"/>
        <scheme val="minor"/>
      </rPr>
      <t xml:space="preserve">  Il est conseillé de lire attentivement les onglets </t>
    </r>
    <r>
      <rPr>
        <b/>
        <u/>
        <sz val="12"/>
        <color theme="1"/>
        <rFont val="Calibri"/>
        <family val="2"/>
        <scheme val="minor"/>
      </rPr>
      <t>INTRODUCTION</t>
    </r>
    <r>
      <rPr>
        <sz val="12"/>
        <color theme="1"/>
        <rFont val="Calibri"/>
        <family val="2"/>
        <scheme val="minor"/>
      </rPr>
      <t xml:space="preserve"> et </t>
    </r>
    <r>
      <rPr>
        <b/>
        <u/>
        <sz val="12"/>
        <color theme="1"/>
        <rFont val="Calibri"/>
        <family val="2"/>
        <scheme val="minor"/>
      </rPr>
      <t>MODE D'EMPLOI</t>
    </r>
    <r>
      <rPr>
        <sz val="11"/>
        <color theme="1"/>
        <rFont val="Calibri"/>
        <family val="2"/>
        <scheme val="minor"/>
      </rPr>
      <t>, qui résument l'ensemble des informations permettant de comprendre rapidement le contexte, 
       les objectifs et le fonctionnement du chiffrier.</t>
    </r>
  </si>
  <si>
    <t>Partie D:  Informations concernant le PGA-Eau</t>
  </si>
  <si>
    <t>Partie F:  Grille de suivi PGA-Eau</t>
  </si>
  <si>
    <t>Informations concernant le PGA-Eau</t>
  </si>
  <si>
    <t>Grille de suivi PGA-Eau</t>
  </si>
  <si>
    <t>INFORMATIONS CONCERNANT LE PGA-EAU</t>
  </si>
  <si>
    <t>GRILLE DE SUIVI PGA-EAU</t>
  </si>
  <si>
    <t>STRUCTURE ET FONCTIONNEMENT DES ONGLETS À REMPLIR</t>
  </si>
  <si>
    <t>Remplir le chiffrier</t>
  </si>
  <si>
    <t>Comprendre le chiffrier</t>
  </si>
  <si>
    <t xml:space="preserve">STRUCTURE ET FONCTIONNEMENT GÉNÉRAL </t>
  </si>
  <si>
    <t>Réaliser le plan de gestion des actifs en eau</t>
  </si>
  <si>
    <t>FONCTIONNEMENT DU PLAN TYPE</t>
  </si>
  <si>
    <t>&gt;&gt; Remplissez le gabarit en y intégrant les visuels issus du chiffrier Excel et en ajoutant vos constats pour chaque partie du PGA et pour chacun des services (eau potable, eaux usées, eaux pluviales).</t>
  </si>
  <si>
    <t xml:space="preserve">
Statut</t>
  </si>
  <si>
    <t>Prendre note que le chiffrier est protégé par un mot de passe afin de garantir un fonctionnement optimal et éviter toute problématique liée à son utilisation.</t>
  </si>
  <si>
    <t>Pour que vous puissiez bénéficier au maximum de l'utilisation de ce chiffrier, il est recommandé de lire attentivement les différentes explications fournies à l'intérieur même du chiffrier et de vous référer à l'onglet "AIDE". 
Plusieurs ressources sont également disponibles pour vous aider à la compréhension des concepts de gestion d'actifs sur le site du CERIU. Si vous rencontrez des difficultés techniques ou avez des questions et/ou suggestions d’amélioration sur le chiffrier, veuillez communiquer avec l’équipe du CERIU au gamunicipal@ceriu.qc.ca .</t>
  </si>
  <si>
    <t>J'atteste avoir lu et compris les conditions d'utilisation, et donc que j'utiliserai le chiffrier dans sa version originale afin
d'obtenir les sommaires PGA par service et le sommaire général PGA-Eau qui sont générés automatiquement.</t>
  </si>
  <si>
    <t>J'ai lu et compris les objectifs et le fonctionnement du présent formulaire ainsi que la portée et les limites des visuels qui apparaitront aux onglets SOMMAIRE PGA,
ceux-ci étant dépendant de la confiance dans les données et du niveau de progression dans la démarche PGA-Eau pour ma municipalité.</t>
  </si>
  <si>
    <r>
      <t xml:space="preserve">Année </t>
    </r>
    <r>
      <rPr>
        <sz val="10.5"/>
        <rFont val="Calibri"/>
        <family val="2"/>
        <scheme val="minor"/>
      </rPr>
      <t>du PGA-Eau</t>
    </r>
  </si>
  <si>
    <r>
      <rPr>
        <sz val="10.5"/>
        <color theme="1"/>
        <rFont val="Calibri"/>
        <family val="2"/>
        <scheme val="minor"/>
      </rPr>
      <t xml:space="preserve"> Ce PGA-Eau correspond au</t>
    </r>
    <r>
      <rPr>
        <sz val="10"/>
        <color theme="1"/>
        <rFont val="Calibri"/>
        <family val="2"/>
        <scheme val="minor"/>
      </rPr>
      <t/>
    </r>
  </si>
  <si>
    <t>Commentaires généraux 
concernant le PGA-Eau</t>
  </si>
  <si>
    <t>&gt;&gt; Inscrivez l'année du PGA-Eau ou première année de planification:</t>
  </si>
  <si>
    <t>Répondant principal 
PGA-Eau</t>
  </si>
  <si>
    <r>
      <rPr>
        <sz val="10.5"/>
        <color theme="1"/>
        <rFont val="Calibri"/>
        <family val="2"/>
        <scheme val="minor"/>
      </rPr>
      <t>Responsabilité</t>
    </r>
    <r>
      <rPr>
        <sz val="11"/>
        <color theme="1"/>
        <rFont val="Calibri"/>
        <family val="2"/>
        <scheme val="minor"/>
      </rPr>
      <t xml:space="preserve"> </t>
    </r>
    <r>
      <rPr>
        <sz val="10"/>
        <color theme="1"/>
        <rFont val="Calibri"/>
        <family val="2"/>
        <scheme val="minor"/>
      </rPr>
      <t>(formulaires /service)</t>
    </r>
  </si>
  <si>
    <t>&gt;&gt; Inscrivez les coordonnées du répondant principal en lien avec la réalisation du PGA-Eau de votre municipalité, ainsi que les coordonnées de toute autre personne responsable de remplir les différents formulaires par service.</t>
  </si>
  <si>
    <t xml:space="preserve">&gt;&gt; Les informations ci-dessous correspondent à ce qui a été saisi à l'onglet IDENTIFICATION. </t>
  </si>
  <si>
    <t>Code géographique 
de la municipalité</t>
  </si>
  <si>
    <t>Code géographique
de la municipalité</t>
  </si>
  <si>
    <t>Autres répondants</t>
  </si>
  <si>
    <t>Date de complétion du formulaire</t>
  </si>
  <si>
    <t>Date des révisions s'il y a lieu</t>
  </si>
  <si>
    <r>
      <rPr>
        <sz val="10.5"/>
        <color theme="1"/>
        <rFont val="Webdings"/>
        <family val="1"/>
        <charset val="2"/>
      </rPr>
      <t xml:space="preserve">  </t>
    </r>
    <r>
      <rPr>
        <sz val="10.5"/>
        <color theme="1"/>
        <rFont val="Calibri"/>
        <family val="2"/>
        <scheme val="minor"/>
      </rPr>
      <t>que notre municipalité remet au MAMH.</t>
    </r>
  </si>
  <si>
    <r>
      <rPr>
        <sz val="10.5"/>
        <color theme="1"/>
        <rFont val="Webdings"/>
        <family val="1"/>
        <charset val="2"/>
      </rPr>
      <t xml:space="preserve">  </t>
    </r>
    <r>
      <rPr>
        <i/>
        <sz val="10.5"/>
        <color theme="1"/>
        <rFont val="Calibri"/>
        <family val="2"/>
        <scheme val="minor"/>
      </rPr>
      <t>***Correspond à la première année de planification des coûts sur le cycle de vie dans le PGA.</t>
    </r>
  </si>
  <si>
    <t>Commentaires généraux concernant la partie Eau
potable du PGA-Eau</t>
  </si>
  <si>
    <t>***  Si le statut de la section est "À compléter", vérifiez que vous avez bien rempli l'onglet IDENTIFICATION.</t>
  </si>
  <si>
    <t>PARTIE 5 PLANIFICATION SUR LES CYCLE DE VIE</t>
  </si>
  <si>
    <t>PARTIE 6 RÉSUMÉ FINANCIER</t>
  </si>
  <si>
    <t>***  À noter qu'il se peut qu'il n'y ait pas de budget associé à certaines phases du cycle de vie dans votre municipalité, mais vous devez tout de même inscrire un montant dans toutes les cases prioritaires, même s'il est de 0$.</t>
  </si>
  <si>
    <t>&gt;&gt; Prenez connaissance des différentes cotes du niveau de progression dans la démarche de réalisation du PGA-Eau proposées ci-dessous:</t>
  </si>
  <si>
    <t>Analyse des niveaux de service "Exigences et mises aux normes"</t>
  </si>
  <si>
    <t>Analyse des niveaux de service "Technique" et "Citoyen"</t>
  </si>
  <si>
    <r>
      <t xml:space="preserve">Coûts requis pour atteindre les objectifs de service </t>
    </r>
    <r>
      <rPr>
        <i/>
        <sz val="10"/>
        <color rgb="FF00B0F0"/>
        <rFont val="Calibri"/>
        <family val="2"/>
        <scheme val="minor"/>
      </rPr>
      <t>(voir partie 5)</t>
    </r>
  </si>
  <si>
    <r>
      <t xml:space="preserve">Coûts requis pour gérer les risques </t>
    </r>
    <r>
      <rPr>
        <i/>
        <sz val="10"/>
        <color rgb="FF00B0F0"/>
        <rFont val="Calibri"/>
        <family val="2"/>
        <scheme val="minor"/>
      </rPr>
      <t>(voir partie 5)</t>
    </r>
  </si>
  <si>
    <r>
      <t xml:space="preserve">Coûts requis pour gérer la demande à venir </t>
    </r>
    <r>
      <rPr>
        <i/>
        <sz val="10"/>
        <color rgb="FF00B0F0"/>
        <rFont val="Calibri"/>
        <family val="2"/>
        <scheme val="minor"/>
      </rPr>
      <t>(voir partie 5)</t>
    </r>
  </si>
  <si>
    <t xml:space="preserve">Une fois le chiffrier Excel rempli, vous pouvez utiliser le plan type pour élaborer votre PGA-Eau. </t>
  </si>
  <si>
    <r>
      <t>Indiquez quels types d'actifs possède votre municipalité
pour la distribution de l'eau potable:</t>
    </r>
    <r>
      <rPr>
        <sz val="10"/>
        <color theme="1"/>
        <rFont val="Webdings"/>
        <family val="1"/>
        <charset val="2"/>
      </rPr>
      <t xml:space="preserve"> 6</t>
    </r>
  </si>
  <si>
    <t>NOTE</t>
  </si>
  <si>
    <t>Approvisionnement&amp;Traitement</t>
  </si>
  <si>
    <t>/ Autres actifs</t>
  </si>
  <si>
    <t xml:space="preserve"> ACTIFS EN MODE PARTAGÉ</t>
  </si>
  <si>
    <t>Total Valeur</t>
  </si>
  <si>
    <t>CONFIANCE</t>
  </si>
  <si>
    <r>
      <t xml:space="preserve">CALCULS PERMETTANT LE LIEN AUTOMATIQUE ENTRE LE FORMULAIRE ET LE SOMMAIRE -- </t>
    </r>
    <r>
      <rPr>
        <b/>
        <u/>
        <sz val="24"/>
        <color theme="3" tint="-0.249977111117893"/>
        <rFont val="Calibri"/>
        <family val="2"/>
        <scheme val="minor"/>
      </rPr>
      <t>EAU POTABLE</t>
    </r>
  </si>
  <si>
    <t xml:space="preserve"> PGA remis par la municipalité)</t>
  </si>
  <si>
    <t>(</t>
  </si>
  <si>
    <t>DATE DE COMPLÉTION DU FORMULAIRE:</t>
  </si>
  <si>
    <t>ATTENTION: RÉPONSE DE LA MUNICIPALITÉ À LA 1ERE QUESTION / SOUS-SERVICE</t>
  </si>
  <si>
    <t>APPROV</t>
  </si>
  <si>
    <t>Si pas d'appro</t>
  </si>
  <si>
    <t>Si pas de linéaire</t>
  </si>
  <si>
    <t>Si pas de ponctuel</t>
  </si>
  <si>
    <t>Si pas de distribution</t>
  </si>
  <si>
    <r>
      <rPr>
        <b/>
        <sz val="9"/>
        <color theme="4" tint="-0.499984740745262"/>
        <rFont val="Calibri"/>
        <family val="2"/>
        <scheme val="minor"/>
      </rPr>
      <t>&gt; QUALITÉ</t>
    </r>
    <r>
      <rPr>
        <i/>
        <sz val="9"/>
        <color theme="4" tint="-0.499984740745262"/>
        <rFont val="Calibri"/>
        <family val="2"/>
        <scheme val="minor"/>
      </rPr>
      <t xml:space="preserve">  (Le service est de qualité acceptable)</t>
    </r>
  </si>
  <si>
    <r>
      <rPr>
        <b/>
        <sz val="9"/>
        <color theme="4" tint="-0.499984740745262"/>
        <rFont val="Calibri"/>
        <family val="2"/>
        <scheme val="minor"/>
      </rPr>
      <t xml:space="preserve">&gt; ÉTAT </t>
    </r>
    <r>
      <rPr>
        <sz val="9"/>
        <color theme="4" tint="-0.499984740745262"/>
        <rFont val="Calibri"/>
        <family val="2"/>
        <scheme val="minor"/>
      </rPr>
      <t xml:space="preserve"> </t>
    </r>
    <r>
      <rPr>
        <i/>
        <sz val="9"/>
        <color theme="4" tint="-0.499984740745262"/>
        <rFont val="Calibri"/>
        <family val="2"/>
        <scheme val="minor"/>
      </rPr>
      <t>(L'état des infrastructures est adéquat)</t>
    </r>
  </si>
  <si>
    <r>
      <rPr>
        <b/>
        <sz val="9"/>
        <color theme="4" tint="-0.499984740745262"/>
        <rFont val="Calibri"/>
        <family val="2"/>
        <scheme val="minor"/>
      </rPr>
      <t xml:space="preserve">&gt; CAPACITÉ </t>
    </r>
    <r>
      <rPr>
        <sz val="9"/>
        <color theme="4" tint="-0.499984740745262"/>
        <rFont val="Calibri"/>
        <family val="2"/>
        <scheme val="minor"/>
      </rPr>
      <t xml:space="preserve"> </t>
    </r>
    <r>
      <rPr>
        <i/>
        <sz val="9"/>
        <color theme="4" tint="-0.499984740745262"/>
        <rFont val="Calibri"/>
        <family val="2"/>
        <scheme val="minor"/>
      </rPr>
      <t>(Le service est de capacité adéquate)</t>
    </r>
  </si>
  <si>
    <t>Réponses au formulaire</t>
  </si>
  <si>
    <t>%</t>
  </si>
  <si>
    <t xml:space="preserve">  Tendance actuelle
  de performance</t>
  </si>
  <si>
    <t>Choix pour tendance</t>
  </si>
  <si>
    <t>Choix pour objectif</t>
  </si>
  <si>
    <t>NIVEAU DE SERVICE Visuel 3</t>
  </si>
  <si>
    <t xml:space="preserve">Tableau rempli automatiquement dans le sommaire à partir des données saisies dans le formulaire </t>
  </si>
  <si>
    <t>&gt; AUTRES</t>
  </si>
  <si>
    <t xml:space="preserve">Visuel 1 NIVEAU DE PROGRESSION </t>
  </si>
  <si>
    <t>Visuel 2 NIVEAU DE CONFIANCE</t>
  </si>
  <si>
    <t>CCV - Fonct - Prévisions Exploitation&amp;Entretien</t>
  </si>
  <si>
    <t>Coûts additionnels liés à…</t>
  </si>
  <si>
    <t>Gestion des niveaux de service</t>
  </si>
  <si>
    <r>
      <t xml:space="preserve">Les écarts </t>
    </r>
    <r>
      <rPr>
        <u/>
        <sz val="10"/>
        <color rgb="FFFF0000"/>
        <rFont val="Calibri"/>
        <family val="2"/>
        <scheme val="minor"/>
      </rPr>
      <t>négatifs</t>
    </r>
    <r>
      <rPr>
        <sz val="10"/>
        <color rgb="FFFF0000"/>
        <rFont val="Calibri"/>
        <family val="2"/>
        <scheme val="minor"/>
      </rPr>
      <t xml:space="preserve"> sont entre parenthèse et indiquent un manque à gagner</t>
    </r>
  </si>
  <si>
    <t>Besoins annuels 
moyens</t>
  </si>
  <si>
    <t>Besoins annuels moyens vs budget</t>
  </si>
  <si>
    <t>Niveau de confiance associé</t>
  </si>
  <si>
    <t>Somme sur 10 ans</t>
  </si>
  <si>
    <t>Catégorie 
technique</t>
  </si>
  <si>
    <t>Coûts additionnels</t>
  </si>
  <si>
    <t>le service au niveau actuel</t>
  </si>
  <si>
    <t>Gestion des 
niveaux de service</t>
  </si>
  <si>
    <t>Gestion de la 
demande à venir</t>
  </si>
  <si>
    <t>Gestion des 
risques</t>
  </si>
  <si>
    <t>Immobilisations</t>
  </si>
  <si>
    <t>INVENTAIRE ET VALEUR DE REMPLACEMENT DES ACTIFS À GÉRER</t>
  </si>
  <si>
    <t>Critère de niveaux de service</t>
  </si>
  <si>
    <t>Catégories de risques</t>
  </si>
  <si>
    <t xml:space="preserve">&gt;&gt;  Pour chacune des catégories de risques énumérées, indiquez si votre municipalité considère devoir gérer certains risques ou non, et si ceux-ci sont plutôt de niveau très élevé, élevé, ou seulement modéré ou faible. </t>
  </si>
  <si>
    <t>Catégories de changements</t>
  </si>
  <si>
    <t xml:space="preserve">&gt;&gt; Pour chacune des catégories de changement énumérées, indiquez si votre municipalité anticipe des changements à court terme (1-4 ans), moyen terme (5-7 ans) ou long terme (8-10 ans). </t>
  </si>
  <si>
    <t>RISQUES À SURVEILLER</t>
  </si>
  <si>
    <t xml:space="preserve">CHANGEMENTS À SURVEILLER </t>
  </si>
  <si>
    <t>COÛTS PRÉVISIONNELS (BESOINS) ANNUELS PAR PHASE DU CYCLE DE VIE</t>
  </si>
  <si>
    <r>
      <t xml:space="preserve">ÉCARTS ANNUELS MOYENS :  </t>
    </r>
    <r>
      <rPr>
        <b/>
        <sz val="10"/>
        <color theme="4" tint="-0.499984740745262"/>
        <rFont val="Calibri"/>
        <family val="2"/>
        <scheme val="minor"/>
      </rPr>
      <t>COÛTS PRÉVISIONNELS (BESOINS) VS BUDGET</t>
    </r>
  </si>
  <si>
    <t>Résumé financier</t>
  </si>
  <si>
    <t>Planification des coûts sur le cycle de vie</t>
  </si>
  <si>
    <t xml:space="preserve">Au nombre de 22, les fiches expliquent à partir d’exemples les étapes à suivre pour réaliser chaque partie du plan de gestion des actifs en eau. Chaque fiche est représentée par un code et couvre les différents services d'eau (eau potable, eaux usées, eaux pluviales). </t>
  </si>
  <si>
    <t>Actifs en général 
ou en eau</t>
  </si>
  <si>
    <t xml:space="preserve">                         en y intégrant les informations pour les eaux pluviales. Vous devez toutefois remplir également le formulaire pour l'eau potable indépendamment.</t>
  </si>
  <si>
    <r>
      <t xml:space="preserve">▪  Les onglets </t>
    </r>
    <r>
      <rPr>
        <b/>
        <u/>
        <sz val="12"/>
        <color theme="1"/>
        <rFont val="Calibri"/>
        <family val="2"/>
        <scheme val="minor"/>
      </rPr>
      <t>SOMMAIRES PGA par service</t>
    </r>
    <r>
      <rPr>
        <sz val="11"/>
        <color theme="1"/>
        <rFont val="Calibri"/>
        <family val="2"/>
        <scheme val="minor"/>
      </rPr>
      <t xml:space="preserve"> sont générés automatiquement à partir des informations fournies dans le formulaire associé et ne peuvent être modifiés. 
      Ils peuvent être utilisés comme résumés de vos plans de gestion d'actifs par service, ou encore ils peuvent s'avérer utiles pour communiquer les informations pertinentes 
      de la gestion d'actifs pour votre municipalité, un peu à la manière d'un tableau de bord.</t>
    </r>
  </si>
  <si>
    <r>
      <t xml:space="preserve">▪  L'onglet </t>
    </r>
    <r>
      <rPr>
        <b/>
        <u/>
        <sz val="12"/>
        <color theme="1"/>
        <rFont val="Calibri"/>
        <family val="2"/>
        <scheme val="minor"/>
      </rPr>
      <t>SOMMAIRE PGA EAU</t>
    </r>
    <r>
      <rPr>
        <sz val="11"/>
        <color theme="1"/>
        <rFont val="Calibri"/>
        <family val="2"/>
        <scheme val="minor"/>
      </rPr>
      <t xml:space="preserve"> est un résumé synthèse des PGA par service présenté sous forme de tableau de bord. Il est généré automatiquement à partir des informations
      fournies dans les formulaires par service et ne peut être modifié.</t>
    </r>
  </si>
  <si>
    <r>
      <t xml:space="preserve">▪  L'onglet </t>
    </r>
    <r>
      <rPr>
        <b/>
        <u/>
        <sz val="12"/>
        <color theme="1"/>
        <rFont val="Calibri"/>
        <family val="2"/>
        <scheme val="minor"/>
      </rPr>
      <t>AIDE</t>
    </r>
    <r>
      <rPr>
        <sz val="11"/>
        <color theme="1"/>
        <rFont val="Calibri"/>
        <family val="2"/>
        <scheme val="minor"/>
      </rPr>
      <t xml:space="preserve"> contient une marche à suivre "pas-à-pas" pour utiliser le chiffrier, et peut donc être utilisé au besoin. Des hyperliens se retrouvent à différents endroits
      dans les formulaires pour une utilisation optimale.</t>
    </r>
  </si>
  <si>
    <r>
      <t xml:space="preserve">▪  L'onglet </t>
    </r>
    <r>
      <rPr>
        <b/>
        <u/>
        <sz val="12"/>
        <color theme="1"/>
        <rFont val="Calibri"/>
        <family val="2"/>
        <scheme val="minor"/>
      </rPr>
      <t>Liste municipalités</t>
    </r>
    <r>
      <rPr>
        <sz val="11"/>
        <color theme="1"/>
        <rFont val="Calibri"/>
        <family val="2"/>
        <scheme val="minor"/>
      </rPr>
      <t xml:space="preserve"> peut être consulté au besoin concernant l'identification de la municipalité avec son code géographique et sa région administrative.</t>
    </r>
  </si>
  <si>
    <t>Données considérées fiables sur 1-19% des actifs / Données basées exclusivement sur des éléments non documentés / Difficile d'évaluer la véracité et la représentativité des données</t>
  </si>
  <si>
    <t>Données considérées fiables sur 20-39% des actifs / Données basées essentiellement sur des éléments non documentés ou documentés mais datés / Données ne reflètent pas vraiment la réalité</t>
  </si>
  <si>
    <t xml:space="preserve">Ces cases permettent d'indiquer plusieurs informations complémentaires et utiles ou d'expliquer davantage les choix, les hypothèses et les estimations. </t>
  </si>
  <si>
    <t>L'objectif n'est pas de planifier en détail les interventions sur tous les actifs, mais plutôt d'obtenir une vision globale des actifs que votre municipalité doit gérer, et ce qui doit être anticipé dans les prochaines années.</t>
  </si>
  <si>
    <t xml:space="preserve">Le chiffrier a été conçu par l’équipe du CERIU, en collaboration avec plusieurs comités de professionnels municipaux pilotés par le MAMH, dans l’objectif de réaliser un Plan de gestion des actifs en eau. </t>
  </si>
  <si>
    <t>Régie intermunicipale</t>
  </si>
  <si>
    <t>Accord intermunicipal</t>
  </si>
  <si>
    <t>La réflexion est amorcée, mais nous ne pouvons répondre aux questions ci-dessous à ce stade-ci.</t>
  </si>
  <si>
    <t>La réflexion est amorcée et nous sommes en mesure de remplir la section au meilleur de notre connaissance.</t>
  </si>
  <si>
    <t xml:space="preserve">(inclut tous les autres actifs ne faisant pas partie des catégories "linéaire" et "ponctuel" ci-dessus) </t>
  </si>
  <si>
    <r>
      <t xml:space="preserve">Quote-part  </t>
    </r>
    <r>
      <rPr>
        <sz val="8"/>
        <color theme="1"/>
        <rFont val="Calibri"/>
        <family val="2"/>
        <scheme val="minor"/>
      </rPr>
      <t>(en % de la valeur de rempla-cement incluse dans les valeurs fournies)</t>
    </r>
  </si>
  <si>
    <t xml:space="preserve">     Inscrivez ensuite pour chacune, si possible, le type d'exigence/mise aux normes et sa provenance, les actifs concernés et expliquez davantage les enjeux rencontrés qui peuvent avoir un impact sur les coûts. </t>
  </si>
  <si>
    <t xml:space="preserve">&gt;&gt;  À la partie 5 - Planification des coûts sur le cycle de vie, plus bas, il vous est possible de saisir des coûts prévisionnels spécifiques à la gestion des niveaux de service. </t>
  </si>
  <si>
    <t xml:space="preserve">&gt;&gt;  À la partie 5 - Planification des coûts sur le cycle de vie, plus bas, il vous est possible de saisir des coûts prévisionnels spécifiques à la gestion des risques. </t>
  </si>
  <si>
    <t xml:space="preserve">&gt;&gt;  Inscrivez les indicateurs de performance que vous désirez suivre afin de pouvoir évaluer l'atteinte de vos objectifs de niveau de service, en commençant par vos 3 priorités de performance.
      </t>
  </si>
  <si>
    <t xml:space="preserve">Indiquez ensuite à quel critère et catégorie ces indicateurs sont associés, et inscrivez la tendance actuelle de performance liée à cet indicateur pour votre municipalité ainsi que 
votre objectif général en terme de performance pour les prochaines années. </t>
  </si>
  <si>
    <t>Dans un tel cas, ce sont des déductions de coûts que vous devez indiquer dans votre tableau de coûts prévisionnels.</t>
  </si>
  <si>
    <t xml:space="preserve">    *** Le niveau de risque est évalué en fonction de la vraisemblance des risques (rare, peu probable, possible, probable, presque certain) et de leurs conséquences (négligeables, mineures, modérées, majeures, catastrophiques).  </t>
  </si>
  <si>
    <t>Cadre légal et règlementaire</t>
  </si>
  <si>
    <t xml:space="preserve">Les coûts nécessaires pour maintenir les niveaux de service actuels. </t>
  </si>
  <si>
    <t>Les coûts liés au déficit de maintien, c'est-à-dire les coûts anticipés pouvant permettre le rattrapage du retard en terme de renouvellement des actifs, s'il y a lieu.</t>
  </si>
  <si>
    <r>
      <t>***  Notez qu'</t>
    </r>
    <r>
      <rPr>
        <b/>
        <i/>
        <sz val="11"/>
        <rFont val="Calibri"/>
        <family val="2"/>
        <scheme val="minor"/>
      </rPr>
      <t>il n'est pas nécessaire que toutes les années et les phases du cycle de vie soient remplies</t>
    </r>
    <r>
      <rPr>
        <i/>
        <sz val="11"/>
        <rFont val="Calibri"/>
        <family val="2"/>
        <scheme val="minor"/>
      </rPr>
      <t xml:space="preserve">, puisqu'il peut s'agir par exemple de quelques activités ponctuelles ou </t>
    </r>
  </si>
  <si>
    <t>Niveau de confiance actuel</t>
  </si>
  <si>
    <t>Niveau de progression actuel</t>
  </si>
  <si>
    <t>Explications et commentaires (si besoin)</t>
  </si>
  <si>
    <r>
      <t xml:space="preserve">&gt;&gt; Si vous désirez commenter ou nuancer les visuels résultants de votre </t>
    </r>
    <r>
      <rPr>
        <u/>
        <sz val="11"/>
        <rFont val="Calibri"/>
        <family val="2"/>
        <scheme val="minor"/>
      </rPr>
      <t>sommaire PGA eau potable</t>
    </r>
    <r>
      <rPr>
        <sz val="11"/>
        <rFont val="Calibri"/>
        <family val="2"/>
        <scheme val="minor"/>
      </rPr>
      <t xml:space="preserve"> en expliquant votre contexte, et que ce commentaire apparaisse dans le sommaire, inscrivez-le dans la case suivante:</t>
    </r>
  </si>
  <si>
    <t>Les moyennes sont généralement calculées à part égales; toutefois dans ce cas-ci, moins</t>
  </si>
  <si>
    <t xml:space="preserve">   d'importance est accordée à la confiance dans les coûts liés à la gestion des niveaux </t>
  </si>
  <si>
    <t xml:space="preserve">   de service, de risques et de la demande à venir (le 1/3) par rapport aux coûts prévisionnels </t>
  </si>
  <si>
    <t>Poids</t>
  </si>
  <si>
    <t>Cote</t>
  </si>
  <si>
    <t>Moyenne globale avec budget inclus</t>
  </si>
  <si>
    <t>Dans le cas de la moyenne globale prévisions + budget, 1/4 versus 3/4 est utilisé.</t>
  </si>
  <si>
    <t xml:space="preserve">   de service, de risques et de la demande à venir (le 1/4) par rapport aux coûts prévisionnels </t>
  </si>
  <si>
    <t>Immobilisation</t>
  </si>
  <si>
    <t>Coûts permettant de rattrapper le retard</t>
  </si>
  <si>
    <t>Fonctionnement supplémentaire résultant des acquisitions</t>
  </si>
  <si>
    <t>(voir la répartition détaillée dans le tableau ci-dessous)</t>
  </si>
  <si>
    <r>
      <rPr>
        <b/>
        <sz val="11"/>
        <color theme="4" tint="-0.499984740745262"/>
        <rFont val="Calibri"/>
        <family val="2"/>
        <scheme val="minor"/>
      </rPr>
      <t xml:space="preserve">10 ANS :  </t>
    </r>
    <r>
      <rPr>
        <b/>
        <sz val="10"/>
        <color theme="4" tint="-0.499984740745262"/>
        <rFont val="Calibri"/>
        <family val="2"/>
        <scheme val="minor"/>
      </rPr>
      <t>RÉPARTITION PAR CATÉGORIES DE COÛTS</t>
    </r>
  </si>
  <si>
    <t>COÛTS PRÉVISIONNELS (BESOINS) TOTAUX SUR</t>
  </si>
  <si>
    <r>
      <t xml:space="preserve">COÛTS PRÉVISIONNELS (BESOINS) TOTAUX SUR 10 ANS :  </t>
    </r>
    <r>
      <rPr>
        <b/>
        <sz val="10"/>
        <color theme="4" tint="-0.499984740745262"/>
        <rFont val="Calibri"/>
        <family val="2"/>
        <scheme val="minor"/>
      </rPr>
      <t>RÉPARTITION PAR SOUS-SERVICE ET PAR PHASE DU CYCLE DE VIE</t>
    </r>
  </si>
  <si>
    <t>Répartition des besoins totaux 10 ans par sous-service et phases du cycle de vie</t>
  </si>
  <si>
    <t>Répartition des besoins totaux 10 ans par catégories de coûts</t>
  </si>
  <si>
    <t>Gestion niveaux de service, risques et demande à venir</t>
  </si>
  <si>
    <t xml:space="preserve">Coûts pour maintenir </t>
  </si>
  <si>
    <t>Exploitation&amp;Entretien</t>
  </si>
  <si>
    <t>Acquisition&amp;Disposition</t>
  </si>
  <si>
    <t xml:space="preserve">   d'exploitation et d'entretien, de renouvellement et d'acquisition/disposition (le 2/3) en </t>
  </si>
  <si>
    <t xml:space="preserve">   raison du fait que le détail de ces coûts additionnels est facultatif dans le formulaire</t>
  </si>
  <si>
    <t xml:space="preserve">   d'exploitation et d'entretien, de renouvellement et d'acquisition/disposition (le 3/4) en</t>
  </si>
  <si>
    <t>Budget planifié</t>
  </si>
  <si>
    <t>Calcul des ratios financiers</t>
  </si>
  <si>
    <t>Données saisies dans le formulaire</t>
  </si>
  <si>
    <r>
      <rPr>
        <b/>
        <sz val="11"/>
        <color theme="4" tint="-0.499984740745262"/>
        <rFont val="Calibri"/>
        <family val="2"/>
        <scheme val="minor"/>
      </rPr>
      <t xml:space="preserve">FONCTIONNEMENT  </t>
    </r>
    <r>
      <rPr>
        <b/>
        <sz val="8.5"/>
        <color theme="4" tint="-0.499984740745262"/>
        <rFont val="Calibri"/>
        <family val="2"/>
        <scheme val="minor"/>
      </rPr>
      <t>(EXPLOITATION ET ENTRETIEN)</t>
    </r>
  </si>
  <si>
    <r>
      <rPr>
        <b/>
        <sz val="11"/>
        <color theme="8" tint="-0.499984740745262"/>
        <rFont val="Calibri"/>
        <family val="2"/>
        <scheme val="minor"/>
      </rPr>
      <t xml:space="preserve">RENOUVELLEMENT  </t>
    </r>
    <r>
      <rPr>
        <b/>
        <sz val="8.5"/>
        <color theme="8" tint="-0.499984740745262"/>
        <rFont val="Calibri"/>
        <family val="2"/>
        <scheme val="minor"/>
      </rPr>
      <t>(MAINTIEN ET DÉFICIT DU MAINTIEN)</t>
    </r>
  </si>
  <si>
    <r>
      <rPr>
        <b/>
        <sz val="11"/>
        <color theme="8" tint="-0.499984740745262"/>
        <rFont val="Calibri"/>
        <family val="2"/>
        <scheme val="minor"/>
      </rPr>
      <t xml:space="preserve">ACQUISITION ET DISPOSITION  </t>
    </r>
    <r>
      <rPr>
        <b/>
        <sz val="8.5"/>
        <color theme="8" tint="-0.499984740745262"/>
        <rFont val="Calibri"/>
        <family val="2"/>
        <scheme val="minor"/>
      </rPr>
      <t>(AJOUTS ET AMÉLIORATION/BONIFICATION)</t>
    </r>
  </si>
  <si>
    <t>Montants totaux sur les 10 prochaines années</t>
  </si>
  <si>
    <t>Autofinancement</t>
  </si>
  <si>
    <t>Global</t>
  </si>
  <si>
    <t>/100</t>
  </si>
  <si>
    <t>Niv.Service</t>
  </si>
  <si>
    <t>N/A</t>
  </si>
  <si>
    <t>Objectifs court terme et cotes par partie</t>
  </si>
  <si>
    <t>Cumulatif APPRO</t>
  </si>
  <si>
    <t>Cumulatif DISTRIBUTION</t>
  </si>
  <si>
    <t>Nb d'objectifs court terme</t>
  </si>
  <si>
    <t>Cote /5</t>
  </si>
  <si>
    <t xml:space="preserve"> Approvisionnement&amp;Traitement</t>
  </si>
  <si>
    <t>Cases complétées</t>
  </si>
  <si>
    <t>Lorsque les cases prioritaires et certaines cases souhaitables sont remplies, leur couleur change afin de faciliter l'utilisation du formulaire.</t>
  </si>
  <si>
    <t>Définitions / Explication de termes</t>
  </si>
  <si>
    <t>Hyperlien proposé vers l'onglet AIDE pour la partie correspondante</t>
  </si>
  <si>
    <t>Service de l'eau potable</t>
  </si>
  <si>
    <t>Eau potable /Linéaire</t>
  </si>
  <si>
    <t>Eau potable /Ponctuel</t>
  </si>
  <si>
    <t>Eau potable /Autres</t>
  </si>
  <si>
    <t>Service des eaux usées</t>
  </si>
  <si>
    <t>Eaux usées /Linéaire</t>
  </si>
  <si>
    <t>Eaux usées /Ponctuel</t>
  </si>
  <si>
    <t>Eaux usées /Autres</t>
  </si>
  <si>
    <t>Service des eaux pluviales</t>
  </si>
  <si>
    <t>Eaux pluviales /Linéaire</t>
  </si>
  <si>
    <t>Eaux pluviales /Ponctuel</t>
  </si>
  <si>
    <t>Remaniement des colonnes…</t>
  </si>
  <si>
    <t xml:space="preserve">Satisfaisant (C) </t>
  </si>
  <si>
    <t>Appro Linéaire</t>
  </si>
  <si>
    <t>Appro Ponctuel</t>
  </si>
  <si>
    <t>Distrib Linéaire</t>
  </si>
  <si>
    <t>Distrib Ponctuel</t>
  </si>
  <si>
    <t>Total Eau potable Linéaire</t>
  </si>
  <si>
    <t>Total Eau potable Ponctuel</t>
  </si>
  <si>
    <t>Vérif de somme</t>
  </si>
  <si>
    <t>Collecte Linéaire</t>
  </si>
  <si>
    <t>Collecte Ponctuel</t>
  </si>
  <si>
    <t>Traitement Linéaire</t>
  </si>
  <si>
    <t>Traitement Ponctuel</t>
  </si>
  <si>
    <t>Total Eaux usées Linéaire</t>
  </si>
  <si>
    <t>Total Eaux usées Ponctuel</t>
  </si>
  <si>
    <t>Exploitation/Entretien</t>
  </si>
  <si>
    <t>Acquisition/Disposition</t>
  </si>
  <si>
    <t>Exploitation / Entretien</t>
  </si>
  <si>
    <t>Acquisition / Disposition</t>
  </si>
  <si>
    <t>Budget</t>
  </si>
  <si>
    <t>Prévisions</t>
  </si>
  <si>
    <t>Cote globale</t>
  </si>
  <si>
    <t>Budget total planifié PGA</t>
  </si>
  <si>
    <t>Déficit de financement global</t>
  </si>
  <si>
    <t>Indicateurs de réalisation</t>
  </si>
  <si>
    <t>Évolution de l'amélioration</t>
  </si>
  <si>
    <t xml:space="preserve">Indicateurs de niveaux de service </t>
  </si>
  <si>
    <t>Dépôt de documents</t>
  </si>
  <si>
    <t>Dernière mise à jour de documents</t>
  </si>
  <si>
    <t>Investissements réalisés vs planifiés PGA</t>
  </si>
  <si>
    <t>Tendance du niveau de progression PGA</t>
  </si>
  <si>
    <t>service / évolution de l'état</t>
  </si>
  <si>
    <t>Remise annuelle du rapport de la SQEEP</t>
  </si>
  <si>
    <t>Année du Plan d'intervention (PI)</t>
  </si>
  <si>
    <t>Financement gouvernemental vs municipalité</t>
  </si>
  <si>
    <t>Tendance du niveau de confiance des données</t>
  </si>
  <si>
    <t>Réflexion en cours / À déterminer</t>
  </si>
  <si>
    <t>Remise annuelle du rapport financier</t>
  </si>
  <si>
    <t>Tendances budgets et investissements</t>
  </si>
  <si>
    <t xml:space="preserve">Remise du PGA 2026 </t>
  </si>
  <si>
    <t>Plan de gestion des actifs de l'eau</t>
  </si>
  <si>
    <t>SOMMAIRE GÉNÉRAL PGA EAU</t>
  </si>
  <si>
    <t>/ 100</t>
  </si>
  <si>
    <r>
      <t xml:space="preserve">RENOUVELLEMENT  </t>
    </r>
    <r>
      <rPr>
        <b/>
        <sz val="9"/>
        <color theme="8" tint="-0.499984740745262"/>
        <rFont val="Calibri"/>
        <family val="2"/>
        <scheme val="minor"/>
      </rPr>
      <t xml:space="preserve"> (MAINTIEN ET DÉFICIT DE MAINTIEN)</t>
    </r>
  </si>
  <si>
    <r>
      <t xml:space="preserve">FONCTIONNEMENT  </t>
    </r>
    <r>
      <rPr>
        <b/>
        <sz val="9"/>
        <color theme="4" tint="-0.499984740745262"/>
        <rFont val="Calibri"/>
        <family val="2"/>
        <scheme val="minor"/>
      </rPr>
      <t xml:space="preserve"> (EXPLOITATION ET ENTRETIEN)</t>
    </r>
  </si>
  <si>
    <t>Besoins totaux des 10 prochaines années</t>
  </si>
  <si>
    <t>pour réaliser l'ensemble des activités sur les 3 services</t>
  </si>
  <si>
    <t>Notes / Commentaires de la municipalité</t>
  </si>
  <si>
    <t>NIVEAU DE CONFIANCE SOMMAIRE DANS LES DONNÉES</t>
  </si>
  <si>
    <t xml:space="preserve"> Eau potable</t>
  </si>
  <si>
    <t xml:space="preserve"> Eaux usées</t>
  </si>
  <si>
    <t xml:space="preserve"> Eaux pluviales</t>
  </si>
  <si>
    <t>NIVEAU DE PROGRESSION SOMMAIRE PGA</t>
  </si>
  <si>
    <t>COÛTS PRÉVISIONNELS ANNUELS PAR PHASE DU CYCLE DE VIE</t>
  </si>
  <si>
    <t>COÛTS PRÉVISIONNELS ANNUELS PAR SERVICE</t>
  </si>
  <si>
    <t>CALCULS PERMETTANT LE LIEN AUTOMATIQUE ENTRE LES 3 FORMULAIRES ET LE SOMMAIRE GÉNÉRAL</t>
  </si>
  <si>
    <t>PORTRAIT DES ACTIFS - Visuel 1</t>
  </si>
  <si>
    <t>PORTRAIT DES ACTIFS - Visuel 2</t>
  </si>
  <si>
    <t>SOMMAIRE DES COÛTS PRÉVISIONNELS - Visuels 1et2</t>
  </si>
  <si>
    <t xml:space="preserve">Réponse à la question concernant le nb de formulaires remplis: </t>
  </si>
  <si>
    <t>Réponses des formulaires</t>
  </si>
  <si>
    <t>Total valeur</t>
  </si>
  <si>
    <t>TOUS LES SERVICES</t>
  </si>
  <si>
    <t>Valeur associé au %</t>
  </si>
  <si>
    <t>Moyenne confiance</t>
  </si>
  <si>
    <t>BUDGET / SERVICE</t>
  </si>
  <si>
    <t>BUDGET / REGROUPEMENT USUEL</t>
  </si>
  <si>
    <t>Sommaire du portrait des actifs</t>
  </si>
  <si>
    <t>BESOINS /SERVICES  ET /REGROUPEMENTS USUELS</t>
  </si>
  <si>
    <t>Budget actuel TOTAL</t>
  </si>
  <si>
    <t>MOYENNE</t>
  </si>
  <si>
    <t>SOMMAIRE DES COÛTS PRÉVISIONNELS - Visuel 3</t>
  </si>
  <si>
    <t>PERSPECTIVES D'AMÉLIORATION - Visuels 1et2</t>
  </si>
  <si>
    <t>NOTES / COMMENTAIRES DE LA MUNICIPALITÉ</t>
  </si>
  <si>
    <t>Concernant le service d'eau potable:</t>
  </si>
  <si>
    <t>Concernant le service des eaux usées:</t>
  </si>
  <si>
    <t xml:space="preserve">Concernant le service des eaux pluviales: </t>
  </si>
  <si>
    <r>
      <t xml:space="preserve">CALCULS PERMETTANT LE LIEN AUTOMATIQUE ENTRE LE FORMULAIRE ET LE SOMMAIRE -- </t>
    </r>
    <r>
      <rPr>
        <b/>
        <u/>
        <sz val="24"/>
        <color theme="3" tint="-0.249977111117893"/>
        <rFont val="Calibri"/>
        <family val="2"/>
        <scheme val="minor"/>
      </rPr>
      <t>EAUX USÉES</t>
    </r>
  </si>
  <si>
    <t>SERVICE DES EAUX PLUVIALES - SOMMAIRE PGA</t>
  </si>
  <si>
    <r>
      <t xml:space="preserve">CALCULS PERMETTANT LE LIEN AUTOMATIQUE ENTRE LE FORMULAIRE ET LE SOMMAIRE -- </t>
    </r>
    <r>
      <rPr>
        <b/>
        <u/>
        <sz val="24"/>
        <color theme="3" tint="-0.249977111117893"/>
        <rFont val="Calibri"/>
        <family val="2"/>
        <scheme val="minor"/>
      </rPr>
      <t>EAUX PLUVIALES</t>
    </r>
  </si>
  <si>
    <t>Commentaires généraux concernant la partie Eaux
usées du PGA-Eau</t>
  </si>
  <si>
    <t>Commentaires généraux concernant la partie Eaux
pluviales du PGA-Eau</t>
  </si>
  <si>
    <r>
      <t>&gt;&gt; Inscrivez les informations demandées</t>
    </r>
    <r>
      <rPr>
        <sz val="11"/>
        <rFont val="Calibri"/>
        <family val="2"/>
        <scheme val="minor"/>
      </rPr>
      <t xml:space="preserve"> en lien avec les actifs en eaux usées de votre municipalité.</t>
    </r>
  </si>
  <si>
    <r>
      <t>&gt;&gt; Inscrivez les informations demandées</t>
    </r>
    <r>
      <rPr>
        <sz val="11"/>
        <rFont val="Calibri"/>
        <family val="2"/>
        <scheme val="minor"/>
      </rPr>
      <t xml:space="preserve"> en lien avec les actifs en eaux pluviales de votre municipalité.</t>
    </r>
  </si>
  <si>
    <t>Sous-service: 
COLLECTE</t>
  </si>
  <si>
    <r>
      <t>Indiquez quels types d'actifs possède votre municipalité 
pour la collecte des eaux usées:</t>
    </r>
    <r>
      <rPr>
        <sz val="10"/>
        <color theme="1"/>
        <rFont val="Webdings"/>
        <family val="1"/>
        <charset val="2"/>
      </rPr>
      <t xml:space="preserve"> 6</t>
    </r>
  </si>
  <si>
    <t>Notre municipalité ne possède aucun actif lié à la collecte des eaux usées.</t>
  </si>
  <si>
    <t>Notre municipalité ne possède aucun actif lié au traitement des eaux usées.</t>
  </si>
  <si>
    <t>Notre municipalité ne possède aucun actif lié à la collecte des eaux pluviales.</t>
  </si>
  <si>
    <t>Notre municipalité ne possède aucun actif lié au traitement des eaux pluviales.</t>
  </si>
  <si>
    <t>Collecte</t>
  </si>
  <si>
    <t>Traitement</t>
  </si>
  <si>
    <r>
      <t>Indiquez quels types d'actifs possède votre municipalité 
pour le traitement des eaux usées:</t>
    </r>
    <r>
      <rPr>
        <sz val="10"/>
        <color theme="1"/>
        <rFont val="Webdings"/>
        <family val="1"/>
        <charset val="2"/>
      </rPr>
      <t xml:space="preserve"> 6</t>
    </r>
  </si>
  <si>
    <t>Sous-service: 
TRAITEMENT</t>
  </si>
  <si>
    <r>
      <t>Indiquez quels types d'actifs possède votre municipalité 
pour le traitement des eaux pluviales:</t>
    </r>
    <r>
      <rPr>
        <sz val="10"/>
        <color theme="1"/>
        <rFont val="Webdings"/>
        <family val="1"/>
        <charset val="2"/>
      </rPr>
      <t xml:space="preserve"> 6</t>
    </r>
  </si>
  <si>
    <r>
      <t>Indiquez quels types d'actifs possède votre municipalité 
pour la collecte des eaux pluviales:</t>
    </r>
    <r>
      <rPr>
        <sz val="10"/>
        <color theme="1"/>
        <rFont val="Webdings"/>
        <family val="1"/>
        <charset val="2"/>
      </rPr>
      <t xml:space="preserve"> 6</t>
    </r>
  </si>
  <si>
    <t>(inclut les conduites de collecte, de refoulement ou d'interception)</t>
  </si>
  <si>
    <t>(inclut les conduites de collecte ou d'interception)</t>
  </si>
  <si>
    <t>(inclut les émissaires)</t>
  </si>
  <si>
    <t>(inclut les ouvrages suivants : postes de pompage, ouvrages de surverse, chambres majeures)</t>
  </si>
  <si>
    <t>(inclut les ouvrages suivants : postes de pompage, ouvrages de surverse/rétention, chambres majeures)</t>
  </si>
  <si>
    <t>(inclut les installations de traitement)</t>
  </si>
  <si>
    <t>(inclut les ouvrages de traitement et de rétention)</t>
  </si>
  <si>
    <t>Collecte / Linéaire</t>
  </si>
  <si>
    <t>Collecte / Ponctuel</t>
  </si>
  <si>
    <t>Collecte / Autres actifs</t>
  </si>
  <si>
    <t>Traitement / Linéaire</t>
  </si>
  <si>
    <t>Traitement / Ponctuel</t>
  </si>
  <si>
    <t>Traitement / Autres actifs</t>
  </si>
  <si>
    <t>COLLECTE</t>
  </si>
  <si>
    <t>TRAITEMENT</t>
  </si>
  <si>
    <t>Sous-service: Collecte</t>
  </si>
  <si>
    <t>Sous-service: Traitement</t>
  </si>
  <si>
    <r>
      <t xml:space="preserve">&gt;&gt; Est-ce que votre municipalité a entamé une réflexion concernant les niveaux de service qu'elle offre actuellement en eaux usées et ceux qu'elle souhaite offrir dans le futur? </t>
    </r>
    <r>
      <rPr>
        <i/>
        <sz val="11"/>
        <rFont val="Webdings"/>
        <family val="1"/>
        <charset val="2"/>
      </rPr>
      <t>6</t>
    </r>
  </si>
  <si>
    <t>&gt;&gt; Indiquez les exigences ou les mises aux normes que doit rencontrer votre municipalité relativement à son service des eaux usées et qui auront un impact sur la planification des coûts dans les prochaines années.</t>
  </si>
  <si>
    <t>Pour ce faire, vous devez toutefois distinguer les coûts de la mise en place des actions que vous venez de décrire en fonction:     &gt; du sous-service  (Collecte; Traitement);</t>
  </si>
  <si>
    <r>
      <t xml:space="preserve">&gt;&gt; Est-ce que votre municipalité a entamé une réflexion concernant les niveaux de service qu'elle offre actuellement en eaux pluviales et ceux qu'elle souhaite offrir dans le futur? </t>
    </r>
    <r>
      <rPr>
        <i/>
        <sz val="11"/>
        <rFont val="Webdings"/>
        <family val="1"/>
        <charset val="2"/>
      </rPr>
      <t>6</t>
    </r>
  </si>
  <si>
    <t>&gt;&gt; Indiquez les exigences ou les mises aux normes que doit rencontrer votre municipalité relativement à son service d'eaux pluviales et qui auront un impact sur la planification des coûts dans les prochaines années.</t>
  </si>
  <si>
    <r>
      <t xml:space="preserve">&gt;&gt; Est-ce que votre municipalité a entamé une réflexion concernant 
la gestion des risques en lien avec le service des eaux usées ? </t>
    </r>
    <r>
      <rPr>
        <i/>
        <sz val="11"/>
        <rFont val="Webdings"/>
        <family val="1"/>
        <charset val="2"/>
      </rPr>
      <t>6</t>
    </r>
  </si>
  <si>
    <r>
      <t xml:space="preserve">&gt;&gt; Est-ce que votre municipalité a entamé une réflexion concernant 
la gestion des risques en lien avec le service des eaux pluviales ? </t>
    </r>
    <r>
      <rPr>
        <i/>
        <sz val="11"/>
        <rFont val="Webdings"/>
        <family val="1"/>
        <charset val="2"/>
      </rPr>
      <t>6</t>
    </r>
  </si>
  <si>
    <r>
      <t xml:space="preserve">&gt;&gt; Est-ce que votre municipalité a entamé une réflexion concernant la
gestion de la demande à venir en lien avec le service des eaux usées ? </t>
    </r>
    <r>
      <rPr>
        <i/>
        <sz val="11"/>
        <rFont val="Webdings"/>
        <family val="1"/>
        <charset val="2"/>
      </rPr>
      <t>6</t>
    </r>
  </si>
  <si>
    <r>
      <t xml:space="preserve">&gt;&gt; Est-ce que votre municipalité a entamé une réflexion concernant la
gestion de la demande à venir en lien avec le service des eaux pluviales ? </t>
    </r>
    <r>
      <rPr>
        <i/>
        <sz val="11"/>
        <rFont val="Webdings"/>
        <family val="1"/>
        <charset val="2"/>
      </rPr>
      <t>6</t>
    </r>
  </si>
  <si>
    <t>&gt;&gt;  Inscrivez vos budgets annuels actuels pour les eaux usées:</t>
  </si>
  <si>
    <r>
      <t xml:space="preserve">&gt; par sous-service  </t>
    </r>
    <r>
      <rPr>
        <sz val="10"/>
        <color theme="1"/>
        <rFont val="Calibri"/>
        <family val="2"/>
        <scheme val="minor"/>
      </rPr>
      <t>(1er tableau: Collecte; 2e tableau: Traitement).</t>
    </r>
  </si>
  <si>
    <t>&gt;&gt;  Inscrivez vos budgets annuels actuels pour les eaux pluviales:</t>
  </si>
  <si>
    <t>Sous-service: COLLECTE</t>
  </si>
  <si>
    <t>Sous-service: TRAITEMENT</t>
  </si>
  <si>
    <t>TOTAL - COLLECTE</t>
  </si>
  <si>
    <t>TOTAL - TRAITEMENT</t>
  </si>
  <si>
    <t>2 SOUS-SERVICES</t>
  </si>
  <si>
    <t>des besoins pour le Service des eaux usées</t>
  </si>
  <si>
    <t>des besoins pour le Service de l'eau potable</t>
  </si>
  <si>
    <t>des besoins pour le Service des eaux pluviales</t>
  </si>
  <si>
    <t>2 sous-services</t>
  </si>
  <si>
    <t xml:space="preserve">&gt;&gt; Inscrivez votre stratégie financière sur les 10 prochaines années, en $ actuels, par sous-service (collecte et traitement), pour le fonctionnement (exploitation et entretien), </t>
  </si>
  <si>
    <t>RÉSULTATS DANS LE SOMMAIRE PGA EAUX USÉES  ET COMMENTAIRES</t>
  </si>
  <si>
    <t>&gt;&gt; Vous pouvez à présent consulter le sommaire complet de votre PGA pour les eaux usées.</t>
  </si>
  <si>
    <r>
      <t xml:space="preserve">&gt;&gt; Si vous désirez commenter ou nuancer les visuels résultants de votre </t>
    </r>
    <r>
      <rPr>
        <u/>
        <sz val="11"/>
        <rFont val="Calibri"/>
        <family val="2"/>
        <scheme val="minor"/>
      </rPr>
      <t>sommaire PGA eaux usées</t>
    </r>
    <r>
      <rPr>
        <sz val="11"/>
        <rFont val="Calibri"/>
        <family val="2"/>
        <scheme val="minor"/>
      </rPr>
      <t xml:space="preserve"> en expliquant votre contexte, et que ce commentaire apparaisse dans le sommaire, inscrivez-le dans la case suivante:</t>
    </r>
  </si>
  <si>
    <t>&gt;&gt; Vous pouvez également consulter le sommaire général PGA EAU dans lequel certaines données synthèses pour le service des eaux usées saisies dans le présent formulaire apparaissent.</t>
  </si>
  <si>
    <t>***  Notez que si certains visuels relatifs au service des eaux usées n'apparaissent pas dans le sommaire général, il est probable que ce soit parce que certaines sections ci-haut ne sont pas complètement remplies.</t>
  </si>
  <si>
    <t>RÉSULTATS DANS LE SOMMAIRE PGA EAUX PLUVIALES  ET COMMENTAIRES</t>
  </si>
  <si>
    <t>&gt;&gt; Vous pouvez à présent consulter le sommaire complet de votre PGA pour les eaux pluviales.</t>
  </si>
  <si>
    <r>
      <t xml:space="preserve">&gt;&gt; Si vous désirez commenter ou nuancer les visuels résultants de votre </t>
    </r>
    <r>
      <rPr>
        <u/>
        <sz val="11"/>
        <rFont val="Calibri"/>
        <family val="2"/>
        <scheme val="minor"/>
      </rPr>
      <t>sommaire PGA eaux pluviales</t>
    </r>
    <r>
      <rPr>
        <sz val="11"/>
        <rFont val="Calibri"/>
        <family val="2"/>
        <scheme val="minor"/>
      </rPr>
      <t xml:space="preserve"> en expliquant votre contexte, et que ce commentaire apparaisse dans le sommaire, inscrivez-le dans la case suivante:</t>
    </r>
  </si>
  <si>
    <t>&gt;&gt; Vous pouvez également consulter le sommaire général PGA EAU dans lequel certaines données synthèses pour le service des eaux pluviales saisies dans le présent formulaire apparaissent.</t>
  </si>
  <si>
    <t>***  Notez que si certains visuels relatifs au service des eaux pluviales n'apparaissent pas dans le sommaire général, il est probable que ce soit parce que certaines sections ci-haut ne sont pas complètement remplies.</t>
  </si>
  <si>
    <t>Cumulatif COLLECTE</t>
  </si>
  <si>
    <t>Cumulatif TRAITEMENT</t>
  </si>
  <si>
    <t>(Note si choix de remplir 2 formulaires au lieu de 3)</t>
  </si>
  <si>
    <t>Sommaire de la planification des coûts prévisionnels (besoins)</t>
  </si>
  <si>
    <t xml:space="preserve">COÛTS PRÉVISIONNELS TOTAUX SUR 10 ANS: </t>
  </si>
  <si>
    <t>RÉPARTITION PAR CATÉGORIE DE COÛTS</t>
  </si>
  <si>
    <t>3 services</t>
  </si>
  <si>
    <t>Données saisies dans les formulaires et totaux des 3 services</t>
  </si>
  <si>
    <t>COTE GLOBALE ET CUMULATIF  --  NIVEAUX DE CONFIANCE / NIVEAU DE PROGRESSION</t>
  </si>
  <si>
    <t>SOMMAIRE DU RÉSUMÉ FINANCIER - Visuel 1</t>
  </si>
  <si>
    <t>Ceci s'applique pour l'ensemble des calculs de cotes de confiance moyennes pour l'ensemble du sommaire général.</t>
  </si>
  <si>
    <t>Pour les graphiques…</t>
  </si>
  <si>
    <t>Répartition par service</t>
  </si>
  <si>
    <t>Sommaire du fonctionnement pour les 3 services</t>
  </si>
  <si>
    <t>Ratio d'autofinancement du fonctionnement</t>
  </si>
  <si>
    <t>Ratio d'autofinancement des acquisitions/dispositions</t>
  </si>
  <si>
    <t>Ratio d'autofinancement du renouvellement</t>
  </si>
  <si>
    <r>
      <t xml:space="preserve">ACQUISITION/DISPOSITION  </t>
    </r>
    <r>
      <rPr>
        <b/>
        <sz val="9"/>
        <color theme="8" tint="-0.499984740745262"/>
        <rFont val="Calibri"/>
        <family val="2"/>
        <scheme val="minor"/>
      </rPr>
      <t xml:space="preserve"> (AJOUTS ET AMÉLIORATION/BONIFICATION)</t>
    </r>
  </si>
  <si>
    <t>SOMMAIRE DU RÉSUMÉ FINANCIER - Visuels 2, 3 et 4</t>
  </si>
  <si>
    <t>Sommaire du résumé financier</t>
  </si>
  <si>
    <t>FINANCEMENT ET INDICATEURS</t>
  </si>
  <si>
    <t>Sommaire de l'amélioration et du suivi</t>
  </si>
  <si>
    <t>OBJECTIFS POTENTIELS DE SUIVI ANNUEL</t>
  </si>
  <si>
    <t>Sommaire du renouvellement pour les 3 services</t>
  </si>
  <si>
    <t>ACQUISITIONS / DISPOSITIONS - STRATÉGIE FINANCIÈRE</t>
  </si>
  <si>
    <t>FONCTIONNEMENT - STRATÉGIE FINANCIÈRE</t>
  </si>
  <si>
    <t>RENOUVELLEMENT - STRATÉGIE FINANCIÈRE</t>
  </si>
  <si>
    <r>
      <rPr>
        <b/>
        <u/>
        <sz val="12"/>
        <color theme="1"/>
        <rFont val="Calibri"/>
        <family val="2"/>
        <scheme val="minor"/>
      </rPr>
      <t>CHOIX 1</t>
    </r>
    <r>
      <rPr>
        <sz val="11"/>
        <color theme="1"/>
        <rFont val="Calibri"/>
        <family val="2"/>
        <scheme val="minor"/>
      </rPr>
      <t xml:space="preserve">  Vous pouvez remplir les 3 formulaires qui sont chacun associé à l'un des 3 services de l'eau (Eau potable, Eaux usées, Eaux pluviales)</t>
    </r>
  </si>
  <si>
    <r>
      <rPr>
        <b/>
        <u/>
        <sz val="12"/>
        <color theme="1"/>
        <rFont val="Calibri"/>
        <family val="2"/>
        <scheme val="minor"/>
      </rPr>
      <t>CHOIX 2</t>
    </r>
    <r>
      <rPr>
        <sz val="11"/>
        <color theme="1"/>
        <rFont val="Calibri"/>
        <family val="2"/>
        <scheme val="minor"/>
      </rPr>
      <t xml:space="preserve">  Si vous n'êtes pas en mesure ou ne désirez pas départager le réseau d'eaux usées du réseau d'eaux pluviales à ce stade-ci,  vous pouvez remplir seulement le formulaire pour les eaux usées</t>
    </r>
  </si>
  <si>
    <t>&gt;&gt;  Vous pouvez utiliser le chiffrier selon 2 choix possibles :</t>
  </si>
  <si>
    <t>&gt;&gt;  Choisissez ce qui vous convient pour votre PGA-Eau:</t>
  </si>
  <si>
    <r>
      <rPr>
        <b/>
        <sz val="11"/>
        <color theme="1"/>
        <rFont val="Calibri"/>
        <family val="2"/>
        <scheme val="minor"/>
      </rPr>
      <t xml:space="preserve">CHOIX 1: </t>
    </r>
    <r>
      <rPr>
        <sz val="11"/>
        <color theme="1"/>
        <rFont val="Calibri"/>
        <family val="2"/>
        <scheme val="minor"/>
      </rPr>
      <t xml:space="preserve">  Vous pouvez remplir les 3 formulaires indépendamment, qui sont chacun associés à l'un des 3 services de l'eau (Eau potable, Eaux usées, Eaux pluviales)</t>
    </r>
  </si>
  <si>
    <r>
      <rPr>
        <b/>
        <sz val="11"/>
        <color theme="1"/>
        <rFont val="Calibri"/>
        <family val="2"/>
        <scheme val="minor"/>
      </rPr>
      <t>CHOIX 2:</t>
    </r>
    <r>
      <rPr>
        <sz val="11"/>
        <color theme="1"/>
        <rFont val="Calibri"/>
        <family val="2"/>
        <scheme val="minor"/>
      </rPr>
      <t xml:space="preserve">   Si vous n'êtes pas en mesure ou ne désirez pas départager le réseau d'eaux usées du réseau d'eaux pluviales à ce stade-ci,  vous pouvez remplir seulement le formulaire pour les eaux usées</t>
    </r>
  </si>
  <si>
    <t xml:space="preserve">                     en y intégrant les informations pour les eaux pluviales. Vous devez toutefois remplir également le formulaire pour l'eau potable indépendemment.</t>
  </si>
  <si>
    <t>Quel choix fait votre municipalité?</t>
  </si>
  <si>
    <t>CHOIX 1 :  Nous remplirons un formulaire pour le service des eaux pluviales indépendamment de celui pour le service des eaux usées.</t>
  </si>
  <si>
    <t>CHOIX 2 :  Nous utiliserons le même formulaire pour le service des eaux usées et celui des eaux pluviales.</t>
  </si>
  <si>
    <t>STRATÉGIE FINANCIÈRE GLOBALE</t>
  </si>
  <si>
    <t>Excédent de fonctionnement??????</t>
  </si>
  <si>
    <t>GLOBAL</t>
  </si>
  <si>
    <t>Cotes et cumulatifs CONFIANCE par sous-service et moyennes par service</t>
  </si>
  <si>
    <t>EAU POTABLE</t>
  </si>
  <si>
    <t>EAUX USÉES</t>
  </si>
  <si>
    <t>EAUX PLUVIALES</t>
  </si>
  <si>
    <t>Cotes et cumulatifs PROGRESSION par sous-service et moyennes par service</t>
  </si>
  <si>
    <t>PROGRESSION</t>
  </si>
  <si>
    <t>Sommaire des cotes et cumulatifs CONFIANCE et PROGRESSION par service</t>
  </si>
  <si>
    <t>Pour le tableau de CONFIANCE…</t>
  </si>
  <si>
    <t>Pour le tableau de PROGRESSION…</t>
  </si>
  <si>
    <t xml:space="preserve">NOTE: Les moyennes de confiance sont à poids égal entre les différents services, selon le choix 1 ou 2. </t>
  </si>
  <si>
    <t>Eau 
potable</t>
  </si>
  <si>
    <t>Ratio de financement</t>
  </si>
  <si>
    <t>Ratio d'autofinancement</t>
  </si>
  <si>
    <t>Eaux 
usées</t>
  </si>
  <si>
    <t>Eaux 
pluviales</t>
  </si>
  <si>
    <t>Financement gouvernemental (provincial) planifié PGA</t>
  </si>
  <si>
    <t xml:space="preserve">GLOBAL </t>
  </si>
  <si>
    <t>Sommaire des acquisitions/dispositions pour les 3 services</t>
  </si>
  <si>
    <t>Déficit de maintien d'actifs (renouvellement)</t>
  </si>
  <si>
    <t>Notre municipalité aimerait traiter l'ensemble de ses actifs en eaux pluviales dans le même sous-service "Collecte".</t>
  </si>
  <si>
    <t>Notre municipalité préfère distinguer ses ouvrages de traitement et de rétention des eaux pluviales dans le sous-service "Traitement".</t>
  </si>
  <si>
    <r>
      <t>Indiquez le choix de votre municipalité concernant la catégorisation de ses actifs en eaux pluviales:</t>
    </r>
    <r>
      <rPr>
        <sz val="10"/>
        <color theme="3" tint="-0.249977111117893"/>
        <rFont val="Webdings"/>
        <family val="1"/>
        <charset val="2"/>
      </rPr>
      <t xml:space="preserve"> 6</t>
    </r>
  </si>
  <si>
    <t>***   Les informations contenues dans cette partie peuvent être obtenues à partir de votre plus récent Plan d'intervention pour le renouvellement 
         des conduites d'eau potable, d'égouts et des chaussées (PI) et de tout récent formulaire relatif à vos infrastructures ponctuelles (Outil besoin 
         en investissement (Outil BI) du MAMH, plan de renouvellement...).  
         En l'absence d'informations sur le sujet, vous pouvez toujours vous référer  à vos plus récentes données du 
         Portrait des infrastructures en eau des municipalités du Québec disponibles sur www.inframunicipal.ca.</t>
  </si>
  <si>
    <r>
      <t xml:space="preserve">Mode de partage </t>
    </r>
    <r>
      <rPr>
        <sz val="10"/>
        <rFont val="Webdings"/>
        <family val="1"/>
        <charset val="2"/>
      </rPr>
      <t>6</t>
    </r>
  </si>
  <si>
    <t xml:space="preserve">RENOUVELLEMENT </t>
  </si>
  <si>
    <t>Région 0</t>
  </si>
  <si>
    <t>Municipalité 0</t>
  </si>
  <si>
    <r>
      <t xml:space="preserve">&gt;&gt; Si vous désirez émettre un bref commentaire à propos des résultats relatifs à l'eau potable afin qu'il apparaisse au </t>
    </r>
    <r>
      <rPr>
        <u/>
        <sz val="11"/>
        <color theme="1"/>
        <rFont val="Calibri"/>
        <family val="2"/>
        <scheme val="minor"/>
      </rPr>
      <t>sommaire général</t>
    </r>
    <r>
      <rPr>
        <sz val="11"/>
        <color theme="1"/>
        <rFont val="Calibri"/>
        <family val="2"/>
        <scheme val="minor"/>
      </rPr>
      <t>, inscrivez-le dans la case suivante:</t>
    </r>
  </si>
  <si>
    <r>
      <t xml:space="preserve">&gt;&gt; Si vous désirez émettre un bref commentaire à propos des résultats relatifs au service des eaux usées afin qu'il apparaisse au </t>
    </r>
    <r>
      <rPr>
        <u/>
        <sz val="11"/>
        <color theme="1"/>
        <rFont val="Calibri"/>
        <family val="2"/>
        <scheme val="minor"/>
      </rPr>
      <t>sommaire général</t>
    </r>
    <r>
      <rPr>
        <sz val="11"/>
        <color theme="1"/>
        <rFont val="Calibri"/>
        <family val="2"/>
        <scheme val="minor"/>
      </rPr>
      <t>, inscrivez-le dans la case suivante:</t>
    </r>
  </si>
  <si>
    <r>
      <t xml:space="preserve">&gt;&gt; Si vous désirez émettre un bref commentaire à propos des résultats relatifs au service des eaux pluviales afin qu'il apparaisse au </t>
    </r>
    <r>
      <rPr>
        <u/>
        <sz val="11"/>
        <color theme="1"/>
        <rFont val="Calibri"/>
        <family val="2"/>
        <scheme val="minor"/>
      </rPr>
      <t>sommaire général</t>
    </r>
    <r>
      <rPr>
        <sz val="11"/>
        <color theme="1"/>
        <rFont val="Calibri"/>
        <family val="2"/>
        <scheme val="minor"/>
      </rPr>
      <t>, inscrivez-le dans la case suivante:</t>
    </r>
  </si>
  <si>
    <r>
      <t xml:space="preserve">
Le chiffrier Excel est un outil réalisé dans le cadre du projet "Outils pour la réalisation d'un plan de gestion des actifs en eau".  
Il a été conçu par l’équipe du CERIU, en collaboration avec plusieurs comités de professionnels municipaux pilotés par le MAMH.
Dans un objectif d'accompagnement, le présent chiffrier permet de saisir les données pertinentes afin d'élaborer le Plan de gestion des actifs en eau (PGA-Eau).</t>
    </r>
    <r>
      <rPr>
        <sz val="11"/>
        <color theme="1"/>
        <rFont val="Calibri"/>
        <family val="2"/>
        <scheme val="minor"/>
      </rPr>
      <t xml:space="preserve">
Une fois le chiffrier rempli, vous pouvez élaborer votre PGA-Eau en complétant le plan type (voir ci-dessous).                                                                     </t>
    </r>
  </si>
  <si>
    <t>Version 1.0:  Décembre 2023</t>
  </si>
  <si>
    <t>Version 1.0     © CERIU, 2023</t>
  </si>
  <si>
    <t>En date du:</t>
  </si>
  <si>
    <t>Date de complétion de l'ensemble du PGA-Eau  (AAAA-MM-JJ)</t>
  </si>
  <si>
    <t>Date de complétion des formulaires (AAAA-MM-JJ)</t>
  </si>
  <si>
    <t>Le CERIU n'assume aucune responsabilité quant à l'utilisation de ce chiffrier.</t>
  </si>
  <si>
    <r>
      <t>Pour ce faire, procédez de la manière suivante:  Allez dans "</t>
    </r>
    <r>
      <rPr>
        <i/>
        <sz val="11"/>
        <color theme="1"/>
        <rFont val="Calibri"/>
        <family val="2"/>
        <scheme val="minor"/>
      </rPr>
      <t>Formules</t>
    </r>
    <r>
      <rPr>
        <sz val="11"/>
        <color theme="1"/>
        <rFont val="Calibri"/>
        <family val="2"/>
        <scheme val="minor"/>
      </rPr>
      <t>", puis "</t>
    </r>
    <r>
      <rPr>
        <i/>
        <sz val="11"/>
        <color theme="1"/>
        <rFont val="Calibri"/>
        <family val="2"/>
        <scheme val="minor"/>
      </rPr>
      <t>Options de calcul</t>
    </r>
    <r>
      <rPr>
        <sz val="11"/>
        <color theme="1"/>
        <rFont val="Calibri"/>
        <family val="2"/>
        <scheme val="minor"/>
      </rPr>
      <t>", et choisissez l'option "</t>
    </r>
    <r>
      <rPr>
        <i/>
        <sz val="11"/>
        <color theme="1"/>
        <rFont val="Calibri"/>
        <family val="2"/>
        <scheme val="minor"/>
      </rPr>
      <t>Manuel</t>
    </r>
    <r>
      <rPr>
        <sz val="11"/>
        <color theme="1"/>
        <rFont val="Calibri"/>
        <family val="2"/>
        <scheme val="minor"/>
      </rPr>
      <t>".</t>
    </r>
  </si>
  <si>
    <r>
      <t xml:space="preserve">Vous pouvez également </t>
    </r>
    <r>
      <rPr>
        <u/>
        <sz val="11"/>
        <color theme="1"/>
        <rFont val="Calibri"/>
        <family val="2"/>
        <scheme val="minor"/>
      </rPr>
      <t>modifier vos options d'enregistrements automatique</t>
    </r>
    <r>
      <rPr>
        <sz val="11"/>
        <color theme="1"/>
        <rFont val="Calibri"/>
        <family val="2"/>
        <scheme val="minor"/>
      </rPr>
      <t xml:space="preserve">, puisque l'ensemble du chiffrier se recalcule à chaque enregistrement. </t>
    </r>
  </si>
  <si>
    <r>
      <t>Pour ce faire, procédez de la manière suivante:  Allez dans "</t>
    </r>
    <r>
      <rPr>
        <i/>
        <sz val="11"/>
        <color theme="1"/>
        <rFont val="Calibri"/>
        <family val="2"/>
        <scheme val="minor"/>
      </rPr>
      <t>Fichier</t>
    </r>
    <r>
      <rPr>
        <sz val="11"/>
        <color theme="1"/>
        <rFont val="Calibri"/>
        <family val="2"/>
        <scheme val="minor"/>
      </rPr>
      <t>", puis "</t>
    </r>
    <r>
      <rPr>
        <i/>
        <sz val="11"/>
        <color theme="1"/>
        <rFont val="Calibri"/>
        <family val="2"/>
        <scheme val="minor"/>
      </rPr>
      <t>Options</t>
    </r>
    <r>
      <rPr>
        <sz val="11"/>
        <color theme="1"/>
        <rFont val="Calibri"/>
        <family val="2"/>
        <scheme val="minor"/>
      </rPr>
      <t>", puis "</t>
    </r>
    <r>
      <rPr>
        <i/>
        <sz val="11"/>
        <color theme="1"/>
        <rFont val="Calibri"/>
        <family val="2"/>
        <scheme val="minor"/>
      </rPr>
      <t>Enregistrement</t>
    </r>
    <r>
      <rPr>
        <sz val="11"/>
        <color theme="1"/>
        <rFont val="Calibri"/>
        <family val="2"/>
        <scheme val="minor"/>
      </rPr>
      <t>", et indiquer le nombre de minutes désiré à "</t>
    </r>
    <r>
      <rPr>
        <i/>
        <sz val="11"/>
        <color theme="1"/>
        <rFont val="Calibri"/>
        <family val="2"/>
        <scheme val="minor"/>
      </rPr>
      <t>Enregistrer les informations de récupération automatique toutes les...</t>
    </r>
    <r>
      <rPr>
        <sz val="11"/>
        <color theme="1"/>
        <rFont val="Calibri"/>
        <family val="2"/>
        <scheme val="minor"/>
      </rPr>
      <t>".</t>
    </r>
  </si>
  <si>
    <t>Confiance valeur et inventaire</t>
  </si>
  <si>
    <t>ATTENTION: RÉPONSE DE LA MUNICIPALITÉ À LA 1ERE QUESTION</t>
  </si>
  <si>
    <t>Si pas de collecte</t>
  </si>
  <si>
    <t>Si pas de traitement</t>
  </si>
  <si>
    <t>Moyenne /sous-service</t>
  </si>
  <si>
    <t>Moyenne / service</t>
  </si>
  <si>
    <t>mais les moyennes finales sont arrondies à la valeur inférieure.</t>
  </si>
  <si>
    <t>NOTE 2:</t>
  </si>
  <si>
    <t xml:space="preserve">Ici, les moyennes intermédiaires ne sont pas arrondies, </t>
  </si>
  <si>
    <t>La partie Amélioration n'est pas représentée dans le visuel</t>
  </si>
  <si>
    <t>Moyenne pour le service</t>
  </si>
  <si>
    <t xml:space="preserve">Les moyennes de confiance sont calculées à part égales entre les différents sous-services </t>
  </si>
  <si>
    <t>Ceci est valide pour l'ensemble des calculs de cotes de cet onglet.</t>
  </si>
  <si>
    <t>(et types d'actifs s'il y a lieu), mais prend en considération si la municipalité n'en possède pas.</t>
  </si>
  <si>
    <r>
      <rPr>
        <b/>
        <i/>
        <sz val="11"/>
        <color theme="1"/>
        <rFont val="Calibri"/>
        <family val="2"/>
        <scheme val="minor"/>
      </rPr>
      <t>N'oubliez pas toutefois d'utiliser l'option "Calculer maintenant" afin que les résultats et visuels apparaissent</t>
    </r>
    <r>
      <rPr>
        <sz val="11"/>
        <color theme="1"/>
        <rFont val="Calibri"/>
        <family val="2"/>
        <scheme val="minor"/>
      </rPr>
      <t>, ce qui peut prendre quelques secondes.</t>
    </r>
  </si>
  <si>
    <r>
      <t xml:space="preserve">Ce chiffrier qui vous est proposé en est à sa </t>
    </r>
    <r>
      <rPr>
        <u/>
        <sz val="11"/>
        <color theme="1"/>
        <rFont val="Calibri"/>
        <family val="2"/>
        <scheme val="minor"/>
      </rPr>
      <t>première version officielle</t>
    </r>
    <r>
      <rPr>
        <sz val="11"/>
        <color theme="1"/>
        <rFont val="Calibri"/>
        <family val="2"/>
        <scheme val="minor"/>
      </rPr>
      <t xml:space="preserve">. 
Assurez-vous de travailler avec la version la plus récente du chiffrier. </t>
    </r>
    <r>
      <rPr>
        <b/>
        <sz val="11"/>
        <color theme="1"/>
        <rFont val="Calibri"/>
        <family val="2"/>
        <scheme val="minor"/>
      </rPr>
      <t>Pour être avisé lorsqu'une nouvelle version est disponible</t>
    </r>
    <r>
      <rPr>
        <sz val="11"/>
        <color theme="1"/>
        <rFont val="Calibri"/>
        <family val="2"/>
        <scheme val="minor"/>
      </rPr>
      <t xml:space="preserve">, veuillez remplir ce court formulaire en ligne: </t>
    </r>
  </si>
  <si>
    <t xml:space="preserve">
https://fr.surveymonkey.com/r/PGA-Eau </t>
  </si>
  <si>
    <r>
      <rPr>
        <b/>
        <sz val="12"/>
        <color theme="1"/>
        <rFont val="Calibri"/>
        <family val="2"/>
        <scheme val="minor"/>
      </rPr>
      <t>Afin d'alléger l'utilisation du chiffrier</t>
    </r>
    <r>
      <rPr>
        <sz val="11"/>
        <color theme="1"/>
        <rFont val="Calibri"/>
        <family val="2"/>
        <scheme val="minor"/>
      </rPr>
      <t xml:space="preserve">, il est recommandé de </t>
    </r>
    <r>
      <rPr>
        <u/>
        <sz val="11"/>
        <color theme="1"/>
        <rFont val="Calibri"/>
        <family val="2"/>
        <scheme val="minor"/>
      </rPr>
      <t xml:space="preserve">modifier vos options de calculs </t>
    </r>
    <r>
      <rPr>
        <sz val="11"/>
        <color theme="1"/>
        <rFont val="Calibri"/>
        <family val="2"/>
        <scheme val="minor"/>
      </rPr>
      <t xml:space="preserve">afin que le chiffrier ne se recalcule pas automatiquement à chaque saisie de donnée. </t>
    </r>
  </si>
  <si>
    <r>
      <t>Veuillez noter qu’il est important de consulter l’onglet "</t>
    </r>
    <r>
      <rPr>
        <b/>
        <sz val="11"/>
        <rFont val="Calibri"/>
        <family val="2"/>
        <scheme val="minor"/>
      </rPr>
      <t>Mode d’emploi</t>
    </r>
    <r>
      <rPr>
        <sz val="11"/>
        <rFont val="Calibri"/>
        <family val="2"/>
        <scheme val="minor"/>
      </rPr>
      <t xml:space="preserve">" qui donne des indications sur la structure et le fonctionnement des formulaires avant de commencer à remplir les formulaires. </t>
    </r>
  </si>
  <si>
    <t>Pour rappel, les cases roses doivent obligatoirement être remplies, les cases jaunes sont souhaitables et les cases grises sont complémentaires.</t>
  </si>
  <si>
    <t>Table des matières</t>
  </si>
  <si>
    <t>Partie 1 Identification</t>
  </si>
  <si>
    <t>Partie 2  Portrait des actifs</t>
  </si>
  <si>
    <t>Partie 3  Niveaux de service</t>
  </si>
  <si>
    <t>Partie 4  Demande et risques</t>
  </si>
  <si>
    <t>Partie 5  Planification des coûts sur le cycle de vie</t>
  </si>
  <si>
    <t>Partie 6  Résumé financier</t>
  </si>
  <si>
    <t>Partie 7  Amélioration et suivi</t>
  </si>
  <si>
    <t>Partie 8  Sommaire</t>
  </si>
  <si>
    <t xml:space="preserve">Partie 1 - Identification </t>
  </si>
  <si>
    <t>Cette section reprend automatiquement les informations inscrites dans l’onglet « Identification ». Si cet onglet n’a pas encore été rempli, veuillez le remplir afin de visualiser les informations.</t>
  </si>
  <si>
    <t>Instructions pour remplir l’onglet « Identification »</t>
  </si>
  <si>
    <t xml:space="preserve">Partie A </t>
  </si>
  <si>
    <t>Lisez et approuvez la note importante sur la compréhension des objectifs et des limites</t>
  </si>
  <si>
    <t>Lisez et approuvez la note importante sur le copyright et les conditions d’utilisation</t>
  </si>
  <si>
    <t xml:space="preserve">Partie C </t>
  </si>
  <si>
    <t>Inscrivez le code géographique correspondant à votre municipalité en vous référant si besoin à l’onglet « Liste des municipalités ». Le nom de votre municipalité apparaîtra automatiquement</t>
  </si>
  <si>
    <t xml:space="preserve">Partie D </t>
  </si>
  <si>
    <r>
      <t>1.	   Année du PGA :</t>
    </r>
    <r>
      <rPr>
        <sz val="11"/>
        <rFont val="Calibri"/>
        <family val="2"/>
        <scheme val="minor"/>
      </rPr>
      <t xml:space="preserve"> Inscrire la 1ère année de planification des coûts sur le cycle de vie des actifs dans le PGA</t>
    </r>
  </si>
  <si>
    <r>
      <t xml:space="preserve">       Remarque : </t>
    </r>
    <r>
      <rPr>
        <sz val="11"/>
        <rFont val="Calibri"/>
        <family val="2"/>
        <scheme val="minor"/>
      </rPr>
      <t xml:space="preserve"> Cette année sera ajoutée automatiquement dans les sections du formulaire.</t>
    </r>
  </si>
  <si>
    <r>
      <t xml:space="preserve">2.	   Ce PGA-Eau correspond au : </t>
    </r>
    <r>
      <rPr>
        <sz val="11"/>
        <rFont val="Calibri"/>
        <family val="2"/>
        <scheme val="minor"/>
      </rPr>
      <t>Sélectionnez l’option qui s’applique à votre cas</t>
    </r>
  </si>
  <si>
    <r>
      <t>3.	   Quel choix fait votre municipalité :</t>
    </r>
    <r>
      <rPr>
        <sz val="11"/>
        <rFont val="Calibri"/>
        <family val="2"/>
        <scheme val="minor"/>
      </rPr>
      <t xml:space="preserve"> Sélectionnez l’option qui s’applique à votre cas</t>
    </r>
  </si>
  <si>
    <r>
      <t xml:space="preserve">      Remarque : </t>
    </r>
    <r>
      <rPr>
        <sz val="11"/>
        <rFont val="Calibri"/>
        <family val="2"/>
        <scheme val="minor"/>
      </rPr>
      <t>C'est dans cette section que la municipalité décide si elle remplit les données des eaux usées et pluviales distinctement ou si elle désire combiner les deux</t>
    </r>
    <r>
      <rPr>
        <b/>
        <sz val="11"/>
        <rFont val="Calibri"/>
        <family val="2"/>
        <scheme val="minor"/>
      </rPr>
      <t xml:space="preserve"> </t>
    </r>
    <r>
      <rPr>
        <sz val="11"/>
        <rFont val="Calibri"/>
        <family val="2"/>
        <scheme val="minor"/>
      </rPr>
      <t>dans le</t>
    </r>
    <r>
      <rPr>
        <b/>
        <sz val="11"/>
        <rFont val="Calibri"/>
        <family val="2"/>
        <scheme val="minor"/>
      </rPr>
      <t xml:space="preserve"> </t>
    </r>
    <r>
      <rPr>
        <sz val="11"/>
        <rFont val="Calibri"/>
        <family val="2"/>
        <scheme val="minor"/>
      </rPr>
      <t>formulaire eaux usées.</t>
    </r>
  </si>
  <si>
    <t xml:space="preserve">Partie E </t>
  </si>
  <si>
    <r>
      <t xml:space="preserve">1.	   Répondant principal : </t>
    </r>
    <r>
      <rPr>
        <sz val="11"/>
        <rFont val="Calibri"/>
        <family val="2"/>
        <scheme val="minor"/>
      </rPr>
      <t>Inscrivez les coordonnées du répondant principal</t>
    </r>
  </si>
  <si>
    <r>
      <t xml:space="preserve">2.	   Répondant 2 à 5 : </t>
    </r>
    <r>
      <rPr>
        <sz val="11"/>
        <rFont val="Calibri"/>
        <family val="2"/>
        <scheme val="minor"/>
      </rPr>
      <t>Si nécessaire, inscrivez les coordonnées d’autres répondants</t>
    </r>
  </si>
  <si>
    <t xml:space="preserve">Partie F </t>
  </si>
  <si>
    <r>
      <t xml:space="preserve">1.	  Date de complétion des formulaires  : </t>
    </r>
    <r>
      <rPr>
        <sz val="11"/>
        <rFont val="Calibri"/>
        <family val="2"/>
        <scheme val="minor"/>
      </rPr>
      <t>Indiquer la date à laquelle chaque formulaire a été rempli</t>
    </r>
  </si>
  <si>
    <r>
      <t xml:space="preserve">2.  Date des révisions s'il y a lieu : </t>
    </r>
    <r>
      <rPr>
        <sz val="11"/>
        <rFont val="Calibri"/>
        <family val="2"/>
        <scheme val="minor"/>
      </rPr>
      <t>Indiquer la ou les date(s) de la dernière révision s’il y a lieu</t>
    </r>
  </si>
  <si>
    <r>
      <t xml:space="preserve">3.	  Date de complétion de l'ensemble des formulaires  : </t>
    </r>
    <r>
      <rPr>
        <sz val="11"/>
        <rFont val="Calibri"/>
        <family val="2"/>
        <scheme val="minor"/>
      </rPr>
      <t>Indiquer la date à laquelle vous avez finalisé la complétion de l'ensemble des formulaires</t>
    </r>
  </si>
  <si>
    <r>
      <t xml:space="preserve">      Remarque : </t>
    </r>
    <r>
      <rPr>
        <sz val="11"/>
        <rFont val="Calibri"/>
        <family val="2"/>
        <scheme val="minor"/>
      </rPr>
      <t>Cette date apparaîtra automatiquement dans votre sommaire général et marque la date de réalisation de votre PGA-Eau.</t>
    </r>
  </si>
  <si>
    <r>
      <t xml:space="preserve">Il est fortement recommandé de consulter le </t>
    </r>
    <r>
      <rPr>
        <i/>
        <sz val="11"/>
        <color theme="8" tint="-0.249977111117893"/>
        <rFont val="Calibri"/>
        <family val="2"/>
        <scheme val="minor"/>
      </rPr>
      <t>Guide d'élaboration d'un plan de gestion des actifs municipaux</t>
    </r>
    <r>
      <rPr>
        <sz val="11"/>
        <color theme="8" tint="-0.249977111117893"/>
        <rFont val="Calibri"/>
        <family val="2"/>
        <scheme val="minor"/>
      </rPr>
      <t xml:space="preserve"> (CERIU) et les </t>
    </r>
    <r>
      <rPr>
        <i/>
        <sz val="11"/>
        <color theme="8" tint="-0.249977111117893"/>
        <rFont val="Calibri"/>
        <family val="2"/>
        <scheme val="minor"/>
      </rPr>
      <t>Fiches techniques en eau</t>
    </r>
    <r>
      <rPr>
        <sz val="11"/>
        <color theme="8" tint="-0.249977111117893"/>
        <rFont val="Calibri"/>
        <family val="2"/>
        <scheme val="minor"/>
      </rPr>
      <t xml:space="preserve"> (CERIU) pour remplir les sections. </t>
    </r>
  </si>
  <si>
    <t>Ressources à consulter</t>
  </si>
  <si>
    <t xml:space="preserve">      Formulaire 
      Eau potable</t>
  </si>
  <si>
    <t xml:space="preserve">      Formulaire 
      Eaux usées</t>
  </si>
  <si>
    <t xml:space="preserve">    Formulaire 
    Eaux pluviales</t>
  </si>
  <si>
    <t xml:space="preserve">   Les fiches techniques comportent de nombreux exemples pour vous orienter dans la démarche.</t>
  </si>
  <si>
    <t>Fiches techniques</t>
  </si>
  <si>
    <r>
      <rPr>
        <b/>
        <sz val="11"/>
        <color theme="1"/>
        <rFont val="Calibri"/>
        <family val="2"/>
        <scheme val="minor"/>
      </rPr>
      <t xml:space="preserve"> 2-SE </t>
    </r>
    <r>
      <rPr>
        <sz val="11"/>
        <color theme="1"/>
        <rFont val="Calibri"/>
        <family val="2"/>
        <scheme val="minor"/>
      </rPr>
      <t xml:space="preserve">
Au besoin : 2i-EP,  2ii-EP,  
2iii-SE</t>
    </r>
  </si>
  <si>
    <r>
      <rPr>
        <b/>
        <sz val="11"/>
        <color theme="1"/>
        <rFont val="Calibri"/>
        <family val="2"/>
        <scheme val="minor"/>
      </rPr>
      <t xml:space="preserve"> 2-SE </t>
    </r>
    <r>
      <rPr>
        <sz val="11"/>
        <color theme="1"/>
        <rFont val="Calibri"/>
        <family val="2"/>
        <scheme val="minor"/>
      </rPr>
      <t xml:space="preserve">
Au besoin : 2i-EU/EPL,  2ii-EU/EPL,  2iii-SE </t>
    </r>
  </si>
  <si>
    <t>Partie du guide</t>
  </si>
  <si>
    <t>Partie 2 : Portrait des actifs</t>
  </si>
  <si>
    <t>Lisez attentivement la section avant de commencer à remplir.</t>
  </si>
  <si>
    <r>
      <t xml:space="preserve">Lorsque vous terminez de compléter toutes les informations obligatoires, vérifier que votre statut est </t>
    </r>
    <r>
      <rPr>
        <b/>
        <sz val="11"/>
        <color theme="1"/>
        <rFont val="Calibri"/>
        <family val="2"/>
        <scheme val="minor"/>
      </rPr>
      <t>« complété »</t>
    </r>
    <r>
      <rPr>
        <sz val="11"/>
        <color theme="1"/>
        <rFont val="Calibri"/>
        <family val="2"/>
        <scheme val="minor"/>
      </rPr>
      <t xml:space="preserve"> avant de poursuivre sur les autres parties.</t>
    </r>
  </si>
  <si>
    <t>Remarques :</t>
  </si>
  <si>
    <t xml:space="preserve">Les actifs ont été subdivisés en sous-services et le portrait est conçu en suivant cette structure. </t>
  </si>
  <si>
    <t xml:space="preserve">Distribution </t>
  </si>
  <si>
    <t xml:space="preserve">Collecte </t>
  </si>
  <si>
    <t xml:space="preserve">La municipalité peut tout de même identifier des actifs dans le sous-service Traitement. Des cases sont prévues à cet effet. </t>
  </si>
  <si>
    <r>
      <t xml:space="preserve">Les actifs doivent également être distingués entre </t>
    </r>
    <r>
      <rPr>
        <b/>
        <sz val="11"/>
        <color theme="1"/>
        <rFont val="Calibri"/>
        <family val="2"/>
        <scheme val="minor"/>
      </rPr>
      <t>le linéaire et le ponctuel.</t>
    </r>
    <r>
      <rPr>
        <sz val="11"/>
        <color theme="1"/>
        <rFont val="Calibri"/>
        <family val="2"/>
        <scheme val="minor"/>
      </rPr>
      <t xml:space="preserve"> Les éléments prioritaires à inscrire dans les cellules sont</t>
    </r>
    <r>
      <rPr>
        <b/>
        <sz val="11"/>
        <color theme="1"/>
        <rFont val="Calibri"/>
        <family val="2"/>
        <scheme val="minor"/>
      </rPr>
      <t xml:space="preserve"> l’inventaire, la valeur de remplacement et l’état de l’actif.</t>
    </r>
  </si>
  <si>
    <r>
      <t xml:space="preserve">Pour la </t>
    </r>
    <r>
      <rPr>
        <b/>
        <sz val="11"/>
        <color theme="1"/>
        <rFont val="Calibri"/>
        <family val="2"/>
        <scheme val="minor"/>
      </rPr>
      <t>cote d’état</t>
    </r>
    <r>
      <rPr>
        <sz val="11"/>
        <color theme="1"/>
        <rFont val="Calibri"/>
        <family val="2"/>
        <scheme val="minor"/>
      </rPr>
      <t>, remplissez la proportion correspondant à chaque état (A, B, C, D, E). Si vous n’avez pas d’actifs se trouvant, par exemple, dans un état D, inscrivez le chiffre 0.</t>
    </r>
  </si>
  <si>
    <r>
      <t xml:space="preserve">Si vous avez des actifs dont vous ne connaissez pas l’état, veuillez noter que la proportion restante sera reportée automatiquement dans la case </t>
    </r>
    <r>
      <rPr>
        <b/>
        <sz val="11"/>
        <color theme="1"/>
        <rFont val="Calibri"/>
        <family val="2"/>
        <scheme val="minor"/>
      </rPr>
      <t xml:space="preserve">« inconnue ». </t>
    </r>
  </si>
  <si>
    <r>
      <t xml:space="preserve">La catégorie </t>
    </r>
    <r>
      <rPr>
        <b/>
        <sz val="11"/>
        <color theme="1"/>
        <rFont val="Calibri"/>
        <family val="2"/>
        <scheme val="minor"/>
      </rPr>
      <t>« Autres actifs »</t>
    </r>
    <r>
      <rPr>
        <sz val="11"/>
        <color theme="1"/>
        <rFont val="Calibri"/>
        <family val="2"/>
        <scheme val="minor"/>
      </rPr>
      <t xml:space="preserve"> correspond à tout autre actif ne faisant pas partie du linéaire et du ponctuel. Les accessoires, équipements tels que : compteur d’eau, vanne, branchement de service peuvent être identifiés dans la section </t>
    </r>
  </si>
  <si>
    <r>
      <rPr>
        <b/>
        <sz val="11"/>
        <color theme="1"/>
        <rFont val="Calibri"/>
        <family val="2"/>
        <scheme val="minor"/>
      </rPr>
      <t>« Indiquez la ou les actifs associés »</t>
    </r>
    <r>
      <rPr>
        <sz val="11"/>
        <color theme="1"/>
        <rFont val="Calibri"/>
        <family val="2"/>
        <scheme val="minor"/>
      </rPr>
      <t xml:space="preserve">. </t>
    </r>
  </si>
  <si>
    <t>Vous pouvez aussi décider d’inclure ces autres actifs dans le ponctuel ou le linéaire selon la méthodologie adoptée par votre municipalité.</t>
  </si>
  <si>
    <r>
      <t>Si vous êtes dans un</t>
    </r>
    <r>
      <rPr>
        <b/>
        <sz val="11"/>
        <color theme="1"/>
        <rFont val="Calibri"/>
        <family val="2"/>
        <scheme val="minor"/>
      </rPr>
      <t xml:space="preserve"> cas particulier</t>
    </r>
    <r>
      <rPr>
        <sz val="11"/>
        <color theme="1"/>
        <rFont val="Calibri"/>
        <family val="2"/>
        <scheme val="minor"/>
      </rPr>
      <t xml:space="preserve">, c’est-à-dire que vous disposez des actifs dont la propriété est partagée avec l’agglomération, la régie intercommunale, l’accord intercommunal, etc., veuillez remplir la section </t>
    </r>
    <r>
      <rPr>
        <b/>
        <sz val="11"/>
        <color theme="1"/>
        <rFont val="Calibri"/>
        <family val="2"/>
        <scheme val="minor"/>
      </rPr>
      <t>« Particularités ».</t>
    </r>
  </si>
  <si>
    <t xml:space="preserve">Définitions : </t>
  </si>
  <si>
    <r>
      <t xml:space="preserve">La </t>
    </r>
    <r>
      <rPr>
        <b/>
        <sz val="11"/>
        <color theme="1"/>
        <rFont val="Calibri"/>
        <family val="2"/>
        <scheme val="minor"/>
      </rPr>
      <t>valeur de remplacement</t>
    </r>
    <r>
      <rPr>
        <sz val="11"/>
        <color theme="1"/>
        <rFont val="Calibri"/>
        <family val="2"/>
        <scheme val="minor"/>
      </rPr>
      <t xml:space="preserve"> est le montant nécessaire pour le remplacement des immobilisations à la valeur présente du marché. C'est un indicateur financier traduisant quelle somme il serait théoriquement nécessaire d’investir si la municipalité </t>
    </r>
  </si>
  <si>
    <t>devait remplacer un actif par un actif équivalent.</t>
  </si>
  <si>
    <r>
      <t>L’</t>
    </r>
    <r>
      <rPr>
        <b/>
        <sz val="11"/>
        <color theme="1"/>
        <rFont val="Calibri"/>
        <family val="2"/>
        <scheme val="minor"/>
      </rPr>
      <t>état de l’actif</t>
    </r>
    <r>
      <rPr>
        <sz val="11"/>
        <color theme="1"/>
        <rFont val="Calibri"/>
        <family val="2"/>
        <scheme val="minor"/>
      </rPr>
      <t xml:space="preserve"> se définit par sa cote d’état. C’est un indicateur à part entière permettant de qualifier la condition de l’actif. </t>
    </r>
  </si>
  <si>
    <t xml:space="preserve">       Formulaire
       Eau potable</t>
  </si>
  <si>
    <t xml:space="preserve">           Formulaire
           Eaux usées</t>
  </si>
  <si>
    <t xml:space="preserve">      Formulaire
      Eaux pluviales</t>
  </si>
  <si>
    <t>3-EP</t>
  </si>
  <si>
    <t>3-EU</t>
  </si>
  <si>
    <t>3-EPL</t>
  </si>
  <si>
    <t xml:space="preserve">         Les fiches techniques comportent de nombreux exemples pour vous orienter dans la démarche.</t>
  </si>
  <si>
    <t>Partie 3 : Niveaux de service</t>
  </si>
  <si>
    <t>Instructions</t>
  </si>
  <si>
    <t>Commencez par répondre aux questions en sélectionnant dans la liste déroulante la réponse qui s’applique à votre cas.</t>
  </si>
  <si>
    <t>Lorsque vous avez terminé de compléter toutes les informations obligatoires, vérifier que votre statut est « complété » avant de poursuivre sur les autres parties.</t>
  </si>
  <si>
    <t xml:space="preserve">Remarques </t>
  </si>
  <si>
    <t>Deux catégories de niveaux de service sont identifiées : la catégorie "Exigences et mise aux normes" et la catégorie "Technique et Citoyen".</t>
  </si>
  <si>
    <t>Catégorie "Exigences et mise aux normes"</t>
  </si>
  <si>
    <t xml:space="preserve">Il s’agit des exigences définies par une réglementation ou une norme. </t>
  </si>
  <si>
    <r>
      <t>Pour l’</t>
    </r>
    <r>
      <rPr>
        <b/>
        <sz val="11"/>
        <color theme="1"/>
        <rFont val="Calibri"/>
        <family val="2"/>
        <scheme val="minor"/>
      </rPr>
      <t>eau potable</t>
    </r>
    <r>
      <rPr>
        <sz val="11"/>
        <color theme="1"/>
        <rFont val="Calibri"/>
        <family val="2"/>
        <scheme val="minor"/>
      </rPr>
      <t>, on peut retrouver le Règlement sur le prélèvement des eaux et leur protection (RPEP) et le Règlement sur la qualité de l’eau potable (RQEP) qui définit quelques règles à respecter pour fournir une eau de qualité aux citoyens.</t>
    </r>
  </si>
  <si>
    <t>La mise aux normes peut être basée sur un critère de qualité et peut concerner, par exemple, le Pourcentage (%) d’échantillonnage d’eau conforme aux réglementations.</t>
  </si>
  <si>
    <r>
      <t>Pour l’</t>
    </r>
    <r>
      <rPr>
        <b/>
        <sz val="11"/>
        <color theme="1"/>
        <rFont val="Calibri"/>
        <family val="2"/>
        <scheme val="minor"/>
      </rPr>
      <t>eau usée et pluviale</t>
    </r>
    <r>
      <rPr>
        <sz val="11"/>
        <color theme="1"/>
        <rFont val="Calibri"/>
        <family val="2"/>
        <scheme val="minor"/>
      </rPr>
      <t xml:space="preserve">, on peut retrouver la loi sur la qualité de l’environnement (LQE), le Règlement sur les ouvrages municipaux d’assainissement des eaux usées (ROMAEU) et le Règlement sur l’encadrement d’activités en fonction </t>
    </r>
  </si>
  <si>
    <t xml:space="preserve">de leur impact sur l’environnement (REAFIE). </t>
  </si>
  <si>
    <t>La mise aux normes peut être basée sur un critère de capacité et peut concerner, par exemple, le Pourcentage (%) de conformité aux réglementations applicables pour les débordements. Le type d’exigence ou provenance peut-être le ROMAEU.</t>
  </si>
  <si>
    <t>Catégorie "Technique et Citoyen"</t>
  </si>
  <si>
    <t>Pour chaque catégorie, vous devez définir un indicateur de performance, un critère de niveau de service, la tendance actuelle, la performance actuelle, la performance souhaitée. Nous vous recommandons d'inscrire d'abord vos 3 prioritaires</t>
  </si>
  <si>
    <t>afin de les visualiser dans le sommaire.</t>
  </si>
  <si>
    <t>Ces deux niveaux de service sont liés aux orientations ou préférences véhiculées par les utilisateurs, et à l’atteinte des objectifs que la municipalité s’est fixée pour délivrer le service.</t>
  </si>
  <si>
    <r>
      <t>Pour l’</t>
    </r>
    <r>
      <rPr>
        <b/>
        <sz val="11"/>
        <color theme="1"/>
        <rFont val="Calibri"/>
        <family val="2"/>
        <scheme val="minor"/>
      </rPr>
      <t>eau potable</t>
    </r>
    <r>
      <rPr>
        <sz val="11"/>
        <color theme="1"/>
        <rFont val="Calibri"/>
        <family val="2"/>
        <scheme val="minor"/>
      </rPr>
      <t xml:space="preserve"> : au </t>
    </r>
    <r>
      <rPr>
        <b/>
        <sz val="11"/>
        <color theme="1"/>
        <rFont val="Calibri"/>
        <family val="2"/>
        <scheme val="minor"/>
      </rPr>
      <t>niveau citoyen</t>
    </r>
    <r>
      <rPr>
        <sz val="11"/>
        <color theme="1"/>
        <rFont val="Calibri"/>
        <family val="2"/>
        <scheme val="minor"/>
      </rPr>
      <t xml:space="preserve">, le critère peut être la capacité et peut concerner par exemple le Pourcentage (%) de population ou logements ayant fait une plainte (goût, odeur, couleur). Au </t>
    </r>
    <r>
      <rPr>
        <b/>
        <sz val="11"/>
        <color theme="1"/>
        <rFont val="Calibri"/>
        <family val="2"/>
        <scheme val="minor"/>
      </rPr>
      <t xml:space="preserve">niveau technique, </t>
    </r>
    <r>
      <rPr>
        <sz val="11"/>
        <color theme="1"/>
        <rFont val="Calibri"/>
        <family val="2"/>
        <scheme val="minor"/>
      </rPr>
      <t>le critère peut être la fonction et concerner le Pourcentage (%) d’actifs inspectés annuellement.</t>
    </r>
  </si>
  <si>
    <r>
      <t>Pour l’</t>
    </r>
    <r>
      <rPr>
        <b/>
        <sz val="11"/>
        <color theme="1"/>
        <rFont val="Calibri"/>
        <family val="2"/>
        <scheme val="minor"/>
      </rPr>
      <t xml:space="preserve">eau usée et pluviale : </t>
    </r>
    <r>
      <rPr>
        <sz val="11"/>
        <color theme="1"/>
        <rFont val="Calibri"/>
        <family val="2"/>
        <scheme val="minor"/>
      </rPr>
      <t xml:space="preserve">au </t>
    </r>
    <r>
      <rPr>
        <b/>
        <sz val="11"/>
        <color theme="1"/>
        <rFont val="Calibri"/>
        <family val="2"/>
        <scheme val="minor"/>
      </rPr>
      <t xml:space="preserve">niveau citoyen, </t>
    </r>
    <r>
      <rPr>
        <sz val="11"/>
        <color theme="1"/>
        <rFont val="Calibri"/>
        <family val="2"/>
        <scheme val="minor"/>
      </rPr>
      <t xml:space="preserve">le critère peut être basé sur la fonction et concerne le Pourcentage (%) de population ou logements affectés par un refoulement et au </t>
    </r>
    <r>
      <rPr>
        <b/>
        <sz val="11"/>
        <color theme="1"/>
        <rFont val="Calibri"/>
        <family val="2"/>
        <scheme val="minor"/>
      </rPr>
      <t xml:space="preserve">niveau technique, </t>
    </r>
    <r>
      <rPr>
        <sz val="11"/>
        <color theme="1"/>
        <rFont val="Calibri"/>
        <family val="2"/>
        <scheme val="minor"/>
      </rPr>
      <t xml:space="preserve">le critère peut être basé sur l’état et concerné </t>
    </r>
  </si>
  <si>
    <t>par exemple la Fréquence d'interventions programmées en renouvellement.</t>
  </si>
  <si>
    <r>
      <rPr>
        <b/>
        <sz val="11"/>
        <rFont val="Calibri"/>
        <family val="2"/>
        <scheme val="minor"/>
      </rPr>
      <t xml:space="preserve">La performance actuelle et souhaitée </t>
    </r>
    <r>
      <rPr>
        <sz val="11"/>
        <rFont val="Calibri"/>
        <family val="2"/>
        <scheme val="minor"/>
      </rPr>
      <t xml:space="preserve">peut être sous forme de % ou de nombre. Par exemple, vous pouvez être à une performance actuelle de 78 % sur le pourcentage (%) de population ou logements desservis et vous souhaitez augmenter </t>
    </r>
  </si>
  <si>
    <t>la performance à 95%.</t>
  </si>
  <si>
    <t xml:space="preserve">Définitions </t>
  </si>
  <si>
    <r>
      <rPr>
        <b/>
        <sz val="11"/>
        <color theme="1"/>
        <rFont val="Calibri"/>
        <family val="2"/>
        <scheme val="minor"/>
      </rPr>
      <t>La tendance</t>
    </r>
    <r>
      <rPr>
        <sz val="11"/>
        <color theme="1"/>
        <rFont val="Calibri"/>
        <family val="2"/>
        <scheme val="minor"/>
      </rPr>
      <t xml:space="preserve"> d’un indicateur de performance ou d’un niveau de service reflète le comportement mesuré en se basant sur l’historique des résultats et en proposant, si voulu, des projections.</t>
    </r>
  </si>
  <si>
    <r>
      <rPr>
        <b/>
        <sz val="11"/>
        <color theme="1"/>
        <rFont val="Calibri"/>
        <family val="2"/>
        <scheme val="minor"/>
      </rPr>
      <t>La performance actuelle</t>
    </r>
    <r>
      <rPr>
        <sz val="11"/>
        <color theme="1"/>
        <rFont val="Calibri"/>
        <family val="2"/>
        <scheme val="minor"/>
      </rPr>
      <t xml:space="preserve"> est le résultat de la mesure à l’instant présent. Ce résultat est à comparer avec la cible ou la performance souhaitée.</t>
    </r>
  </si>
  <si>
    <r>
      <rPr>
        <b/>
        <sz val="11"/>
        <color theme="1"/>
        <rFont val="Calibri"/>
        <family val="2"/>
        <scheme val="minor"/>
      </rPr>
      <t>La performance souhaitée</t>
    </r>
    <r>
      <rPr>
        <sz val="11"/>
        <color theme="1"/>
        <rFont val="Calibri"/>
        <family val="2"/>
        <scheme val="minor"/>
      </rPr>
      <t xml:space="preserve">, ou « cible » est le résultat que la municipalité cherche à obtenir vis-à-vis de la mesure. La performance souhaitée peut donc être plus basse, équivalente ou plus haute que la performance actuelle selon les objectifs visés </t>
    </r>
  </si>
  <si>
    <t>par la municipalité.</t>
  </si>
  <si>
    <t>Partie 4 - Risques et demande</t>
  </si>
  <si>
    <r>
      <t xml:space="preserve">Il est fortement recommandé de consulter le </t>
    </r>
    <r>
      <rPr>
        <i/>
        <sz val="11"/>
        <color theme="8" tint="-0.249977111117893"/>
        <rFont val="Calibri"/>
        <family val="2"/>
        <scheme val="minor"/>
      </rPr>
      <t xml:space="preserve">Guide d'élaboration d'un plan de gestion des actifs municipaux </t>
    </r>
    <r>
      <rPr>
        <sz val="11"/>
        <color theme="8" tint="-0.249977111117893"/>
        <rFont val="Calibri"/>
        <family val="2"/>
        <scheme val="minor"/>
      </rPr>
      <t xml:space="preserve">(CERIU) et les </t>
    </r>
    <r>
      <rPr>
        <i/>
        <sz val="11"/>
        <color theme="8" tint="-0.249977111117893"/>
        <rFont val="Calibri"/>
        <family val="2"/>
        <scheme val="minor"/>
      </rPr>
      <t>Fiches techniques en eau</t>
    </r>
    <r>
      <rPr>
        <sz val="11"/>
        <color theme="8" tint="-0.249977111117893"/>
        <rFont val="Calibri"/>
        <family val="2"/>
        <scheme val="minor"/>
      </rPr>
      <t xml:space="preserve"> (CERIU) pour remplir les sections. </t>
    </r>
  </si>
  <si>
    <t>4A-EP et 4B-EP</t>
  </si>
  <si>
    <t>4A-EU et 4B-EU</t>
  </si>
  <si>
    <t>4A-EPL et 4B-EPL</t>
  </si>
  <si>
    <t xml:space="preserve">   Les fiches techniques comportent de nombreux exemples pour vous orienter dans la démarche</t>
  </si>
  <si>
    <t>Partie 4 : Gestion des risques et de la demande à venir</t>
  </si>
  <si>
    <t>Lisez attentivement la section avant de commencer à remplir</t>
  </si>
  <si>
    <t>Lorsque vous aurez terminé de compléter toutes les informations obligatoires, vérifier que votre statut est « complété » avant de poursuivre sur les autres parties.</t>
  </si>
  <si>
    <t>Cette partie est divisée en deux : Gestion des risques et Demande à venir.</t>
  </si>
  <si>
    <t xml:space="preserve">  Risques</t>
  </si>
  <si>
    <t>Des catégories de risques sont listées dans le tableau afin de vous aider. Veuillez indiquer le niveau de risque correspondant à chaque catégorie.</t>
  </si>
  <si>
    <t xml:space="preserve">   Les coûts associés aux risques sont expliqués dans la partie 5.</t>
  </si>
  <si>
    <t xml:space="preserve">  Demande</t>
  </si>
  <si>
    <t>Des catégories de changements sont listées dans le tableau afin de vous aider. Veuillez indiquer le type de changement anticipé correspondant à chaque catégorie.</t>
  </si>
  <si>
    <t xml:space="preserve">   Les coûts associés à la demande sont expliqués dans la partie 5.</t>
  </si>
  <si>
    <r>
      <rPr>
        <sz val="11"/>
        <color theme="8" tint="-0.249977111117893"/>
        <rFont val="Calibri"/>
        <family val="2"/>
        <scheme val="minor"/>
      </rPr>
      <t xml:space="preserve">Il est fortement recommandé de consulter le </t>
    </r>
    <r>
      <rPr>
        <i/>
        <sz val="11"/>
        <color theme="8" tint="-0.249977111117893"/>
        <rFont val="Calibri"/>
        <family val="2"/>
        <scheme val="minor"/>
      </rPr>
      <t>Guide d'élaboration d'un plan de gestion des actifs municipaux</t>
    </r>
    <r>
      <rPr>
        <sz val="11"/>
        <color theme="8" tint="-0.249977111117893"/>
        <rFont val="Calibri"/>
        <family val="2"/>
        <scheme val="minor"/>
      </rPr>
      <t xml:space="preserve"> (CERIU) et les </t>
    </r>
    <r>
      <rPr>
        <i/>
        <sz val="11"/>
        <color theme="8" tint="-0.249977111117893"/>
        <rFont val="Calibri"/>
        <family val="2"/>
        <scheme val="minor"/>
      </rPr>
      <t>Fiches techniques en eau</t>
    </r>
    <r>
      <rPr>
        <sz val="11"/>
        <color theme="8" tint="-0.249977111117893"/>
        <rFont val="Calibri"/>
        <family val="2"/>
        <scheme val="minor"/>
      </rPr>
      <t xml:space="preserve"> (CERIU) pour remplir les sections. </t>
    </r>
  </si>
  <si>
    <t>5-EP</t>
  </si>
  <si>
    <t>5-EU/EPL</t>
  </si>
  <si>
    <t>Partie 5 : Gestion sur le cycle de vie</t>
  </si>
  <si>
    <t xml:space="preserve">La section est divisée en deux : une section dédiée au budget actuel et une autre section dédiée aux coûts prévisionnels (besoins). </t>
  </si>
  <si>
    <t xml:space="preserve">Le  budget actuel correspond au budget, voté par le conseil municipal, pour assurer un service fourni aux citoyens par la municipalité. Le budget actuel, annuel et relié avec l’année civile en cours, s’exprime comme un montant financier. </t>
  </si>
  <si>
    <t xml:space="preserve">Pour évaluer ce budget, il est nécessaire de recenser les données budgétaires disponibles au sein de votre municipalité. </t>
  </si>
  <si>
    <t>par regroupement usuel, correspondants à la portion de chaque phase du cycle de vie à partir des données budgétaires entièrement ou partiellement déterminées par regroupement usuel.</t>
  </si>
  <si>
    <t>Les coûts prévisionnels correspondent aux besoins, c’est-à-dire les coûts nécessaires pour continuer à délivrer les services au niveau actuel aux citoyens.</t>
  </si>
  <si>
    <t>Pour cela, il est nécessaire de faire une estimation de vos besoins pour les 10 prochaines années et les répartir selon les 5 phases du cycle de vie de l’actif en vous aidant des budgets actuels estimés à la section précédente.</t>
  </si>
  <si>
    <r>
      <t xml:space="preserve">Les informations obligatoires à remplir sont vos </t>
    </r>
    <r>
      <rPr>
        <b/>
        <sz val="11"/>
        <color theme="1"/>
        <rFont val="Calibri"/>
        <family val="2"/>
        <scheme val="minor"/>
      </rPr>
      <t xml:space="preserve">coûts pour le maintien du service actuel et vos coûts additionnels. </t>
    </r>
    <r>
      <rPr>
        <sz val="11"/>
        <color theme="1"/>
        <rFont val="Calibri"/>
        <family val="2"/>
        <scheme val="minor"/>
      </rPr>
      <t xml:space="preserve">Ces derniers sont des coûts anticipés pour gérer ce qui s’en vient dans votre municipalité. </t>
    </r>
  </si>
  <si>
    <r>
      <t>Les</t>
    </r>
    <r>
      <rPr>
        <b/>
        <sz val="11"/>
        <color theme="1"/>
        <rFont val="Calibri"/>
        <family val="2"/>
        <scheme val="minor"/>
      </rPr>
      <t xml:space="preserve"> coûts additionnels comprennent</t>
    </r>
    <r>
      <rPr>
        <sz val="11"/>
        <color theme="1"/>
        <rFont val="Calibri"/>
        <family val="2"/>
        <scheme val="minor"/>
      </rPr>
      <t xml:space="preserve"> les coûts liés aux acquisitions futures, liés à la gestion des niveaux de service, liés à la gestion de la demande à venir et à la gestion des risques. </t>
    </r>
  </si>
  <si>
    <r>
      <t xml:space="preserve">Si vous inscrivez des montants pour les acquisitions futures, la gestion des niveaux de service, la gestion de la demande à venir et des risques, la somme des coûts doit correspondre aux </t>
    </r>
    <r>
      <rPr>
        <b/>
        <sz val="11"/>
        <color theme="1"/>
        <rFont val="Calibri"/>
        <family val="2"/>
        <scheme val="minor"/>
      </rPr>
      <t>« coûts additionnels totaux »</t>
    </r>
    <r>
      <rPr>
        <sz val="11"/>
        <color theme="1"/>
        <rFont val="Calibri"/>
        <family val="2"/>
        <scheme val="minor"/>
      </rPr>
      <t xml:space="preserve">. Le total des coûts additionnels </t>
    </r>
  </si>
  <si>
    <t>ne se fait pas automatiquement et l’information doit être reportée manuellement pour permettre aux municipalités qui n’ont pas encore entamé une réflexion sur la gestion des niveaux de service, de la demande à venir ou du risque et qui ne</t>
  </si>
  <si>
    <r>
      <t xml:space="preserve">Dans le cas du renouvellement, vous devez indiquer des coûts liés au </t>
    </r>
    <r>
      <rPr>
        <b/>
        <sz val="11"/>
        <rFont val="Calibri"/>
        <family val="2"/>
        <scheme val="minor"/>
      </rPr>
      <t>déficit de maintien</t>
    </r>
    <r>
      <rPr>
        <sz val="11"/>
        <rFont val="Calibri"/>
        <family val="2"/>
        <scheme val="minor"/>
      </rPr>
      <t xml:space="preserve">, qui correspondent aux coûts pouvant permettre le rattrapage du retard sur le renouvellement. Vous pouvez inscrire un montant global à la première année </t>
    </r>
  </si>
  <si>
    <t>ou répartir les coûts sur les 10 prochaines années.</t>
  </si>
  <si>
    <r>
      <rPr>
        <b/>
        <sz val="11"/>
        <color theme="1"/>
        <rFont val="Calibri"/>
        <family val="2"/>
        <scheme val="minor"/>
      </rPr>
      <t>Déficit de maintien (rattrapage)</t>
    </r>
    <r>
      <rPr>
        <sz val="11"/>
        <color theme="1"/>
        <rFont val="Calibri"/>
        <family val="2"/>
        <scheme val="minor"/>
      </rPr>
      <t xml:space="preserve"> : Travaux qui visent à rétablir l’état physique d’un actif afin d’assurer la santé et la sécurité des personnes, de poursuivre son utilisation aux fins auxquelles il est destiné, de réduire la probabilité de défaillance </t>
    </r>
  </si>
  <si>
    <t>ou de contrer sa vétusté physique.</t>
  </si>
  <si>
    <t>6-SE</t>
  </si>
  <si>
    <t>Partie 6 : Résumé Financier</t>
  </si>
  <si>
    <t>Les coûts prévisionnels inscrits dans la partie 5 s’affichent automatiquement pour chaque phase du cycle de vie de l’actif et selon les sous-catégories.</t>
  </si>
  <si>
    <t xml:space="preserve">Les informations obligatoires à renseigner sont les revenus du gouvernement provincial et les revenus générés par votre municipalité. Le budget total planifié par la municipalité et le déficit de financement sont calculés automatiquement </t>
  </si>
  <si>
    <t>en fonction des données renseignées. Les revenus générés par la municipalité peuvent être toute autre forme de financement telle que la taxe foncière générale, la taxe spéciale générale ou de secteur, la tarification, la redevance réglementaire etc.</t>
  </si>
  <si>
    <r>
      <rPr>
        <b/>
        <sz val="11"/>
        <color theme="1"/>
        <rFont val="Calibri"/>
        <family val="2"/>
        <scheme val="minor"/>
      </rPr>
      <t xml:space="preserve"> Le déficit de financement</t>
    </r>
    <r>
      <rPr>
        <sz val="11"/>
        <color theme="1"/>
        <rFont val="Calibri"/>
        <family val="2"/>
        <scheme val="minor"/>
      </rPr>
      <t xml:space="preserve"> représente la différence entre les besoins totaux de financement (coûts prévisionnels) sur une période donnée et les budgets planifiés (ce que la municipalité prévoit de financer sur cette période).</t>
    </r>
  </si>
  <si>
    <t>7-SE</t>
  </si>
  <si>
    <t>Partie 7 : Amélioration et suivi</t>
  </si>
  <si>
    <t>La section est divisée en deux : une section dédiée à votre niveau de confiance dans les données et une autre dédiée à votre niveau de progression dans la démarche.</t>
  </si>
  <si>
    <t>Niveau de progression dans les démarches de réalisation du PGA</t>
  </si>
  <si>
    <t>La réalisation de cette partie permet à la municipalité de s’autoévaluer et noter son niveau pour chaque partie du PGA. Cela permet alors de se donner des objectifs d’amélioration pour une ou plusieurs parties.</t>
  </si>
  <si>
    <t>Le sommaire général est la combinaison de l'ensemble de tous vos sommaires par service.</t>
  </si>
  <si>
    <r>
      <t xml:space="preserve">La section table des matières du formulaire permet de voir l’évolution du remplissage du formulaire. 
Le statut des parties complétées se met automatiquement à jour sur </t>
    </r>
    <r>
      <rPr>
        <b/>
        <sz val="11"/>
        <rFont val="Calibri"/>
        <family val="2"/>
        <scheme val="minor"/>
      </rPr>
      <t>« complété »</t>
    </r>
    <r>
      <rPr>
        <sz val="11"/>
        <rFont val="Calibri"/>
        <family val="2"/>
        <scheme val="minor"/>
      </rPr>
      <t xml:space="preserve"> et celles qui ne sont pas encore complétées demeurent sur le statut « </t>
    </r>
    <r>
      <rPr>
        <b/>
        <sz val="11"/>
        <rFont val="Calibri"/>
        <family val="2"/>
        <scheme val="minor"/>
      </rPr>
      <t>À compléter</t>
    </r>
    <r>
      <rPr>
        <sz val="11"/>
        <rFont val="Calibri"/>
        <family val="2"/>
        <scheme val="minor"/>
      </rPr>
      <t xml:space="preserve"> ». </t>
    </r>
  </si>
  <si>
    <t>Il n'est pas possible de modifier les graphiques, car ils sont générés automatiquement à partir des données renseignées dans les formulaires. Il n'est pas non plus possible de copier les graphiques. 
Si vous souhaitez exploiter les graphiques, nous vous suggérons de faire une capture d'écran.</t>
  </si>
  <si>
    <t>Cinq niveaux de confiance sont définis dans le cadre du PGA (Très faible, Faible, Moyen, Bon et Excellent). Pour chaque partie du PGA, vous devez inscrire votre niveau de confiance sur les données utilisées. 
Le cumulatif est généré automatiquement pour chaque partie. Vous pouvez aussi définir votre horizon d'amélioration à court, moyen ou long terme.</t>
  </si>
  <si>
    <t>Il est important d’indiquer la confiance dans les données présentées dans les différentes parties du PGA, car elles permettent de mettre en perspective les résultats. En effet, un graphique indiquant que la confiance dans les données est « Moyen » sera analysé avec plus de précaution que celui dont le niveau de confiance dans les données est « Excellent ». Cependant, il est important de rappeler que débuter le PGA avec des données dont la confiance est « Très faible » n’est pas un enjeu, car l’objectif premier est de prendre connaissance des notions, de les appliquer, de prioriser les données à améliorer et de consolider la confiance au fur et à mesure.</t>
  </si>
  <si>
    <t>Cinq niveaux de progression sont définis dans le cadre du PGA (Débutant, Élémentaire, Intermédiaire, Avancé, Expert), Pour chaque partie du PGA, inscrivez votre niveau de progression dans la démarche. 
Le cumulatif est généré automatiquement pour chaque partie. Vous pouvez aussi définir votre horizon d'amélioration à court, moyen ou long terme.</t>
  </si>
  <si>
    <t>Remarques</t>
  </si>
  <si>
    <t>&gt;&gt;  Voici les différents symboles que vous retrouverez dans les formulaires:</t>
  </si>
  <si>
    <t>Indique un niveau de confiance excellent (5)</t>
  </si>
  <si>
    <t>Indique un niveau de confiance bon (4)</t>
  </si>
  <si>
    <t>Indique un niveau de confiance moyen (3)</t>
  </si>
  <si>
    <t>Indique un niveau de confiance faible (2)</t>
  </si>
  <si>
    <t>Indique un niveau de confiance très faible (1 ou moins)</t>
  </si>
  <si>
    <t>https://www.donneesquebec.ca/recherche/dataset/repertoire-des-municipalites-du-quebec/resource/19385b4e-5503-4330-9e59-f998f5918363</t>
  </si>
  <si>
    <t xml:space="preserve">Deux sous-services sont identifiés pour l’eau potable (consultez la fiche 1-EP Catégorisation) :  </t>
  </si>
  <si>
    <t>Coûts prévisionnels (besoins)</t>
  </si>
  <si>
    <t xml:space="preserve">Ce budget doit être réparti selon les 5 phases du cycle de vie de l’actif (Exploitation, Entretien, Renouvellement, Acquisition, Disposition) et par sous-service.  Pour cela, il est suggéré d’appliquer des pourcentages (%) sur les budgets actuels </t>
  </si>
  <si>
    <t>Deux sous-services sont identifiés pour les eaux usées (consultez la fiche 1-EU Catégorisation) :</t>
  </si>
  <si>
    <t>Un seul sous-service est identifié pour les eaux pluviales (consultez la fiche 1-EPL Catégorisation) :</t>
  </si>
  <si>
    <t>souhaitent pas indiquer des montants de poursuivre dans la planification des coûts sur le cycle de vie de leurs actifs. Les municipalités, se trouvant dans ces cas de figure, peuvent seulement inscrire un montant global dans « coûts additionnels totaux ».</t>
  </si>
  <si>
    <t>Partie 4:  Risques et demande</t>
  </si>
  <si>
    <t xml:space="preserve"> Partie 4 - Risques et demande</t>
  </si>
  <si>
    <t xml:space="preserve"> Partie 4 - Risques et demande (suite)</t>
  </si>
  <si>
    <t>PARTIE 4 RISQUES ET DEMANDE</t>
  </si>
  <si>
    <t>&gt;&gt;  Dans les sommaires, vous retrouverez un symbole illustrant le niveau de confiance associé à chacun des visuels proposés, en fonction de ce qui aura été saisi. Voici ce que signifie chacun des symboles: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</si>
</sst>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0\ &quot;$&quot;_);\(#,##0\ &quot;$&quot;\)"/>
    <numFmt numFmtId="6" formatCode="#,##0\ &quot;$&quot;_);[Red]\(#,##0\ &quot;$&quot;\)"/>
    <numFmt numFmtId="164" formatCode="#,##0\ &quot;$&quot;"/>
    <numFmt numFmtId="165" formatCode="0.0%"/>
    <numFmt numFmtId="166" formatCode="0.0"/>
    <numFmt numFmtId="167" formatCode="General&quot; km&quot;"/>
    <numFmt numFmtId="168" formatCode="General&quot; ouvrages&quot;"/>
    <numFmt numFmtId="169" formatCode="yyyy/mm/dd;@"/>
    <numFmt numFmtId="170" formatCode="0.000"/>
  </numFmts>
  <fonts count="325" x14ac:knownFonts="1">
    <font>
      <sz val="11"/>
      <color theme="1"/>
      <name val="Calibri"/>
      <family val="2"/>
      <scheme val="minor"/>
    </font>
    <font>
      <b/>
      <sz val="14"/>
      <color theme="0"/>
      <name val="Calibri"/>
      <family val="2"/>
      <scheme val="minor"/>
    </font>
    <font>
      <b/>
      <sz val="12"/>
      <color theme="0"/>
      <name val="Calibri"/>
      <family val="2"/>
      <scheme val="minor"/>
    </font>
    <font>
      <i/>
      <sz val="10"/>
      <color theme="1"/>
      <name val="Calibri"/>
      <family val="2"/>
      <scheme val="minor"/>
    </font>
    <font>
      <sz val="9"/>
      <color theme="1"/>
      <name val="Calibri"/>
      <family val="2"/>
      <scheme val="minor"/>
    </font>
    <font>
      <sz val="10"/>
      <color theme="1"/>
      <name val="Calibri"/>
      <family val="2"/>
      <scheme val="minor"/>
    </font>
    <font>
      <sz val="10"/>
      <name val="Calibri"/>
      <family val="2"/>
      <scheme val="minor"/>
    </font>
    <font>
      <b/>
      <sz val="16"/>
      <color theme="0"/>
      <name val="Calibri"/>
      <family val="2"/>
      <scheme val="minor"/>
    </font>
    <font>
      <sz val="10"/>
      <color rgb="FFFF0000"/>
      <name val="Calibri"/>
      <family val="2"/>
      <scheme val="minor"/>
    </font>
    <font>
      <i/>
      <sz val="11"/>
      <name val="Calibri"/>
      <family val="2"/>
      <scheme val="minor"/>
    </font>
    <font>
      <sz val="11"/>
      <color theme="0"/>
      <name val="Calibri"/>
      <family val="2"/>
      <scheme val="minor"/>
    </font>
    <font>
      <sz val="12"/>
      <color theme="0"/>
      <name val="Calibri"/>
      <family val="2"/>
      <scheme val="minor"/>
    </font>
    <font>
      <sz val="11"/>
      <color theme="4" tint="-0.499984740745262"/>
      <name val="Calibri"/>
      <family val="2"/>
      <scheme val="minor"/>
    </font>
    <font>
      <b/>
      <sz val="14"/>
      <color theme="4" tint="-0.499984740745262"/>
      <name val="Calibri"/>
      <family val="2"/>
      <scheme val="minor"/>
    </font>
    <font>
      <sz val="10"/>
      <color theme="4" tint="-0.499984740745262"/>
      <name val="Calibri"/>
      <family val="2"/>
      <scheme val="minor"/>
    </font>
    <font>
      <sz val="9"/>
      <color theme="4" tint="-0.499984740745262"/>
      <name val="Calibri"/>
      <family val="2"/>
      <scheme val="minor"/>
    </font>
    <font>
      <b/>
      <sz val="10"/>
      <color theme="4" tint="-0.499984740745262"/>
      <name val="Calibri"/>
      <family val="2"/>
      <scheme val="minor"/>
    </font>
    <font>
      <b/>
      <sz val="11"/>
      <color theme="8" tint="-0.499984740745262"/>
      <name val="Calibri"/>
      <family val="2"/>
      <scheme val="minor"/>
    </font>
    <font>
      <sz val="11"/>
      <color theme="8" tint="-0.499984740745262"/>
      <name val="Calibri"/>
      <family val="2"/>
      <scheme val="minor"/>
    </font>
    <font>
      <sz val="10"/>
      <color theme="8" tint="-0.499984740745262"/>
      <name val="Calibri"/>
      <family val="2"/>
      <scheme val="minor"/>
    </font>
    <font>
      <sz val="9"/>
      <color theme="8" tint="-0.499984740745262"/>
      <name val="Calibri"/>
      <family val="2"/>
      <scheme val="minor"/>
    </font>
    <font>
      <b/>
      <sz val="13"/>
      <color theme="0"/>
      <name val="Calibri"/>
      <family val="2"/>
      <scheme val="minor"/>
    </font>
    <font>
      <sz val="10"/>
      <color theme="9" tint="-0.249977111117893"/>
      <name val="Calibri"/>
      <family val="2"/>
      <scheme val="minor"/>
    </font>
    <font>
      <i/>
      <sz val="9"/>
      <color theme="1"/>
      <name val="Calibri"/>
      <family val="2"/>
      <scheme val="minor"/>
    </font>
    <font>
      <sz val="10"/>
      <color rgb="FF002060"/>
      <name val="Calibri"/>
      <family val="2"/>
      <scheme val="minor"/>
    </font>
    <font>
      <b/>
      <sz val="11"/>
      <color rgb="FF002060"/>
      <name val="Calibri"/>
      <family val="2"/>
      <scheme val="minor"/>
    </font>
    <font>
      <sz val="11"/>
      <color rgb="FF002060"/>
      <name val="Calibri"/>
      <family val="2"/>
      <scheme val="minor"/>
    </font>
    <font>
      <b/>
      <sz val="10"/>
      <color rgb="FF002060"/>
      <name val="Calibri"/>
      <family val="2"/>
      <scheme val="minor"/>
    </font>
    <font>
      <b/>
      <sz val="11"/>
      <color theme="0"/>
      <name val="Calibri"/>
      <family val="2"/>
      <scheme val="minor"/>
    </font>
    <font>
      <b/>
      <sz val="11"/>
      <color theme="4" tint="-0.499984740745262"/>
      <name val="Calibri"/>
      <family val="2"/>
      <scheme val="minor"/>
    </font>
    <font>
      <sz val="15"/>
      <name val="Calibri"/>
      <family val="2"/>
      <scheme val="minor"/>
    </font>
    <font>
      <sz val="10"/>
      <color theme="0"/>
      <name val="Calibri"/>
      <family val="2"/>
      <scheme val="minor"/>
    </font>
    <font>
      <b/>
      <sz val="14"/>
      <color theme="8" tint="-0.499984740745262"/>
      <name val="Calibri"/>
      <family val="2"/>
      <scheme val="minor"/>
    </font>
    <font>
      <sz val="9"/>
      <color rgb="FF002060"/>
      <name val="Calibri"/>
      <family val="2"/>
      <scheme val="minor"/>
    </font>
    <font>
      <sz val="11"/>
      <color rgb="FF9C0006"/>
      <name val="Calibri"/>
      <family val="2"/>
      <scheme val="minor"/>
    </font>
    <font>
      <b/>
      <sz val="11"/>
      <color theme="1"/>
      <name val="Calibri"/>
      <family val="2"/>
      <scheme val="minor"/>
    </font>
    <font>
      <b/>
      <sz val="12"/>
      <color theme="1"/>
      <name val="Calibri"/>
      <family val="2"/>
      <scheme val="minor"/>
    </font>
    <font>
      <b/>
      <sz val="10"/>
      <color theme="1"/>
      <name val="Calibri"/>
      <family val="2"/>
      <scheme val="minor"/>
    </font>
    <font>
      <i/>
      <sz val="11"/>
      <color theme="1"/>
      <name val="Calibri"/>
      <family val="2"/>
      <scheme val="minor"/>
    </font>
    <font>
      <b/>
      <sz val="10"/>
      <color rgb="FFFF0000"/>
      <name val="Calibri"/>
      <family val="2"/>
      <scheme val="minor"/>
    </font>
    <font>
      <sz val="8"/>
      <color theme="1"/>
      <name val="Calibri"/>
      <family val="2"/>
      <scheme val="minor"/>
    </font>
    <font>
      <b/>
      <sz val="8"/>
      <color theme="1"/>
      <name val="Calibri"/>
      <family val="2"/>
      <scheme val="minor"/>
    </font>
    <font>
      <b/>
      <sz val="14"/>
      <color rgb="FFC00000"/>
      <name val="Calibri"/>
      <family val="2"/>
      <scheme val="minor"/>
    </font>
    <font>
      <i/>
      <sz val="10"/>
      <name val="Calibri"/>
      <family val="2"/>
      <scheme val="minor"/>
    </font>
    <font>
      <sz val="11"/>
      <name val="Calibri"/>
      <family val="2"/>
      <scheme val="minor"/>
    </font>
    <font>
      <sz val="11"/>
      <color theme="5"/>
      <name val="Calibri"/>
      <family val="2"/>
      <scheme val="minor"/>
    </font>
    <font>
      <sz val="9"/>
      <color rgb="FF002060"/>
      <name val="Calibri Light"/>
      <family val="2"/>
      <scheme val="major"/>
    </font>
    <font>
      <b/>
      <sz val="9"/>
      <color theme="8" tint="-0.499984740745262"/>
      <name val="Calibri"/>
      <family val="2"/>
      <scheme val="minor"/>
    </font>
    <font>
      <b/>
      <sz val="9"/>
      <color theme="4" tint="-0.499984740745262"/>
      <name val="Calibri"/>
      <family val="2"/>
      <scheme val="minor"/>
    </font>
    <font>
      <sz val="9"/>
      <color theme="1" tint="0.499984740745262"/>
      <name val="Calibri"/>
      <family val="2"/>
      <scheme val="minor"/>
    </font>
    <font>
      <sz val="8"/>
      <color theme="1" tint="0.499984740745262"/>
      <name val="Calibri"/>
      <family val="2"/>
      <scheme val="minor"/>
    </font>
    <font>
      <sz val="9"/>
      <color theme="1"/>
      <name val="Calibri Light"/>
      <family val="2"/>
      <scheme val="major"/>
    </font>
    <font>
      <sz val="12"/>
      <color theme="9" tint="-0.249977111117893"/>
      <name val="Wingdings 3"/>
      <family val="1"/>
      <charset val="2"/>
    </font>
    <font>
      <sz val="9"/>
      <color theme="8" tint="-0.499984740745262"/>
      <name val="Calibri Light"/>
      <family val="2"/>
      <scheme val="major"/>
    </font>
    <font>
      <sz val="14"/>
      <color theme="1"/>
      <name val="Calibri"/>
      <family val="2"/>
      <scheme val="minor"/>
    </font>
    <font>
      <sz val="16"/>
      <color theme="0"/>
      <name val="Calibri"/>
      <family val="2"/>
      <scheme val="minor"/>
    </font>
    <font>
      <sz val="16"/>
      <color theme="1"/>
      <name val="Calibri"/>
      <family val="2"/>
      <scheme val="minor"/>
    </font>
    <font>
      <sz val="12"/>
      <color theme="4" tint="-0.499984740745262"/>
      <name val="Calibri"/>
      <family val="2"/>
      <scheme val="minor"/>
    </font>
    <font>
      <sz val="9"/>
      <color rgb="FFFF0000"/>
      <name val="Calibri"/>
      <family val="2"/>
      <scheme val="minor"/>
    </font>
    <font>
      <u/>
      <sz val="10"/>
      <color rgb="FFFF0000"/>
      <name val="Calibri"/>
      <family val="2"/>
      <scheme val="minor"/>
    </font>
    <font>
      <i/>
      <sz val="9"/>
      <color theme="4" tint="-0.499984740745262"/>
      <name val="Calibri"/>
      <family val="2"/>
      <scheme val="minor"/>
    </font>
    <font>
      <sz val="11"/>
      <color rgb="FFFF0000"/>
      <name val="Calibri"/>
      <family val="2"/>
      <scheme val="minor"/>
    </font>
    <font>
      <sz val="10"/>
      <color rgb="FF9C0006"/>
      <name val="Calibri"/>
      <family val="2"/>
      <scheme val="minor"/>
    </font>
    <font>
      <i/>
      <u/>
      <sz val="9"/>
      <color rgb="FF0070C0"/>
      <name val="Calibri"/>
      <family val="2"/>
      <scheme val="minor"/>
    </font>
    <font>
      <i/>
      <sz val="10"/>
      <color rgb="FFFF0000"/>
      <name val="Calibri"/>
      <family val="2"/>
      <scheme val="minor"/>
    </font>
    <font>
      <sz val="10"/>
      <color theme="1"/>
      <name val="Webdings"/>
      <family val="1"/>
      <charset val="2"/>
    </font>
    <font>
      <sz val="11"/>
      <color theme="1"/>
      <name val="Webdings"/>
      <family val="1"/>
      <charset val="2"/>
    </font>
    <font>
      <sz val="9"/>
      <color theme="1"/>
      <name val="Webdings"/>
      <family val="1"/>
      <charset val="2"/>
    </font>
    <font>
      <b/>
      <sz val="10"/>
      <color theme="1"/>
      <name val="Webdings"/>
      <family val="1"/>
      <charset val="2"/>
    </font>
    <font>
      <b/>
      <sz val="9"/>
      <color rgb="FFFF0000"/>
      <name val="Calibri"/>
      <family val="2"/>
      <scheme val="minor"/>
    </font>
    <font>
      <sz val="10"/>
      <color theme="4" tint="-0.499984740745262"/>
      <name val="Bahnschrift Light Condensed"/>
      <family val="2"/>
    </font>
    <font>
      <sz val="16"/>
      <color theme="4" tint="-0.499984740745262"/>
      <name val="Calibri"/>
      <family val="2"/>
      <scheme val="minor"/>
    </font>
    <font>
      <sz val="10"/>
      <color rgb="FFFF0000"/>
      <name val="Bahnschrift Light Condensed"/>
      <family val="2"/>
    </font>
    <font>
      <b/>
      <sz val="14"/>
      <color theme="1"/>
      <name val="Calibri"/>
      <family val="2"/>
      <scheme val="minor"/>
    </font>
    <font>
      <b/>
      <sz val="18"/>
      <color theme="0"/>
      <name val="Calibri"/>
      <family val="2"/>
      <scheme val="minor"/>
    </font>
    <font>
      <sz val="10"/>
      <color theme="4" tint="-0.499984740745262"/>
      <name val="Bahnschrift Light SemiCondensed"/>
      <family val="2"/>
    </font>
    <font>
      <sz val="10"/>
      <color theme="1"/>
      <name val="Bahnschrift Light SemiCondensed"/>
      <family val="2"/>
    </font>
    <font>
      <sz val="11"/>
      <color theme="1"/>
      <name val="Bahnschrift Light SemiCondensed"/>
      <family val="2"/>
    </font>
    <font>
      <i/>
      <sz val="11"/>
      <color theme="1" tint="0.499984740745262"/>
      <name val="Calibri"/>
      <family val="2"/>
      <scheme val="minor"/>
    </font>
    <font>
      <i/>
      <sz val="10"/>
      <color theme="1" tint="0.499984740745262"/>
      <name val="Calibri"/>
      <family val="2"/>
      <scheme val="minor"/>
    </font>
    <font>
      <sz val="9"/>
      <color theme="4" tint="-0.499984740745262"/>
      <name val="Bahnschrift Light SemiCondensed"/>
      <family val="2"/>
    </font>
    <font>
      <sz val="11"/>
      <color theme="4" tint="-0.499984740745262"/>
      <name val="Bahnschrift Light SemiCondensed"/>
      <family val="2"/>
    </font>
    <font>
      <b/>
      <sz val="11"/>
      <color rgb="FF002060"/>
      <name val="Bahnschrift Light SemiCondensed"/>
      <family val="2"/>
    </font>
    <font>
      <sz val="11"/>
      <color rgb="FF002060"/>
      <name val="Bahnschrift Light SemiCondensed"/>
      <family val="2"/>
    </font>
    <font>
      <sz val="10"/>
      <color rgb="FF002060"/>
      <name val="Bahnschrift Light SemiCondensed"/>
      <family val="2"/>
    </font>
    <font>
      <b/>
      <sz val="11"/>
      <color theme="8" tint="-0.499984740745262"/>
      <name val="Bahnschrift Light SemiCondensed"/>
      <family val="2"/>
    </font>
    <font>
      <sz val="11"/>
      <color rgb="FF006100"/>
      <name val="Calibri"/>
      <family val="2"/>
      <scheme val="minor"/>
    </font>
    <font>
      <sz val="11"/>
      <color theme="8" tint="-0.499984740745262"/>
      <name val="Bahnschrift Light SemiCondensed"/>
      <family val="2"/>
    </font>
    <font>
      <sz val="10"/>
      <color theme="8" tint="-0.499984740745262"/>
      <name val="Bahnschrift Light SemiCondensed"/>
      <family val="2"/>
    </font>
    <font>
      <sz val="10"/>
      <name val="Webdings"/>
      <family val="1"/>
      <charset val="2"/>
    </font>
    <font>
      <sz val="10"/>
      <color rgb="FF006100"/>
      <name val="Calibri"/>
      <family val="2"/>
      <scheme val="minor"/>
    </font>
    <font>
      <i/>
      <u/>
      <sz val="11"/>
      <color rgb="FF0070C0"/>
      <name val="Calibri"/>
      <family val="2"/>
      <scheme val="minor"/>
    </font>
    <font>
      <b/>
      <sz val="10"/>
      <color rgb="FFFF0000"/>
      <name val="Webdings"/>
      <family val="1"/>
      <charset val="2"/>
    </font>
    <font>
      <b/>
      <sz val="11"/>
      <color rgb="FFFF0000"/>
      <name val="Calibri"/>
      <family val="2"/>
      <scheme val="minor"/>
    </font>
    <font>
      <b/>
      <sz val="9"/>
      <name val="Calibri"/>
      <family val="2"/>
      <scheme val="minor"/>
    </font>
    <font>
      <b/>
      <sz val="10"/>
      <name val="Calibri"/>
      <family val="2"/>
      <scheme val="minor"/>
    </font>
    <font>
      <i/>
      <sz val="9"/>
      <name val="Calibri"/>
      <family val="2"/>
      <scheme val="minor"/>
    </font>
    <font>
      <sz val="12"/>
      <color theme="1"/>
      <name val="Calibri"/>
      <family val="2"/>
      <scheme val="minor"/>
    </font>
    <font>
      <sz val="13"/>
      <color theme="8" tint="-0.499984740745262"/>
      <name val="Bahnschrift Light SemiCondensed"/>
      <family val="2"/>
    </font>
    <font>
      <sz val="12"/>
      <color theme="8" tint="-0.499984740745262"/>
      <name val="Bahnschrift Light SemiCondensed"/>
      <family val="2"/>
    </font>
    <font>
      <sz val="14"/>
      <color theme="8" tint="-0.499984740745262"/>
      <name val="Bahnschrift Light SemiCondensed"/>
      <family val="2"/>
    </font>
    <font>
      <sz val="8"/>
      <color theme="1"/>
      <name val="Bahnschrift Light SemiCondensed"/>
      <family val="2"/>
    </font>
    <font>
      <sz val="9"/>
      <color theme="1" tint="0.499984740745262"/>
      <name val="Bahnschrift Light SemiCondensed"/>
      <family val="2"/>
    </font>
    <font>
      <sz val="8"/>
      <color theme="1" tint="0.499984740745262"/>
      <name val="Bahnschrift Light SemiCondensed"/>
      <family val="2"/>
    </font>
    <font>
      <i/>
      <sz val="9"/>
      <color theme="1"/>
      <name val="Bahnschrift Light SemiCondensed"/>
      <family val="2"/>
    </font>
    <font>
      <sz val="12"/>
      <color theme="4"/>
      <name val="Wingdings 3"/>
      <family val="1"/>
      <charset val="2"/>
    </font>
    <font>
      <sz val="10"/>
      <color theme="4"/>
      <name val="Calibri"/>
      <family val="2"/>
      <scheme val="minor"/>
    </font>
    <font>
      <sz val="14"/>
      <name val="Webdings"/>
      <family val="1"/>
      <charset val="2"/>
    </font>
    <font>
      <i/>
      <sz val="9"/>
      <color rgb="FFFF0000"/>
      <name val="Calibri"/>
      <family val="2"/>
      <scheme val="minor"/>
    </font>
    <font>
      <u/>
      <sz val="11"/>
      <color theme="1"/>
      <name val="Calibri"/>
      <family val="2"/>
      <scheme val="minor"/>
    </font>
    <font>
      <i/>
      <sz val="11"/>
      <color theme="0"/>
      <name val="Calibri"/>
      <family val="2"/>
      <scheme val="minor"/>
    </font>
    <font>
      <sz val="8"/>
      <name val="Calibri"/>
      <family val="2"/>
      <scheme val="minor"/>
    </font>
    <font>
      <u/>
      <sz val="11"/>
      <name val="Calibri"/>
      <family val="2"/>
      <scheme val="minor"/>
    </font>
    <font>
      <sz val="10"/>
      <name val="Wingdings 3"/>
      <family val="1"/>
      <charset val="2"/>
    </font>
    <font>
      <sz val="9"/>
      <name val="Wingdings 3"/>
      <family val="1"/>
      <charset val="2"/>
    </font>
    <font>
      <sz val="9"/>
      <color rgb="FF006100"/>
      <name val="Wingdings 3"/>
      <family val="1"/>
      <charset val="2"/>
    </font>
    <font>
      <b/>
      <sz val="16"/>
      <color rgb="FFC00000"/>
      <name val="Calibri"/>
      <family val="2"/>
      <scheme val="minor"/>
    </font>
    <font>
      <sz val="14"/>
      <color theme="1"/>
      <name val="Wingdings 3"/>
      <family val="1"/>
      <charset val="2"/>
    </font>
    <font>
      <sz val="11"/>
      <name val="Wingdings"/>
      <charset val="2"/>
    </font>
    <font>
      <sz val="10"/>
      <name val="Bahnschrift Light SemiCondensed"/>
      <family val="2"/>
    </font>
    <font>
      <sz val="12"/>
      <name val="Wingdings"/>
      <charset val="2"/>
    </font>
    <font>
      <sz val="10"/>
      <color theme="1"/>
      <name val="Bahnschrift SemiLight SemiConde"/>
      <family val="2"/>
    </font>
    <font>
      <i/>
      <u/>
      <sz val="11"/>
      <color theme="8" tint="-0.249977111117893"/>
      <name val="Calibri"/>
      <family val="2"/>
      <scheme val="minor"/>
    </font>
    <font>
      <u/>
      <sz val="11"/>
      <color theme="10"/>
      <name val="Calibri"/>
      <family val="2"/>
      <scheme val="minor"/>
    </font>
    <font>
      <sz val="9"/>
      <name val="Calibri"/>
      <family val="2"/>
      <scheme val="minor"/>
    </font>
    <font>
      <i/>
      <u/>
      <sz val="9"/>
      <color theme="10"/>
      <name val="Calibri"/>
      <family val="2"/>
      <scheme val="minor"/>
    </font>
    <font>
      <b/>
      <sz val="10"/>
      <color theme="8" tint="-0.499984740745262"/>
      <name val="Calibri"/>
      <family val="2"/>
      <scheme val="minor"/>
    </font>
    <font>
      <sz val="11"/>
      <color rgb="FF002060"/>
      <name val="Bahnschrift SemiLight Condensed"/>
      <family val="2"/>
    </font>
    <font>
      <u/>
      <sz val="12"/>
      <color theme="1"/>
      <name val="Calibri"/>
      <family val="2"/>
      <scheme val="minor"/>
    </font>
    <font>
      <sz val="11"/>
      <color theme="1"/>
      <name val="Bahnschrift SemiLight SemiConde"/>
      <family val="2"/>
    </font>
    <font>
      <b/>
      <sz val="12"/>
      <color theme="4" tint="-0.499984740745262"/>
      <name val="Wingdings 2"/>
      <family val="1"/>
      <charset val="2"/>
    </font>
    <font>
      <b/>
      <sz val="12"/>
      <color theme="1"/>
      <name val="Wingdings 2"/>
      <family val="1"/>
      <charset val="2"/>
    </font>
    <font>
      <sz val="16"/>
      <color theme="4" tint="-0.499984740745262"/>
      <name val="Webdings"/>
      <family val="1"/>
      <charset val="2"/>
    </font>
    <font>
      <sz val="14"/>
      <color theme="4" tint="-0.499984740745262"/>
      <name val="Wingdings 3"/>
      <family val="1"/>
      <charset val="2"/>
    </font>
    <font>
      <sz val="11"/>
      <color theme="5" tint="-0.249977111117893"/>
      <name val="Calibri"/>
      <family val="2"/>
      <scheme val="minor"/>
    </font>
    <font>
      <b/>
      <sz val="12"/>
      <color rgb="FFFF0000"/>
      <name val="Calibri"/>
      <family val="2"/>
      <scheme val="minor"/>
    </font>
    <font>
      <b/>
      <sz val="14"/>
      <color rgb="FFFF0000"/>
      <name val="Calibri"/>
      <family val="2"/>
      <scheme val="minor"/>
    </font>
    <font>
      <b/>
      <sz val="12"/>
      <color theme="8" tint="-0.499984740745262"/>
      <name val="Calibri"/>
      <family val="2"/>
      <scheme val="minor"/>
    </font>
    <font>
      <b/>
      <u/>
      <sz val="11"/>
      <color theme="1"/>
      <name val="Calibri"/>
      <family val="2"/>
      <scheme val="minor"/>
    </font>
    <font>
      <b/>
      <sz val="12"/>
      <color theme="8" tint="-0.499984740745262"/>
      <name val="Bahnschrift Light SemiCondensed"/>
      <family val="2"/>
    </font>
    <font>
      <b/>
      <sz val="11"/>
      <color theme="0"/>
      <name val="Bahnschrift Light SemiCondensed"/>
      <family val="2"/>
    </font>
    <font>
      <b/>
      <sz val="20"/>
      <color theme="0"/>
      <name val="Calibri"/>
      <family val="2"/>
      <scheme val="minor"/>
    </font>
    <font>
      <sz val="9"/>
      <color theme="1"/>
      <name val="Calibri Light"/>
      <family val="2"/>
    </font>
    <font>
      <sz val="9"/>
      <name val="Calibri Light"/>
      <family val="2"/>
    </font>
    <font>
      <sz val="9"/>
      <name val="Calibri Light"/>
      <family val="2"/>
      <scheme val="major"/>
    </font>
    <font>
      <b/>
      <sz val="11"/>
      <name val="Bahnschrift Light SemiCondensed"/>
      <family val="2"/>
    </font>
    <font>
      <b/>
      <sz val="14"/>
      <name val="Bahnschrift Light SemiCondensed"/>
      <family val="2"/>
    </font>
    <font>
      <sz val="11"/>
      <name val="Bahnschrift Light SemiCondensed"/>
      <family val="2"/>
    </font>
    <font>
      <b/>
      <sz val="11"/>
      <name val="Calibri"/>
      <family val="2"/>
      <scheme val="minor"/>
    </font>
    <font>
      <b/>
      <sz val="14"/>
      <color theme="5"/>
      <name val="Calibri"/>
      <family val="2"/>
      <scheme val="minor"/>
    </font>
    <font>
      <b/>
      <sz val="10"/>
      <color theme="0"/>
      <name val="Calibri"/>
      <family val="2"/>
      <scheme val="minor"/>
    </font>
    <font>
      <b/>
      <sz val="8"/>
      <color theme="0"/>
      <name val="Calibri"/>
      <family val="2"/>
      <scheme val="minor"/>
    </font>
    <font>
      <i/>
      <sz val="11"/>
      <color theme="9"/>
      <name val="Calibri"/>
      <family val="2"/>
      <scheme val="minor"/>
    </font>
    <font>
      <i/>
      <sz val="11"/>
      <name val="Webdings"/>
      <family val="1"/>
      <charset val="2"/>
    </font>
    <font>
      <sz val="11"/>
      <color theme="9"/>
      <name val="Calibri"/>
      <family val="2"/>
      <scheme val="minor"/>
    </font>
    <font>
      <b/>
      <sz val="14"/>
      <name val="Calibri"/>
      <family val="2"/>
      <scheme val="minor"/>
    </font>
    <font>
      <sz val="14"/>
      <color theme="0"/>
      <name val="Calibri"/>
      <family val="2"/>
      <scheme val="minor"/>
    </font>
    <font>
      <sz val="18"/>
      <color theme="0"/>
      <name val="Calibri"/>
      <family val="2"/>
      <scheme val="minor"/>
    </font>
    <font>
      <b/>
      <sz val="18"/>
      <color theme="3" tint="-0.249977111117893"/>
      <name val="Calibri"/>
      <family val="2"/>
      <scheme val="minor"/>
    </font>
    <font>
      <b/>
      <sz val="24"/>
      <color theme="3" tint="-0.249977111117893"/>
      <name val="Calibri"/>
      <family val="2"/>
      <scheme val="minor"/>
    </font>
    <font>
      <b/>
      <u/>
      <sz val="12"/>
      <color theme="1"/>
      <name val="Calibri"/>
      <family val="2"/>
      <scheme val="minor"/>
    </font>
    <font>
      <b/>
      <sz val="11"/>
      <color theme="7" tint="-0.499984740745262"/>
      <name val="Calibri"/>
      <family val="2"/>
      <scheme val="minor"/>
    </font>
    <font>
      <sz val="10.5"/>
      <name val="Calibri"/>
      <family val="2"/>
      <scheme val="minor"/>
    </font>
    <font>
      <sz val="10.5"/>
      <color theme="1"/>
      <name val="Calibri"/>
      <family val="2"/>
      <scheme val="minor"/>
    </font>
    <font>
      <i/>
      <sz val="10.5"/>
      <color theme="1"/>
      <name val="Calibri"/>
      <family val="2"/>
      <scheme val="minor"/>
    </font>
    <font>
      <b/>
      <i/>
      <sz val="11"/>
      <name val="Calibri"/>
      <family val="2"/>
      <scheme val="minor"/>
    </font>
    <font>
      <sz val="10.5"/>
      <name val="Calibri Light"/>
      <family val="2"/>
      <scheme val="major"/>
    </font>
    <font>
      <sz val="10.5"/>
      <color theme="1"/>
      <name val="Webdings"/>
      <family val="1"/>
      <charset val="2"/>
    </font>
    <font>
      <i/>
      <u/>
      <sz val="11"/>
      <name val="Calibri"/>
      <family val="2"/>
      <scheme val="minor"/>
    </font>
    <font>
      <b/>
      <sz val="12"/>
      <color rgb="FF002060"/>
      <name val="Calibri"/>
      <family val="2"/>
      <scheme val="minor"/>
    </font>
    <font>
      <sz val="11"/>
      <color theme="1"/>
      <name val="Calibri"/>
      <family val="2"/>
    </font>
    <font>
      <sz val="18"/>
      <color theme="1"/>
      <name val="Calibri"/>
      <family val="2"/>
      <scheme val="minor"/>
    </font>
    <font>
      <b/>
      <sz val="18"/>
      <color theme="1"/>
      <name val="Calibri"/>
      <family val="2"/>
      <scheme val="minor"/>
    </font>
    <font>
      <i/>
      <u/>
      <sz val="12"/>
      <name val="Calibri"/>
      <family val="2"/>
      <scheme val="minor"/>
    </font>
    <font>
      <i/>
      <u/>
      <sz val="12"/>
      <color theme="0"/>
      <name val="Calibri"/>
      <family val="2"/>
      <scheme val="minor"/>
    </font>
    <font>
      <sz val="11"/>
      <color rgb="FF000000"/>
      <name val="Calibri"/>
      <family val="2"/>
      <scheme val="minor"/>
    </font>
    <font>
      <b/>
      <sz val="12"/>
      <name val="Calibri"/>
      <family val="2"/>
      <scheme val="minor"/>
    </font>
    <font>
      <sz val="11"/>
      <name val="Bahnschrift SemiLight SemiConde"/>
      <family val="2"/>
    </font>
    <font>
      <i/>
      <sz val="10"/>
      <color rgb="FF00B0F0"/>
      <name val="Calibri"/>
      <family val="2"/>
      <scheme val="minor"/>
    </font>
    <font>
      <b/>
      <sz val="14"/>
      <color rgb="FFFFC000"/>
      <name val="Calibri"/>
      <family val="2"/>
      <scheme val="minor"/>
    </font>
    <font>
      <sz val="12"/>
      <color theme="1"/>
      <name val="Bahnschrift Light SemiCondensed"/>
      <family val="2"/>
    </font>
    <font>
      <sz val="16"/>
      <color theme="8" tint="-0.499984740745262"/>
      <name val="Bahnschrift Light SemiCondensed"/>
      <family val="2"/>
    </font>
    <font>
      <sz val="12"/>
      <color rgb="FF002060"/>
      <name val="Bahnschrift Light SemiCondensed"/>
      <family val="2"/>
    </font>
    <font>
      <sz val="18"/>
      <color rgb="FFB7C2D1"/>
      <name val="Wingdings"/>
      <charset val="2"/>
    </font>
    <font>
      <sz val="18"/>
      <color theme="3" tint="0.39997558519241921"/>
      <name val="Wingdings"/>
      <charset val="2"/>
    </font>
    <font>
      <sz val="18"/>
      <color theme="4" tint="0.39997558519241921"/>
      <name val="Wingdings"/>
      <charset val="2"/>
    </font>
    <font>
      <sz val="18"/>
      <color theme="4"/>
      <name val="Wingdings"/>
      <charset val="2"/>
    </font>
    <font>
      <sz val="18"/>
      <color theme="8" tint="-0.249977111117893"/>
      <name val="Wingdings"/>
      <charset val="2"/>
    </font>
    <font>
      <sz val="18"/>
      <color theme="3" tint="-0.249977111117893"/>
      <name val="Wingdings"/>
      <charset val="2"/>
    </font>
    <font>
      <sz val="14"/>
      <color rgb="FF002060"/>
      <name val="Bahnschrift Light Condensed"/>
      <family val="2"/>
    </font>
    <font>
      <b/>
      <u/>
      <sz val="24"/>
      <color theme="3" tint="-0.249977111117893"/>
      <name val="Calibri"/>
      <family val="2"/>
      <scheme val="minor"/>
    </font>
    <font>
      <sz val="10"/>
      <color theme="0"/>
      <name val="Bahnschrift Light SemiCondensed"/>
      <family val="2"/>
    </font>
    <font>
      <sz val="11"/>
      <color theme="0"/>
      <name val="Bahnschrift Light SemiCondensed"/>
      <family val="2"/>
    </font>
    <font>
      <sz val="9.5"/>
      <color theme="0"/>
      <name val="Bahnschrift Light SemiCondensed"/>
      <family val="2"/>
    </font>
    <font>
      <b/>
      <sz val="10.5"/>
      <color theme="8" tint="-0.499984740745262"/>
      <name val="Bahnschrift Light SemiCondensed"/>
      <family val="2"/>
    </font>
    <font>
      <sz val="12"/>
      <color theme="4" tint="-0.499984740745262"/>
      <name val="Bahnschrift Light SemiCondensed"/>
      <family val="2"/>
    </font>
    <font>
      <sz val="10.5"/>
      <color theme="8" tint="-0.499984740745262"/>
      <name val="Bahnschrift Light SemiCondensed"/>
      <family val="2"/>
    </font>
    <font>
      <sz val="14"/>
      <color rgb="FF002060"/>
      <name val="Bahnschrift Light SemiCondensed"/>
      <family val="2"/>
    </font>
    <font>
      <sz val="13"/>
      <color rgb="FF002060"/>
      <name val="Bahnschrift Light Condensed"/>
      <family val="2"/>
    </font>
    <font>
      <i/>
      <sz val="8"/>
      <color theme="4" tint="-0.499984740745262"/>
      <name val="Bahnschrift Light SemiCondensed"/>
      <family val="2"/>
    </font>
    <font>
      <i/>
      <sz val="10"/>
      <color theme="0"/>
      <name val="Calibri"/>
      <family val="2"/>
      <scheme val="minor"/>
    </font>
    <font>
      <u/>
      <sz val="16"/>
      <color theme="1"/>
      <name val="Calibri"/>
      <family val="2"/>
      <scheme val="minor"/>
    </font>
    <font>
      <i/>
      <sz val="9"/>
      <color theme="1" tint="0.499984740745262"/>
      <name val="Calibri"/>
      <family val="2"/>
      <scheme val="minor"/>
    </font>
    <font>
      <sz val="18"/>
      <color rgb="FF00B0F0"/>
      <name val="Wingdings"/>
      <charset val="2"/>
    </font>
    <font>
      <sz val="18"/>
      <color theme="5"/>
      <name val="Wingdings"/>
      <charset val="2"/>
    </font>
    <font>
      <sz val="18"/>
      <color theme="7" tint="-0.499984740745262"/>
      <name val="Wingdings"/>
      <charset val="2"/>
    </font>
    <font>
      <sz val="18"/>
      <color theme="7"/>
      <name val="Wingdings"/>
      <charset val="2"/>
    </font>
    <font>
      <b/>
      <i/>
      <sz val="10"/>
      <color theme="1" tint="0.499984740745262"/>
      <name val="Calibri"/>
      <family val="2"/>
      <scheme val="minor"/>
    </font>
    <font>
      <sz val="14"/>
      <name val="Calibri"/>
      <family val="2"/>
      <scheme val="minor"/>
    </font>
    <font>
      <sz val="18"/>
      <color rgb="FF0070C0"/>
      <name val="Wingdings"/>
      <charset val="2"/>
    </font>
    <font>
      <sz val="9.5"/>
      <color theme="4" tint="-0.499984740745262"/>
      <name val="Bahnschrift Light SemiCondensed"/>
      <family val="2"/>
    </font>
    <font>
      <sz val="9.5"/>
      <color theme="1"/>
      <name val="Bahnschrift Light SemiCondensed"/>
      <family val="2"/>
    </font>
    <font>
      <sz val="11"/>
      <color rgb="FFBC5DCF"/>
      <name val="Calibri"/>
      <family val="2"/>
      <scheme val="minor"/>
    </font>
    <font>
      <sz val="18"/>
      <color theme="9" tint="0.59999389629810485"/>
      <name val="Wingdings"/>
      <charset val="2"/>
    </font>
    <font>
      <sz val="18"/>
      <color theme="9"/>
      <name val="Wingdings"/>
      <charset val="2"/>
    </font>
    <font>
      <sz val="18"/>
      <color rgb="FFFFCCCC"/>
      <name val="Wingdings"/>
      <charset val="2"/>
    </font>
    <font>
      <sz val="18"/>
      <color rgb="FFFF8181"/>
      <name val="Wingdings"/>
      <charset val="2"/>
    </font>
    <font>
      <sz val="14"/>
      <color theme="8" tint="-0.499984740745262"/>
      <name val="Calibri"/>
      <family val="2"/>
      <scheme val="minor"/>
    </font>
    <font>
      <sz val="9.5"/>
      <color theme="8" tint="-0.499984740745262"/>
      <name val="Bahnschrift Light SemiCondensed"/>
      <family val="2"/>
    </font>
    <font>
      <b/>
      <sz val="8.5"/>
      <color theme="4" tint="-0.499984740745262"/>
      <name val="Calibri"/>
      <family val="2"/>
      <scheme val="minor"/>
    </font>
    <font>
      <b/>
      <sz val="8.5"/>
      <color theme="8" tint="-0.499984740745262"/>
      <name val="Calibri"/>
      <family val="2"/>
      <scheme val="minor"/>
    </font>
    <font>
      <b/>
      <sz val="9"/>
      <color theme="0"/>
      <name val="Calibri"/>
      <family val="2"/>
      <scheme val="minor"/>
    </font>
    <font>
      <b/>
      <sz val="12"/>
      <color rgb="FF002060"/>
      <name val="Bahnschrift Light SemiCondensed"/>
      <family val="2"/>
    </font>
    <font>
      <sz val="8"/>
      <color rgb="FF002060"/>
      <name val="Bahnschrift Light SemiCondensed"/>
      <family val="2"/>
    </font>
    <font>
      <sz val="12"/>
      <name val="Calibri"/>
      <family val="2"/>
      <scheme val="minor"/>
    </font>
    <font>
      <sz val="12"/>
      <color rgb="FF002060"/>
      <name val="Calibri"/>
      <family val="2"/>
      <scheme val="minor"/>
    </font>
    <font>
      <b/>
      <sz val="10"/>
      <color theme="8" tint="-0.499984740745262"/>
      <name val="Bahnschrift Light SemiCondensed"/>
      <family val="2"/>
    </font>
    <font>
      <b/>
      <sz val="11"/>
      <color rgb="FFF19D05"/>
      <name val="Calibri"/>
      <family val="2"/>
      <scheme val="minor"/>
    </font>
    <font>
      <sz val="12"/>
      <color theme="3" tint="-0.499984740745262"/>
      <name val="Bahnschrift Light SemiCondensed"/>
      <family val="2"/>
    </font>
    <font>
      <sz val="12"/>
      <color rgb="FF7CAFDE"/>
      <name val="Wingdings"/>
      <charset val="2"/>
    </font>
    <font>
      <sz val="9"/>
      <color theme="5"/>
      <name val="Calibri"/>
      <family val="2"/>
      <scheme val="minor"/>
    </font>
    <font>
      <sz val="12"/>
      <color theme="4" tint="0.59999389629810485"/>
      <name val="Wingdings"/>
      <charset val="2"/>
    </font>
    <font>
      <sz val="12"/>
      <color theme="7" tint="-0.249977111117893"/>
      <name val="Wingdings"/>
      <charset val="2"/>
    </font>
    <font>
      <sz val="12"/>
      <color rgb="FFDEC98E"/>
      <name val="Wingdings"/>
      <charset val="2"/>
    </font>
    <font>
      <sz val="12"/>
      <color theme="9" tint="0.59999389629810485"/>
      <name val="Wingdings"/>
      <charset val="2"/>
    </font>
    <font>
      <sz val="14"/>
      <color theme="3" tint="-0.499984740745262"/>
      <name val="Bahnschrift Light SemiCondensed"/>
      <family val="2"/>
    </font>
    <font>
      <sz val="9"/>
      <color rgb="FFC00000"/>
      <name val="Calibri"/>
      <family val="2"/>
      <scheme val="minor"/>
    </font>
    <font>
      <b/>
      <sz val="12"/>
      <color theme="0"/>
      <name val="Bahnschrift SemiLight Condensed"/>
      <family val="2"/>
    </font>
    <font>
      <sz val="15"/>
      <color theme="4" tint="-0.499984740745262"/>
      <name val="Calibri"/>
      <family val="2"/>
      <scheme val="minor"/>
    </font>
    <font>
      <i/>
      <sz val="9"/>
      <color rgb="FF050607"/>
      <name val="Bahnschrift Light"/>
      <family val="2"/>
    </font>
    <font>
      <b/>
      <sz val="16"/>
      <color theme="3" tint="-0.499984740745262"/>
      <name val="Wingdings 2"/>
      <family val="1"/>
      <charset val="2"/>
    </font>
    <font>
      <b/>
      <sz val="12"/>
      <color theme="4" tint="-0.499984740745262"/>
      <name val="Calibri"/>
      <family val="2"/>
      <scheme val="minor"/>
    </font>
    <font>
      <b/>
      <sz val="12"/>
      <color theme="4" tint="-0.499984740745262"/>
      <name val="Bahnschrift Light SemiCondensed"/>
      <family val="2"/>
    </font>
    <font>
      <b/>
      <sz val="9.5"/>
      <color theme="4" tint="-0.499984740745262"/>
      <name val="Bahnschrift Light SemiCondensed"/>
      <family val="2"/>
    </font>
    <font>
      <sz val="10.5"/>
      <color theme="0"/>
      <name val="Bahnschrift Light SemiCondensed"/>
      <family val="2"/>
    </font>
    <font>
      <sz val="9"/>
      <color theme="0"/>
      <name val="Bahnschrift Light SemiCondensed"/>
      <family val="2"/>
    </font>
    <font>
      <sz val="22"/>
      <color theme="1"/>
      <name val="Calibri"/>
      <family val="2"/>
      <scheme val="minor"/>
    </font>
    <font>
      <sz val="12"/>
      <color theme="8" tint="-0.499984740745262"/>
      <name val="Wingdings"/>
      <charset val="2"/>
    </font>
    <font>
      <sz val="12"/>
      <color theme="5" tint="-0.249977111117893"/>
      <name val="Wingdings"/>
      <charset val="2"/>
    </font>
    <font>
      <sz val="12"/>
      <color theme="7"/>
      <name val="Wingdings"/>
      <charset val="2"/>
    </font>
    <font>
      <i/>
      <sz val="11"/>
      <color rgb="FFFF0000"/>
      <name val="Calibri"/>
      <family val="2"/>
      <scheme val="minor"/>
    </font>
    <font>
      <b/>
      <sz val="12"/>
      <color theme="0"/>
      <name val="Bahnschrift Light SemiCondensed"/>
      <family val="2"/>
    </font>
    <font>
      <sz val="12"/>
      <color theme="0"/>
      <name val="Bahnschrift Light SemiCondensed"/>
      <family val="2"/>
    </font>
    <font>
      <b/>
      <sz val="11"/>
      <color rgb="FFFF0000"/>
      <name val="Bahnschrift Light SemiCondensed"/>
      <family val="2"/>
    </font>
    <font>
      <sz val="12"/>
      <color rgb="FFC6F2ED"/>
      <name val="Wingdings"/>
      <charset val="2"/>
    </font>
    <font>
      <sz val="12"/>
      <color rgb="FF2BB3A3"/>
      <name val="Wingdings"/>
      <charset val="2"/>
    </font>
    <font>
      <i/>
      <sz val="10"/>
      <color theme="5"/>
      <name val="Calibri"/>
      <family val="2"/>
      <scheme val="minor"/>
    </font>
    <font>
      <sz val="11"/>
      <color theme="7" tint="-0.249977111117893"/>
      <name val="Calibri"/>
      <family val="2"/>
      <scheme val="minor"/>
    </font>
    <font>
      <sz val="12"/>
      <color rgb="FFEEB500"/>
      <name val="Wingdings"/>
      <charset val="2"/>
    </font>
    <font>
      <sz val="12"/>
      <color rgb="FF24988A"/>
      <name val="Wingdings"/>
      <charset val="2"/>
    </font>
    <font>
      <sz val="12"/>
      <color rgb="FF3484CC"/>
      <name val="Wingdings"/>
      <charset val="2"/>
    </font>
    <font>
      <sz val="12"/>
      <color rgb="FF967200"/>
      <name val="Wingdings"/>
      <charset val="2"/>
    </font>
    <font>
      <sz val="12"/>
      <color rgb="FFBDD7EE"/>
      <name val="Wingdings"/>
      <charset val="2"/>
    </font>
    <font>
      <sz val="12"/>
      <color theme="8" tint="-0.249977111117893"/>
      <name val="Wingdings"/>
      <charset val="2"/>
    </font>
    <font>
      <sz val="14"/>
      <color rgb="FF7CAFDE"/>
      <name val="Wingdings"/>
      <charset val="2"/>
    </font>
    <font>
      <sz val="14"/>
      <color rgb="FF2BB3A3"/>
      <name val="Wingdings"/>
      <charset val="2"/>
    </font>
    <font>
      <sz val="14"/>
      <color theme="4" tint="-0.249977111117893"/>
      <name val="Wingdings"/>
      <charset val="2"/>
    </font>
    <font>
      <sz val="14"/>
      <color theme="4" tint="0.59999389629810485"/>
      <name val="Wingdings"/>
      <charset val="2"/>
    </font>
    <font>
      <sz val="14"/>
      <color rgb="FFDEC98E"/>
      <name val="Wingdings"/>
      <charset val="2"/>
    </font>
    <font>
      <sz val="14"/>
      <color rgb="FF1B7369"/>
      <name val="Wingdings"/>
      <charset val="2"/>
    </font>
    <font>
      <sz val="14"/>
      <color rgb="FFC6F2ED"/>
      <name val="Wingdings"/>
      <charset val="2"/>
    </font>
    <font>
      <sz val="14"/>
      <color rgb="FF00B050"/>
      <name val="Wingdings"/>
      <charset val="2"/>
    </font>
    <font>
      <sz val="14"/>
      <color rgb="FFF98007"/>
      <name val="Wingdings"/>
      <charset val="2"/>
    </font>
    <font>
      <sz val="14"/>
      <color rgb="FFD00000"/>
      <name val="Wingdings"/>
      <charset val="2"/>
    </font>
    <font>
      <sz val="16"/>
      <color theme="9"/>
      <name val="Wingdings"/>
      <charset val="2"/>
    </font>
    <font>
      <sz val="16"/>
      <color theme="9" tint="0.59999389629810485"/>
      <name val="Wingdings"/>
      <charset val="2"/>
    </font>
    <font>
      <sz val="16"/>
      <color theme="3" tint="0.39997558519241921"/>
      <name val="Wingdings"/>
      <charset val="2"/>
    </font>
    <font>
      <sz val="16"/>
      <color rgb="FFFF8181"/>
      <name val="Wingdings"/>
      <charset val="2"/>
    </font>
    <font>
      <sz val="16"/>
      <color rgb="FFFFCCCC"/>
      <name val="Wingdings"/>
      <charset val="2"/>
    </font>
    <font>
      <sz val="14"/>
      <color rgb="FFC00000"/>
      <name val="Wingdings"/>
      <charset val="2"/>
    </font>
    <font>
      <sz val="14"/>
      <color rgb="FF8FAADC"/>
      <name val="Wingdings"/>
      <charset val="2"/>
    </font>
    <font>
      <sz val="14"/>
      <color rgb="FF47618B"/>
      <name val="Wingdings"/>
      <charset val="2"/>
    </font>
    <font>
      <b/>
      <sz val="12"/>
      <color theme="3" tint="-0.249977111117893"/>
      <name val="Calibri"/>
      <family val="2"/>
      <scheme val="minor"/>
    </font>
    <font>
      <sz val="11"/>
      <color theme="3" tint="-0.249977111117893"/>
      <name val="Calibri"/>
      <family val="2"/>
      <scheme val="minor"/>
    </font>
    <font>
      <b/>
      <sz val="11"/>
      <color theme="3" tint="-0.249977111117893"/>
      <name val="Calibri"/>
      <family val="2"/>
      <scheme val="minor"/>
    </font>
    <font>
      <sz val="10"/>
      <color theme="3" tint="-0.249977111117893"/>
      <name val="Calibri"/>
      <family val="2"/>
      <scheme val="minor"/>
    </font>
    <font>
      <sz val="10"/>
      <color theme="3" tint="-0.249977111117893"/>
      <name val="Webdings"/>
      <family val="1"/>
      <charset val="2"/>
    </font>
    <font>
      <i/>
      <sz val="11"/>
      <color theme="3" tint="-0.249977111117893"/>
      <name val="Calibri"/>
      <family val="2"/>
      <scheme val="minor"/>
    </font>
    <font>
      <i/>
      <sz val="10"/>
      <color theme="3" tint="-0.249977111117893"/>
      <name val="Calibri"/>
      <family val="2"/>
      <scheme val="minor"/>
    </font>
    <font>
      <sz val="12"/>
      <color theme="8" tint="-0.499984740745262"/>
      <name val="Bahnschrift Light Condensed"/>
      <family val="2"/>
    </font>
    <font>
      <sz val="12"/>
      <color rgb="FF002060"/>
      <name val="Bahnschrift Light Condensed"/>
      <family val="2"/>
    </font>
    <font>
      <sz val="15"/>
      <color theme="8" tint="-0.499984740745262"/>
      <name val="Bahnschrift Light SemiCondensed"/>
      <family val="2"/>
    </font>
    <font>
      <sz val="14"/>
      <color rgb="FFBF8F00"/>
      <name val="Wingdings"/>
      <charset val="2"/>
    </font>
    <font>
      <sz val="14"/>
      <color rgb="FF806000"/>
      <name val="Wingdings"/>
      <charset val="2"/>
    </font>
    <font>
      <sz val="11"/>
      <color theme="4" tint="-0.499984740745262"/>
      <name val="Bahnschrift SemiLight Condensed"/>
      <family val="2"/>
    </font>
    <font>
      <sz val="18"/>
      <color rgb="FFE4E4E0"/>
      <name val="Wingdings"/>
      <charset val="2"/>
    </font>
    <font>
      <sz val="18"/>
      <color rgb="FF737267"/>
      <name val="Wingdings"/>
      <charset val="2"/>
    </font>
    <font>
      <sz val="18"/>
      <color rgb="FFADACA1"/>
      <name val="Wingdings"/>
      <charset val="2"/>
    </font>
    <font>
      <sz val="18"/>
      <color rgb="FFDEC98E"/>
      <name val="Wingdings"/>
      <charset val="2"/>
    </font>
    <font>
      <sz val="18"/>
      <color rgb="FFBF8F00"/>
      <name val="Wingdings"/>
      <charset val="2"/>
    </font>
    <font>
      <sz val="18"/>
      <color rgb="FF806000"/>
      <name val="Wingdings"/>
      <charset val="2"/>
    </font>
    <font>
      <sz val="18"/>
      <color rgb="FF1B7369"/>
      <name val="Wingdings"/>
      <charset val="2"/>
    </font>
    <font>
      <sz val="18"/>
      <color rgb="FF2BB3A3"/>
      <name val="Wingdings"/>
      <charset val="2"/>
    </font>
    <font>
      <sz val="18"/>
      <color rgb="FFC6F2ED"/>
      <name val="Wingdings"/>
      <charset val="2"/>
    </font>
    <font>
      <sz val="18"/>
      <color rgb="FF3A4A47"/>
      <name val="Wingdings"/>
      <charset val="2"/>
    </font>
    <font>
      <sz val="18"/>
      <color rgb="FF87A19C"/>
      <name val="Wingdings"/>
      <charset val="2"/>
    </font>
    <font>
      <sz val="18"/>
      <color rgb="FFC7D3D1"/>
      <name val="Wingdings"/>
      <charset val="2"/>
    </font>
    <font>
      <sz val="14"/>
      <color theme="2" tint="-0.249977111117893"/>
      <name val="Wingdings"/>
      <charset val="2"/>
    </font>
    <font>
      <sz val="14"/>
      <color rgb="FFFFD347"/>
      <name val="Wingdings"/>
      <charset val="2"/>
    </font>
    <font>
      <sz val="14"/>
      <color rgb="FF007DDA"/>
      <name val="Wingdings"/>
      <charset val="2"/>
    </font>
    <font>
      <b/>
      <sz val="14"/>
      <color theme="3" tint="-0.249977111117893"/>
      <name val="Calibri"/>
      <family val="2"/>
      <scheme val="minor"/>
    </font>
    <font>
      <sz val="11"/>
      <color theme="4" tint="-0.499984740745262"/>
      <name val="Bahnschrift Light Condensed"/>
      <family val="2"/>
    </font>
    <font>
      <b/>
      <i/>
      <sz val="11"/>
      <color theme="1"/>
      <name val="Calibri"/>
      <family val="2"/>
      <scheme val="minor"/>
    </font>
    <font>
      <sz val="11"/>
      <color theme="8" tint="-0.249977111117893"/>
      <name val="Calibri"/>
      <family val="2"/>
      <scheme val="minor"/>
    </font>
    <font>
      <i/>
      <sz val="11"/>
      <color theme="8" tint="-0.249977111117893"/>
      <name val="Calibri"/>
      <family val="2"/>
      <scheme val="minor"/>
    </font>
    <font>
      <b/>
      <sz val="12"/>
      <color theme="8" tint="-0.249977111117893"/>
      <name val="Calibri"/>
      <family val="2"/>
      <scheme val="minor"/>
    </font>
    <font>
      <b/>
      <u/>
      <sz val="11"/>
      <name val="Calibri"/>
      <family val="2"/>
      <scheme val="minor"/>
    </font>
    <font>
      <i/>
      <sz val="14"/>
      <name val="Calibri"/>
      <family val="2"/>
      <scheme val="minor"/>
    </font>
    <font>
      <b/>
      <sz val="11"/>
      <color theme="8" tint="-0.249977111117893"/>
      <name val="Calibri"/>
      <family val="2"/>
      <scheme val="minor"/>
    </font>
    <font>
      <b/>
      <sz val="10.5"/>
      <color theme="3" tint="-0.249977111117893"/>
      <name val="Calibri"/>
      <family val="2"/>
      <scheme val="minor"/>
    </font>
    <font>
      <b/>
      <sz val="11"/>
      <color theme="3" tint="-0.499984740745262"/>
      <name val="Calibri"/>
      <family val="2"/>
      <scheme val="minor"/>
    </font>
    <font>
      <sz val="10"/>
      <color theme="8" tint="-0.499984740745262"/>
      <name val="Bahnschrift Light Condensed"/>
      <family val="2"/>
    </font>
    <font>
      <b/>
      <u/>
      <sz val="14"/>
      <color rgb="FFFFC000"/>
      <name val="Calibri"/>
      <family val="2"/>
      <scheme val="minor"/>
    </font>
    <font>
      <sz val="10"/>
      <color rgb="FFDDF7F4"/>
      <name val="Calibri"/>
      <family val="2"/>
      <scheme val="minor"/>
    </font>
    <font>
      <i/>
      <sz val="10"/>
      <color rgb="FFDDF7F4"/>
      <name val="Calibri"/>
      <family val="2"/>
      <scheme val="minor"/>
    </font>
  </fonts>
  <fills count="63">
    <fill>
      <patternFill patternType="none"/>
    </fill>
    <fill>
      <patternFill patternType="gray125"/>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5"/>
        <bgColor indexed="64"/>
      </patternFill>
    </fill>
    <fill>
      <patternFill patternType="solid">
        <fgColor theme="7" tint="-0.499984740745262"/>
        <bgColor indexed="64"/>
      </patternFill>
    </fill>
    <fill>
      <patternFill patternType="solid">
        <fgColor rgb="FF305496"/>
        <bgColor indexed="64"/>
      </patternFill>
    </fill>
    <fill>
      <patternFill patternType="solid">
        <fgColor rgb="FF428BCE"/>
        <bgColor indexed="64"/>
      </patternFill>
    </fill>
    <fill>
      <patternFill patternType="solid">
        <fgColor rgb="FF6FA8DB"/>
        <bgColor indexed="64"/>
      </patternFill>
    </fill>
    <fill>
      <patternFill patternType="solid">
        <fgColor rgb="FFC7DDF1"/>
        <bgColor indexed="64"/>
      </patternFill>
    </fill>
    <fill>
      <patternFill patternType="solid">
        <fgColor theme="9" tint="0.79998168889431442"/>
        <bgColor indexed="64"/>
      </patternFill>
    </fill>
    <fill>
      <patternFill patternType="solid">
        <fgColor rgb="FFB6D2EC"/>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249977111117893"/>
        <bgColor indexed="64"/>
      </patternFill>
    </fill>
    <fill>
      <patternFill patternType="solid">
        <fgColor rgb="FF9BC2E6"/>
        <bgColor indexed="64"/>
      </patternFill>
    </fill>
    <fill>
      <patternFill patternType="solid">
        <fgColor theme="7"/>
        <bgColor indexed="64"/>
      </patternFill>
    </fill>
    <fill>
      <patternFill patternType="solid">
        <fgColor rgb="FF002060"/>
        <bgColor indexed="64"/>
      </patternFill>
    </fill>
    <fill>
      <patternFill patternType="solid">
        <fgColor rgb="FFFFC7CE"/>
      </patternFill>
    </fill>
    <fill>
      <patternFill patternType="solid">
        <fgColor rgb="FFE0E0E0"/>
        <bgColor indexed="64"/>
      </patternFill>
    </fill>
    <fill>
      <patternFill patternType="solid">
        <fgColor theme="1" tint="0.499984740745262"/>
        <bgColor theme="0" tint="-0.499984740745262"/>
      </patternFill>
    </fill>
    <fill>
      <patternFill patternType="solid">
        <fgColor theme="7" tint="0.79998168889431442"/>
        <bgColor indexed="64"/>
      </patternFill>
    </fill>
    <fill>
      <patternFill patternType="solid">
        <fgColor rgb="FFC6EFCE"/>
      </patternFill>
    </fill>
    <fill>
      <patternFill patternType="solid">
        <fgColor theme="3" tint="0.79998168889431442"/>
        <bgColor indexed="64"/>
      </patternFill>
    </fill>
    <fill>
      <patternFill patternType="solid">
        <fgColor theme="8" tint="-0.499984740745262"/>
        <bgColor indexed="64"/>
      </patternFill>
    </fill>
    <fill>
      <patternFill patternType="solid">
        <fgColor theme="5" tint="-0.249977111117893"/>
        <bgColor indexed="64"/>
      </patternFill>
    </fill>
    <fill>
      <patternFill patternType="solid">
        <fgColor rgb="FFFFC7CE"/>
        <bgColor indexed="64"/>
      </patternFill>
    </fill>
    <fill>
      <patternFill patternType="solid">
        <fgColor rgb="FFFFCDD4"/>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E7F0F9"/>
        <bgColor indexed="64"/>
      </patternFill>
    </fill>
    <fill>
      <patternFill patternType="solid">
        <fgColor rgb="FFCBDDEB"/>
        <bgColor indexed="64"/>
      </patternFill>
    </fill>
    <fill>
      <patternFill patternType="solid">
        <fgColor rgb="FFBC5DCF"/>
        <bgColor indexed="64"/>
      </patternFill>
    </fill>
    <fill>
      <patternFill patternType="solid">
        <fgColor rgb="FF9999FF"/>
        <bgColor indexed="64"/>
      </patternFill>
    </fill>
    <fill>
      <patternFill patternType="solid">
        <fgColor rgb="FFFFF2CC"/>
        <bgColor indexed="64"/>
      </patternFill>
    </fill>
    <fill>
      <patternFill patternType="solid">
        <fgColor rgb="FF669E40"/>
        <bgColor indexed="64"/>
      </patternFill>
    </fill>
    <fill>
      <patternFill patternType="solid">
        <fgColor rgb="FF85BE5E"/>
        <bgColor indexed="64"/>
      </patternFill>
    </fill>
    <fill>
      <patternFill patternType="solid">
        <fgColor rgb="FF886940"/>
        <bgColor indexed="64"/>
      </patternFill>
    </fill>
    <fill>
      <patternFill patternType="solid">
        <fgColor rgb="FF503B00"/>
        <bgColor indexed="64"/>
      </patternFill>
    </fill>
    <fill>
      <patternFill patternType="solid">
        <fgColor rgb="FFCDBEAF"/>
        <bgColor indexed="64"/>
      </patternFill>
    </fill>
    <fill>
      <patternFill patternType="solid">
        <fgColor rgb="FFF7FBF7"/>
        <bgColor indexed="64"/>
      </patternFill>
    </fill>
    <fill>
      <patternFill patternType="solid">
        <fgColor rgb="FFE4DCD4"/>
        <bgColor indexed="64"/>
      </patternFill>
    </fill>
    <fill>
      <patternFill patternType="solid">
        <fgColor rgb="FFF6F3F0"/>
        <bgColor indexed="64"/>
      </patternFill>
    </fill>
    <fill>
      <patternFill patternType="solid">
        <fgColor rgb="FF1B7369"/>
        <bgColor indexed="64"/>
      </patternFill>
    </fill>
    <fill>
      <patternFill patternType="solid">
        <fgColor rgb="FF28A899"/>
        <bgColor indexed="64"/>
      </patternFill>
    </fill>
    <fill>
      <patternFill patternType="solid">
        <fgColor rgb="FFC6F2ED"/>
        <bgColor indexed="64"/>
      </patternFill>
    </fill>
    <fill>
      <patternFill patternType="solid">
        <fgColor rgb="FFDDF7F4"/>
        <bgColor indexed="64"/>
      </patternFill>
    </fill>
    <fill>
      <patternFill patternType="solid">
        <fgColor rgb="FF2D4C8B"/>
        <bgColor indexed="64"/>
      </patternFill>
    </fill>
    <fill>
      <patternFill patternType="solid">
        <fgColor rgb="FF182848"/>
        <bgColor indexed="64"/>
      </patternFill>
    </fill>
    <fill>
      <patternFill patternType="solid">
        <fgColor rgb="FF24988A"/>
        <bgColor indexed="64"/>
      </patternFill>
    </fill>
    <fill>
      <patternFill patternType="solid">
        <fgColor rgb="FF967200"/>
        <bgColor indexed="64"/>
      </patternFill>
    </fill>
    <fill>
      <patternFill patternType="solid">
        <fgColor theme="4" tint="-0.249977111117893"/>
        <bgColor indexed="64"/>
      </patternFill>
    </fill>
    <fill>
      <patternFill patternType="solid">
        <fgColor rgb="FF3484CC"/>
        <bgColor indexed="64"/>
      </patternFill>
    </fill>
    <fill>
      <patternFill patternType="solid">
        <fgColor rgb="FF7030A0"/>
        <bgColor indexed="64"/>
      </patternFill>
    </fill>
    <fill>
      <patternFill patternType="solid">
        <fgColor rgb="FF239587"/>
        <bgColor indexed="64"/>
      </patternFill>
    </fill>
    <fill>
      <patternFill patternType="solid">
        <fgColor theme="6" tint="0.79998168889431442"/>
        <bgColor indexed="64"/>
      </patternFill>
    </fill>
    <fill>
      <patternFill patternType="lightUp"/>
    </fill>
  </fills>
  <borders count="36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top/>
      <bottom style="thin">
        <color rgb="FF428BCE"/>
      </bottom>
      <diagonal/>
    </border>
    <border>
      <left/>
      <right/>
      <top/>
      <bottom style="thin">
        <color theme="9" tint="-0.24994659260841701"/>
      </bottom>
      <diagonal/>
    </border>
    <border>
      <left style="thin">
        <color theme="4" tint="-0.499984740745262"/>
      </left>
      <right/>
      <top style="thin">
        <color theme="4" tint="-0.499984740745262"/>
      </top>
      <bottom/>
      <diagonal/>
    </border>
    <border>
      <left/>
      <right/>
      <top style="thin">
        <color theme="4" tint="-0.499984740745262"/>
      </top>
      <bottom/>
      <diagonal/>
    </border>
    <border>
      <left/>
      <right style="thin">
        <color theme="4" tint="-0.499984740745262"/>
      </right>
      <top style="thin">
        <color theme="4" tint="-0.499984740745262"/>
      </top>
      <bottom/>
      <diagonal/>
    </border>
    <border>
      <left style="thin">
        <color theme="4" tint="-0.499984740745262"/>
      </left>
      <right/>
      <top/>
      <bottom/>
      <diagonal/>
    </border>
    <border>
      <left/>
      <right style="thin">
        <color theme="4" tint="-0.499984740745262"/>
      </right>
      <top/>
      <bottom/>
      <diagonal/>
    </border>
    <border>
      <left/>
      <right/>
      <top/>
      <bottom style="thin">
        <color theme="4" tint="-0.499984740745262"/>
      </bottom>
      <diagonal/>
    </border>
    <border>
      <left style="thin">
        <color theme="4" tint="-0.499984740745262"/>
      </left>
      <right/>
      <top/>
      <bottom style="thin">
        <color theme="4" tint="-0.499984740745262"/>
      </bottom>
      <diagonal/>
    </border>
    <border>
      <left/>
      <right style="thin">
        <color theme="4" tint="-0.499984740745262"/>
      </right>
      <top/>
      <bottom style="thin">
        <color theme="4"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thin">
        <color theme="8" tint="-0.499984740745262"/>
      </left>
      <right/>
      <top/>
      <bottom/>
      <diagonal/>
    </border>
    <border>
      <left/>
      <right style="thin">
        <color theme="8" tint="-0.499984740745262"/>
      </right>
      <top/>
      <bottom/>
      <diagonal/>
    </border>
    <border>
      <left style="thin">
        <color theme="8" tint="-0.499984740745262"/>
      </left>
      <right/>
      <top/>
      <bottom style="thin">
        <color theme="8" tint="-0.499984740745262"/>
      </bottom>
      <diagonal/>
    </border>
    <border>
      <left/>
      <right/>
      <top/>
      <bottom style="thin">
        <color theme="8" tint="-0.499984740745262"/>
      </bottom>
      <diagonal/>
    </border>
    <border>
      <left/>
      <right style="thin">
        <color theme="8" tint="-0.499984740745262"/>
      </right>
      <top/>
      <bottom style="thin">
        <color theme="8" tint="-0.499984740745262"/>
      </bottom>
      <diagonal/>
    </border>
    <border>
      <left style="thin">
        <color theme="8" tint="-0.499984740745262"/>
      </left>
      <right style="thin">
        <color theme="8" tint="-0.499984740745262"/>
      </right>
      <top/>
      <bottom/>
      <diagonal/>
    </border>
    <border>
      <left/>
      <right/>
      <top/>
      <bottom style="medium">
        <color theme="5"/>
      </bottom>
      <diagonal/>
    </border>
    <border>
      <left/>
      <right/>
      <top/>
      <bottom style="medium">
        <color theme="7" tint="-0.499984740745262"/>
      </bottom>
      <diagonal/>
    </border>
    <border>
      <left/>
      <right/>
      <top/>
      <bottom style="medium">
        <color theme="7"/>
      </bottom>
      <diagonal/>
    </border>
    <border>
      <left/>
      <right/>
      <top/>
      <bottom style="medium">
        <color rgb="FF0070C0"/>
      </bottom>
      <diagonal/>
    </border>
    <border>
      <left/>
      <right/>
      <top/>
      <bottom style="medium">
        <color rgb="FF00B0F0"/>
      </bottom>
      <diagonal/>
    </border>
    <border>
      <left/>
      <right/>
      <top/>
      <bottom style="medium">
        <color rgb="FF002060"/>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diagonal/>
    </border>
    <border>
      <left/>
      <right style="thin">
        <color rgb="FF002060"/>
      </right>
      <top/>
      <bottom/>
      <diagonal/>
    </border>
    <border>
      <left style="thin">
        <color rgb="FF00206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thin">
        <color theme="8" tint="-0.499984740745262"/>
      </left>
      <right/>
      <top style="thin">
        <color theme="8" tint="-0.499984740745262"/>
      </top>
      <bottom style="thin">
        <color theme="8" tint="-0.499984740745262"/>
      </bottom>
      <diagonal/>
    </border>
    <border>
      <left/>
      <right style="thin">
        <color theme="8" tint="-0.499984740745262"/>
      </right>
      <top style="thin">
        <color theme="8" tint="-0.499984740745262"/>
      </top>
      <bottom style="thin">
        <color theme="8" tint="-0.499984740745262"/>
      </bottom>
      <diagonal/>
    </border>
    <border>
      <left/>
      <right/>
      <top style="thin">
        <color theme="8" tint="-0.499984740745262"/>
      </top>
      <bottom style="thin">
        <color theme="8" tint="-0.499984740745262"/>
      </bottom>
      <diagonal/>
    </border>
    <border>
      <left/>
      <right/>
      <top style="thin">
        <color theme="0" tint="-0.24994659260841701"/>
      </top>
      <bottom style="thin">
        <color theme="0" tint="-0.24994659260841701"/>
      </bottom>
      <diagonal/>
    </border>
    <border>
      <left/>
      <right style="thin">
        <color indexed="64"/>
      </right>
      <top/>
      <bottom/>
      <diagonal/>
    </border>
    <border>
      <left style="thin">
        <color rgb="FF002060"/>
      </left>
      <right style="thin">
        <color rgb="FF002060"/>
      </right>
      <top/>
      <bottom/>
      <diagonal/>
    </border>
    <border>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theme="0" tint="-0.34998626667073579"/>
      </right>
      <top style="thin">
        <color indexed="64"/>
      </top>
      <bottom style="double">
        <color indexed="64"/>
      </bottom>
      <diagonal/>
    </border>
    <border>
      <left style="thin">
        <color theme="0" tint="-0.34998626667073579"/>
      </left>
      <right style="thin">
        <color theme="0" tint="-0.34998626667073579"/>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thin">
        <color indexed="64"/>
      </left>
      <right style="thin">
        <color indexed="64"/>
      </right>
      <top style="thin">
        <color theme="0" tint="-0.34998626667073579"/>
      </top>
      <bottom/>
      <diagonal/>
    </border>
    <border>
      <left style="thin">
        <color indexed="64"/>
      </left>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style="thin">
        <color indexed="64"/>
      </right>
      <top/>
      <bottom/>
      <diagonal/>
    </border>
    <border>
      <left/>
      <right style="thin">
        <color indexed="64"/>
      </right>
      <top/>
      <bottom style="double">
        <color indexed="64"/>
      </bottom>
      <diagonal/>
    </border>
    <border>
      <left style="thin">
        <color indexed="64"/>
      </left>
      <right/>
      <top style="thin">
        <color theme="0" tint="-0.34998626667073579"/>
      </top>
      <bottom style="thin">
        <color indexed="64"/>
      </bottom>
      <diagonal/>
    </border>
    <border>
      <left/>
      <right style="thin">
        <color indexed="64"/>
      </right>
      <top style="thin">
        <color theme="0" tint="-0.34998626667073579"/>
      </top>
      <bottom style="thin">
        <color indexed="64"/>
      </bottom>
      <diagonal/>
    </border>
    <border>
      <left/>
      <right/>
      <top style="thin">
        <color rgb="FF428BCE"/>
      </top>
      <bottom style="thin">
        <color rgb="FF428BCE"/>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
      <left/>
      <right/>
      <top style="thin">
        <color theme="9" tint="-0.24994659260841701"/>
      </top>
      <bottom style="thin">
        <color theme="9" tint="-0.24994659260841701"/>
      </bottom>
      <diagonal/>
    </border>
    <border>
      <left/>
      <right/>
      <top style="thick">
        <color theme="0"/>
      </top>
      <bottom style="thick">
        <color theme="0"/>
      </bottom>
      <diagonal/>
    </border>
    <border>
      <left/>
      <right/>
      <top style="thin">
        <color theme="9" tint="-0.24994659260841701"/>
      </top>
      <bottom/>
      <diagonal/>
    </border>
    <border>
      <left style="thin">
        <color auto="1"/>
      </left>
      <right style="thin">
        <color theme="0" tint="-0.24994659260841701"/>
      </right>
      <top style="thin">
        <color theme="0" tint="-0.24994659260841701"/>
      </top>
      <bottom style="thin">
        <color auto="1"/>
      </bottom>
      <diagonal/>
    </border>
    <border>
      <left style="thin">
        <color theme="0" tint="-0.24994659260841701"/>
      </left>
      <right style="thin">
        <color auto="1"/>
      </right>
      <top style="thin">
        <color theme="0" tint="-0.24994659260841701"/>
      </top>
      <bottom style="thin">
        <color auto="1"/>
      </bottom>
      <diagonal/>
    </border>
    <border>
      <left style="thin">
        <color auto="1"/>
      </left>
      <right style="thin">
        <color theme="0" tint="-0.24994659260841701"/>
      </right>
      <top style="thin">
        <color auto="1"/>
      </top>
      <bottom style="thin">
        <color indexed="64"/>
      </bottom>
      <diagonal/>
    </border>
    <border>
      <left style="thin">
        <color theme="0" tint="-0.24994659260841701"/>
      </left>
      <right style="thin">
        <color theme="0" tint="-0.24994659260841701"/>
      </right>
      <top style="thin">
        <color auto="1"/>
      </top>
      <bottom style="thin">
        <color indexed="64"/>
      </bottom>
      <diagonal/>
    </border>
    <border>
      <left style="thin">
        <color theme="0" tint="-0.24994659260841701"/>
      </left>
      <right style="thin">
        <color auto="1"/>
      </right>
      <top style="thin">
        <color auto="1"/>
      </top>
      <bottom style="thin">
        <color indexed="64"/>
      </bottom>
      <diagonal/>
    </border>
    <border>
      <left style="thin">
        <color theme="0" tint="-0.24994659260841701"/>
      </left>
      <right/>
      <top style="thin">
        <color theme="0" tint="-0.24994659260841701"/>
      </top>
      <bottom style="thin">
        <color auto="1"/>
      </bottom>
      <diagonal/>
    </border>
    <border>
      <left style="thin">
        <color auto="1"/>
      </left>
      <right/>
      <top/>
      <bottom style="thin">
        <color theme="0" tint="-0.24994659260841701"/>
      </bottom>
      <diagonal/>
    </border>
    <border>
      <left/>
      <right style="thin">
        <color auto="1"/>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style="thin">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style="thin">
        <color indexed="64"/>
      </left>
      <right style="thin">
        <color indexed="64"/>
      </right>
      <top/>
      <bottom style="thin">
        <color theme="0" tint="-0.34998626667073579"/>
      </bottom>
      <diagonal/>
    </border>
    <border>
      <left style="thin">
        <color indexed="64"/>
      </left>
      <right style="thin">
        <color indexed="64"/>
      </right>
      <top style="thin">
        <color indexed="64"/>
      </top>
      <bottom style="thin">
        <color theme="0" tint="-0.24994659260841701"/>
      </bottom>
      <diagonal/>
    </border>
    <border>
      <left/>
      <right style="thin">
        <color theme="0" tint="-0.24994659260841701"/>
      </right>
      <top style="thin">
        <color theme="0" tint="-0.24994659260841701"/>
      </top>
      <bottom style="thin">
        <color auto="1"/>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style="thin">
        <color indexed="64"/>
      </right>
      <top style="thin">
        <color auto="1"/>
      </top>
      <bottom style="thin">
        <color theme="0" tint="-0.34998626667073579"/>
      </bottom>
      <diagonal/>
    </border>
    <border>
      <left/>
      <right style="thin">
        <color indexed="64"/>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diagonal/>
    </border>
    <border>
      <left style="thin">
        <color auto="1"/>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auto="1"/>
      </right>
      <top/>
      <bottom style="thin">
        <color indexed="64"/>
      </bottom>
      <diagonal/>
    </border>
    <border>
      <left style="thin">
        <color indexed="64"/>
      </left>
      <right/>
      <top style="thin">
        <color indexed="64"/>
      </top>
      <bottom style="thin">
        <color theme="0" tint="-0.24994659260841701"/>
      </bottom>
      <diagonal/>
    </border>
    <border>
      <left/>
      <right style="thin">
        <color indexed="64"/>
      </right>
      <top style="thin">
        <color indexed="64"/>
      </top>
      <bottom style="double">
        <color indexed="64"/>
      </bottom>
      <diagonal/>
    </border>
    <border>
      <left/>
      <right style="thin">
        <color auto="1"/>
      </right>
      <top style="thin">
        <color indexed="64"/>
      </top>
      <bottom style="thin">
        <color theme="0" tint="-0.24994659260841701"/>
      </bottom>
      <diagonal/>
    </border>
    <border>
      <left/>
      <right style="thin">
        <color indexed="64"/>
      </right>
      <top/>
      <bottom style="thin">
        <color theme="0" tint="-0.34998626667073579"/>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right/>
      <top/>
      <bottom style="medium">
        <color theme="8" tint="-0.499984740745262"/>
      </bottom>
      <diagonal/>
    </border>
    <border>
      <left/>
      <right/>
      <top style="thin">
        <color indexed="64"/>
      </top>
      <bottom style="double">
        <color indexed="64"/>
      </bottom>
      <diagonal/>
    </border>
    <border>
      <left style="thin">
        <color indexed="64"/>
      </left>
      <right/>
      <top style="double">
        <color indexed="64"/>
      </top>
      <bottom style="thin">
        <color theme="0" tint="-0.24994659260841701"/>
      </bottom>
      <diagonal/>
    </border>
    <border>
      <left/>
      <right/>
      <top style="double">
        <color indexed="64"/>
      </top>
      <bottom style="thin">
        <color theme="0" tint="-0.24994659260841701"/>
      </bottom>
      <diagonal/>
    </border>
    <border>
      <left/>
      <right/>
      <top style="thin">
        <color theme="0" tint="-0.24994659260841701"/>
      </top>
      <bottom style="thin">
        <color indexed="64"/>
      </bottom>
      <diagonal/>
    </border>
    <border>
      <left/>
      <right style="thin">
        <color indexed="64"/>
      </right>
      <top style="double">
        <color indexed="64"/>
      </top>
      <bottom style="thin">
        <color theme="0" tint="-0.24994659260841701"/>
      </bottom>
      <diagonal/>
    </border>
    <border>
      <left/>
      <right/>
      <top style="thin">
        <color indexed="64"/>
      </top>
      <bottom style="thin">
        <color theme="0" tint="-0.24994659260841701"/>
      </bottom>
      <diagonal/>
    </border>
    <border>
      <left style="thin">
        <color indexed="64"/>
      </left>
      <right style="thin">
        <color indexed="64"/>
      </right>
      <top style="thin">
        <color theme="0" tint="-0.24994659260841701"/>
      </top>
      <bottom/>
      <diagonal/>
    </border>
    <border>
      <left style="medium">
        <color theme="8" tint="-0.499984740745262"/>
      </left>
      <right/>
      <top/>
      <bottom/>
      <diagonal/>
    </border>
    <border>
      <left/>
      <right style="medium">
        <color theme="8" tint="-0.499984740745262"/>
      </right>
      <top/>
      <bottom style="medium">
        <color theme="8" tint="-0.499984740745262"/>
      </bottom>
      <diagonal/>
    </border>
    <border>
      <left style="medium">
        <color theme="8" tint="-0.499984740745262"/>
      </left>
      <right/>
      <top/>
      <bottom style="medium">
        <color theme="8" tint="-0.499984740745262"/>
      </bottom>
      <diagonal/>
    </border>
    <border>
      <left style="thin">
        <color auto="1"/>
      </left>
      <right/>
      <top style="thin">
        <color theme="0" tint="-0.24994659260841701"/>
      </top>
      <bottom/>
      <diagonal/>
    </border>
    <border>
      <left/>
      <right style="thin">
        <color auto="1"/>
      </right>
      <top style="thin">
        <color theme="0" tint="-0.24994659260841701"/>
      </top>
      <bottom/>
      <diagonal/>
    </border>
    <border>
      <left/>
      <right/>
      <top/>
      <bottom style="thin">
        <color theme="8" tint="-0.24994659260841701"/>
      </bottom>
      <diagonal/>
    </border>
    <border>
      <left/>
      <right/>
      <top style="thin">
        <color theme="3" tint="0.59996337778862885"/>
      </top>
      <bottom style="thin">
        <color theme="3" tint="0.59996337778862885"/>
      </bottom>
      <diagonal/>
    </border>
    <border>
      <left style="thin">
        <color theme="0" tint="-0.34998626667073579"/>
      </left>
      <right/>
      <top/>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auto="1"/>
      </right>
      <top style="thin">
        <color indexed="64"/>
      </top>
      <bottom style="thin">
        <color theme="0" tint="-0.34998626667073579"/>
      </bottom>
      <diagonal/>
    </border>
    <border>
      <left style="thin">
        <color indexed="64"/>
      </left>
      <right style="thin">
        <color theme="0" tint="-0.24994659260841701"/>
      </right>
      <top style="thin">
        <color theme="0" tint="-0.34998626667073579"/>
      </top>
      <bottom style="thin">
        <color indexed="64"/>
      </bottom>
      <diagonal/>
    </border>
    <border>
      <left style="thin">
        <color theme="0" tint="-0.24994659260841701"/>
      </left>
      <right style="thin">
        <color theme="0" tint="-0.24994659260841701"/>
      </right>
      <top style="thin">
        <color theme="0" tint="-0.34998626667073579"/>
      </top>
      <bottom style="thin">
        <color indexed="64"/>
      </bottom>
      <diagonal/>
    </border>
    <border>
      <left style="thin">
        <color theme="0" tint="-0.24994659260841701"/>
      </left>
      <right style="thin">
        <color auto="1"/>
      </right>
      <top style="thin">
        <color theme="0" tint="-0.34998626667073579"/>
      </top>
      <bottom style="thin">
        <color indexed="64"/>
      </bottom>
      <diagonal/>
    </border>
    <border>
      <left style="thin">
        <color indexed="64"/>
      </left>
      <right style="thin">
        <color indexed="64"/>
      </right>
      <top style="double">
        <color indexed="64"/>
      </top>
      <bottom style="thin">
        <color theme="0" tint="-0.24994659260841701"/>
      </bottom>
      <diagonal/>
    </border>
    <border>
      <left style="thin">
        <color theme="0" tint="-0.24994659260841701"/>
      </left>
      <right style="thin">
        <color indexed="64"/>
      </right>
      <top/>
      <bottom style="thin">
        <color theme="0" tint="-0.34998626667073579"/>
      </bottom>
      <diagonal/>
    </border>
    <border>
      <left/>
      <right/>
      <top/>
      <bottom style="thin">
        <color theme="0" tint="-0.34998626667073579"/>
      </bottom>
      <diagonal/>
    </border>
    <border>
      <left style="thin">
        <color indexed="64"/>
      </left>
      <right style="thin">
        <color theme="0" tint="-0.34998626667073579"/>
      </right>
      <top style="thin">
        <color theme="0" tint="-0.34998626667073579"/>
      </top>
      <bottom style="thin">
        <color theme="1" tint="0.499984740745262"/>
      </bottom>
      <diagonal/>
    </border>
    <border>
      <left/>
      <right/>
      <top style="thin">
        <color theme="0" tint="-0.34998626667073579"/>
      </top>
      <bottom style="thin">
        <color theme="1" tint="0.499984740745262"/>
      </bottom>
      <diagonal/>
    </border>
    <border>
      <left style="thin">
        <color theme="0" tint="-0.34998626667073579"/>
      </left>
      <right/>
      <top style="thin">
        <color theme="0" tint="-0.34998626667073579"/>
      </top>
      <bottom style="thin">
        <color theme="1" tint="0.499984740745262"/>
      </bottom>
      <diagonal/>
    </border>
    <border>
      <left style="thin">
        <color theme="0" tint="-0.34998626667073579"/>
      </left>
      <right style="thin">
        <color indexed="64"/>
      </right>
      <top style="thin">
        <color theme="0" tint="-0.34998626667073579"/>
      </top>
      <bottom style="thin">
        <color theme="1" tint="0.499984740745262"/>
      </bottom>
      <diagonal/>
    </border>
    <border>
      <left/>
      <right style="thin">
        <color theme="0" tint="-0.34998626667073579"/>
      </right>
      <top style="thin">
        <color theme="0" tint="-0.34998626667073579"/>
      </top>
      <bottom style="thin">
        <color theme="1" tint="0.499984740745262"/>
      </bottom>
      <diagonal/>
    </border>
    <border>
      <left/>
      <right style="thin">
        <color indexed="64"/>
      </right>
      <top style="thin">
        <color theme="0" tint="-0.34998626667073579"/>
      </top>
      <bottom style="thin">
        <color theme="1" tint="0.499984740745262"/>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indexed="64"/>
      </right>
      <top style="thin">
        <color auto="1"/>
      </top>
      <bottom style="thin">
        <color indexed="64"/>
      </bottom>
      <diagonal/>
    </border>
    <border>
      <left style="thin">
        <color auto="1"/>
      </left>
      <right style="thin">
        <color theme="0" tint="-0.34998626667073579"/>
      </right>
      <top style="thin">
        <color indexed="64"/>
      </top>
      <bottom style="thin">
        <color theme="0" tint="-0.24994659260841701"/>
      </bottom>
      <diagonal/>
    </border>
    <border>
      <left style="thin">
        <color theme="0" tint="-0.34998626667073579"/>
      </left>
      <right style="thin">
        <color theme="0" tint="-0.34998626667073579"/>
      </right>
      <top style="thin">
        <color indexed="64"/>
      </top>
      <bottom style="thin">
        <color theme="0" tint="-0.24994659260841701"/>
      </bottom>
      <diagonal/>
    </border>
    <border>
      <left style="thin">
        <color theme="0" tint="-0.34998626667073579"/>
      </left>
      <right style="thin">
        <color indexed="64"/>
      </right>
      <top style="thin">
        <color indexed="64"/>
      </top>
      <bottom style="thin">
        <color theme="0" tint="-0.24994659260841701"/>
      </bottom>
      <diagonal/>
    </border>
    <border>
      <left style="thin">
        <color theme="8" tint="-0.499984740745262"/>
      </left>
      <right style="thin">
        <color theme="8" tint="-0.499984740745262"/>
      </right>
      <top style="thin">
        <color theme="8" tint="-0.499984740745262"/>
      </top>
      <bottom style="thin">
        <color theme="8" tint="-0.499984740745262"/>
      </bottom>
      <diagonal/>
    </border>
    <border>
      <left/>
      <right/>
      <top style="thin">
        <color theme="0" tint="-0.34998626667073579"/>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n">
        <color theme="0" tint="-0.34998626667073579"/>
      </bottom>
      <diagonal/>
    </border>
    <border>
      <left/>
      <right/>
      <top/>
      <bottom style="thin">
        <color theme="3" tint="0.59996337778862885"/>
      </bottom>
      <diagonal/>
    </border>
    <border>
      <left style="thin">
        <color indexed="64"/>
      </left>
      <right style="thin">
        <color theme="0" tint="-0.34998626667073579"/>
      </right>
      <top style="thin">
        <color indexed="64"/>
      </top>
      <bottom/>
      <diagonal/>
    </border>
    <border>
      <left style="thin">
        <color theme="0" tint="-0.34998626667073579"/>
      </left>
      <right/>
      <top style="thin">
        <color indexed="64"/>
      </top>
      <bottom/>
      <diagonal/>
    </border>
    <border>
      <left style="thin">
        <color theme="0" tint="-0.34998626667073579"/>
      </left>
      <right style="thin">
        <color indexed="64"/>
      </right>
      <top style="thin">
        <color indexed="64"/>
      </top>
      <bottom/>
      <diagonal/>
    </border>
    <border>
      <left style="thin">
        <color auto="1"/>
      </left>
      <right style="thin">
        <color theme="0" tint="-0.24994659260841701"/>
      </right>
      <top/>
      <bottom style="thin">
        <color theme="0" tint="-0.34998626667073579"/>
      </bottom>
      <diagonal/>
    </border>
    <border>
      <left style="thin">
        <color theme="0" tint="-0.24994659260841701"/>
      </left>
      <right style="thin">
        <color theme="0" tint="-0.24994659260841701"/>
      </right>
      <top/>
      <bottom style="thin">
        <color theme="0" tint="-0.34998626667073579"/>
      </bottom>
      <diagonal/>
    </border>
    <border>
      <left style="thin">
        <color indexed="64"/>
      </left>
      <right style="thin">
        <color indexed="64"/>
      </right>
      <top style="thin">
        <color indexed="64"/>
      </top>
      <bottom style="thin">
        <color theme="0" tint="-0.3499862666707357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theme="0" tint="-0.34998626667073579"/>
      </left>
      <right style="thin">
        <color theme="0" tint="-0.34998626667073579"/>
      </right>
      <top/>
      <bottom style="thin">
        <color indexed="64"/>
      </bottom>
      <diagonal/>
    </border>
    <border>
      <left/>
      <right/>
      <top style="thin">
        <color theme="0" tint="-0.34998626667073579"/>
      </top>
      <bottom style="thin">
        <color indexed="64"/>
      </bottom>
      <diagonal/>
    </border>
    <border>
      <left/>
      <right style="thin">
        <color auto="1"/>
      </right>
      <top style="thin">
        <color theme="0" tint="-0.24994659260841701"/>
      </top>
      <bottom style="thin">
        <color theme="0" tint="-0.34998626667073579"/>
      </bottom>
      <diagonal/>
    </border>
    <border>
      <left style="thin">
        <color indexed="64"/>
      </left>
      <right style="thin">
        <color theme="0" tint="-0.34998626667073579"/>
      </right>
      <top style="thin">
        <color theme="0" tint="-0.24994659260841701"/>
      </top>
      <bottom style="thin">
        <color theme="0" tint="-0.34998626667073579"/>
      </bottom>
      <diagonal/>
    </border>
    <border>
      <left style="thin">
        <color theme="0" tint="-0.34998626667073579"/>
      </left>
      <right style="thin">
        <color theme="0" tint="-0.34998626667073579"/>
      </right>
      <top style="thin">
        <color theme="0" tint="-0.24994659260841701"/>
      </top>
      <bottom style="thin">
        <color theme="0" tint="-0.34998626667073579"/>
      </bottom>
      <diagonal/>
    </border>
    <border>
      <left style="thin">
        <color theme="0" tint="-0.34998626667073579"/>
      </left>
      <right style="thin">
        <color indexed="64"/>
      </right>
      <top style="thin">
        <color theme="0" tint="-0.24994659260841701"/>
      </top>
      <bottom style="thin">
        <color theme="0" tint="-0.34998626667073579"/>
      </bottom>
      <diagonal/>
    </border>
    <border>
      <left/>
      <right/>
      <top style="double">
        <color indexed="64"/>
      </top>
      <bottom style="thin">
        <color theme="0" tint="-0.34998626667073579"/>
      </bottom>
      <diagonal/>
    </border>
    <border>
      <left style="thin">
        <color indexed="64"/>
      </left>
      <right/>
      <top style="double">
        <color indexed="64"/>
      </top>
      <bottom style="thin">
        <color theme="0" tint="-0.34998626667073579"/>
      </bottom>
      <diagonal/>
    </border>
    <border>
      <left/>
      <right style="thin">
        <color indexed="64"/>
      </right>
      <top style="double">
        <color indexed="64"/>
      </top>
      <bottom style="thin">
        <color theme="0" tint="-0.34998626667073579"/>
      </bottom>
      <diagonal/>
    </border>
    <border>
      <left/>
      <right style="thin">
        <color indexed="64"/>
      </right>
      <top style="thin">
        <color theme="0" tint="-0.34998626667073579"/>
      </top>
      <bottom/>
      <diagonal/>
    </border>
    <border>
      <left/>
      <right style="thin">
        <color indexed="64"/>
      </right>
      <top style="dotted">
        <color theme="0" tint="-0.34998626667073579"/>
      </top>
      <bottom style="dotted">
        <color theme="0" tint="-0.34998626667073579"/>
      </bottom>
      <diagonal/>
    </border>
    <border>
      <left style="thin">
        <color indexed="64"/>
      </left>
      <right style="thin">
        <color theme="0" tint="-0.34998626667073579"/>
      </right>
      <top style="dotted">
        <color theme="0" tint="-0.34998626667073579"/>
      </top>
      <bottom style="dotted">
        <color theme="0" tint="-0.34998626667073579"/>
      </bottom>
      <diagonal/>
    </border>
    <border>
      <left style="thin">
        <color theme="0" tint="-0.34998626667073579"/>
      </left>
      <right style="thin">
        <color theme="0" tint="-0.34998626667073579"/>
      </right>
      <top style="dotted">
        <color theme="0" tint="-0.34998626667073579"/>
      </top>
      <bottom style="dotted">
        <color theme="0" tint="-0.34998626667073579"/>
      </bottom>
      <diagonal/>
    </border>
    <border>
      <left style="thin">
        <color theme="0" tint="-0.34998626667073579"/>
      </left>
      <right style="thin">
        <color indexed="64"/>
      </right>
      <top style="dotted">
        <color theme="0" tint="-0.34998626667073579"/>
      </top>
      <bottom style="dotted">
        <color theme="0" tint="-0.34998626667073579"/>
      </bottom>
      <diagonal/>
    </border>
    <border>
      <left style="thin">
        <color indexed="64"/>
      </left>
      <right style="thin">
        <color indexed="64"/>
      </right>
      <top style="dotted">
        <color theme="0" tint="-0.34998626667073579"/>
      </top>
      <bottom style="dotted">
        <color theme="0" tint="-0.34998626667073579"/>
      </bottom>
      <diagonal/>
    </border>
    <border>
      <left style="thin">
        <color indexed="64"/>
      </left>
      <right style="thin">
        <color theme="0" tint="-0.34998626667073579"/>
      </right>
      <top/>
      <bottom style="dotted">
        <color theme="0" tint="-0.34998626667073579"/>
      </bottom>
      <diagonal/>
    </border>
    <border>
      <left style="thin">
        <color theme="0" tint="-0.34998626667073579"/>
      </left>
      <right style="thin">
        <color theme="0" tint="-0.34998626667073579"/>
      </right>
      <top/>
      <bottom style="dotted">
        <color theme="0" tint="-0.34998626667073579"/>
      </bottom>
      <diagonal/>
    </border>
    <border>
      <left style="thin">
        <color theme="0" tint="-0.34998626667073579"/>
      </left>
      <right style="thin">
        <color indexed="64"/>
      </right>
      <top/>
      <bottom style="dotted">
        <color theme="0" tint="-0.34998626667073579"/>
      </bottom>
      <diagonal/>
    </border>
    <border>
      <left style="thin">
        <color indexed="64"/>
      </left>
      <right style="thin">
        <color indexed="64"/>
      </right>
      <top/>
      <bottom style="dotted">
        <color theme="0" tint="-0.34998626667073579"/>
      </bottom>
      <diagonal/>
    </border>
    <border>
      <left style="thin">
        <color indexed="64"/>
      </left>
      <right style="thin">
        <color indexed="64"/>
      </right>
      <top style="thin">
        <color theme="0" tint="-0.34998626667073579"/>
      </top>
      <bottom style="dashed">
        <color theme="0" tint="-0.34998626667073579"/>
      </bottom>
      <diagonal/>
    </border>
    <border>
      <left style="thin">
        <color theme="0" tint="-0.34998626667073579"/>
      </left>
      <right style="thin">
        <color theme="0" tint="-0.34998626667073579"/>
      </right>
      <top style="thin">
        <color theme="0" tint="-0.34998626667073579"/>
      </top>
      <bottom style="dashed">
        <color theme="0" tint="-0.34998626667073579"/>
      </bottom>
      <diagonal/>
    </border>
    <border>
      <left style="thin">
        <color theme="0" tint="-0.34998626667073579"/>
      </left>
      <right style="thin">
        <color indexed="64"/>
      </right>
      <top style="thin">
        <color theme="0" tint="-0.34998626667073579"/>
      </top>
      <bottom style="dashed">
        <color theme="0" tint="-0.34998626667073579"/>
      </bottom>
      <diagonal/>
    </border>
    <border>
      <left/>
      <right style="thin">
        <color indexed="64"/>
      </right>
      <top style="dashed">
        <color theme="0" tint="-0.34998626667073579"/>
      </top>
      <bottom style="dotted">
        <color theme="0" tint="-0.34998626667073579"/>
      </bottom>
      <diagonal/>
    </border>
    <border>
      <left style="thin">
        <color indexed="64"/>
      </left>
      <right style="thin">
        <color theme="0" tint="-0.34998626667073579"/>
      </right>
      <top style="dashed">
        <color theme="0" tint="-0.34998626667073579"/>
      </top>
      <bottom style="dotted">
        <color theme="0" tint="-0.34998626667073579"/>
      </bottom>
      <diagonal/>
    </border>
    <border>
      <left style="thin">
        <color theme="0" tint="-0.34998626667073579"/>
      </left>
      <right style="thin">
        <color theme="0" tint="-0.34998626667073579"/>
      </right>
      <top style="dashed">
        <color theme="0" tint="-0.34998626667073579"/>
      </top>
      <bottom style="dotted">
        <color theme="0" tint="-0.34998626667073579"/>
      </bottom>
      <diagonal/>
    </border>
    <border>
      <left style="thin">
        <color theme="0" tint="-0.34998626667073579"/>
      </left>
      <right style="thin">
        <color indexed="64"/>
      </right>
      <top style="dashed">
        <color theme="0" tint="-0.34998626667073579"/>
      </top>
      <bottom style="dotted">
        <color theme="0" tint="-0.34998626667073579"/>
      </bottom>
      <diagonal/>
    </border>
    <border>
      <left style="thin">
        <color indexed="64"/>
      </left>
      <right style="thin">
        <color indexed="64"/>
      </right>
      <top style="dashed">
        <color theme="0" tint="-0.34998626667073579"/>
      </top>
      <bottom style="dotted">
        <color theme="0" tint="-0.34998626667073579"/>
      </bottom>
      <diagonal/>
    </border>
    <border>
      <left style="thin">
        <color indexed="64"/>
      </left>
      <right style="thin">
        <color indexed="64"/>
      </right>
      <top style="medium">
        <color indexed="64"/>
      </top>
      <bottom style="thin">
        <color theme="0" tint="-0.34998626667073579"/>
      </bottom>
      <diagonal/>
    </border>
    <border>
      <left/>
      <right style="thin">
        <color indexed="64"/>
      </right>
      <top style="dotted">
        <color theme="0" tint="-0.34998626667073579"/>
      </top>
      <bottom/>
      <diagonal/>
    </border>
    <border>
      <left style="thin">
        <color indexed="64"/>
      </left>
      <right style="thin">
        <color theme="0" tint="-0.34998626667073579"/>
      </right>
      <top style="dotted">
        <color theme="0" tint="-0.34998626667073579"/>
      </top>
      <bottom/>
      <diagonal/>
    </border>
    <border>
      <left style="thin">
        <color theme="0" tint="-0.34998626667073579"/>
      </left>
      <right style="thin">
        <color theme="0" tint="-0.34998626667073579"/>
      </right>
      <top style="dotted">
        <color theme="0" tint="-0.34998626667073579"/>
      </top>
      <bottom/>
      <diagonal/>
    </border>
    <border>
      <left style="thin">
        <color theme="0" tint="-0.34998626667073579"/>
      </left>
      <right style="thin">
        <color indexed="64"/>
      </right>
      <top style="dotted">
        <color theme="0" tint="-0.34998626667073579"/>
      </top>
      <bottom/>
      <diagonal/>
    </border>
    <border>
      <left style="thin">
        <color indexed="64"/>
      </left>
      <right style="thin">
        <color indexed="64"/>
      </right>
      <top style="dotted">
        <color theme="0" tint="-0.34998626667073579"/>
      </top>
      <bottom/>
      <diagonal/>
    </border>
    <border>
      <left/>
      <right style="thin">
        <color indexed="64"/>
      </right>
      <top style="medium">
        <color indexed="64"/>
      </top>
      <bottom style="thin">
        <color theme="0" tint="-0.34998626667073579"/>
      </bottom>
      <diagonal/>
    </border>
    <border>
      <left style="thin">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indexed="64"/>
      </left>
      <right style="thin">
        <color indexed="64"/>
      </right>
      <top style="medium">
        <color indexed="64"/>
      </top>
      <bottom style="medium">
        <color indexed="64"/>
      </bottom>
      <diagonal/>
    </border>
    <border>
      <left style="thin">
        <color theme="0" tint="-0.34998626667073579"/>
      </left>
      <right style="thin">
        <color theme="0" tint="-0.34998626667073579"/>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thin">
        <color indexed="64"/>
      </right>
      <top style="medium">
        <color indexed="64"/>
      </top>
      <bottom style="medium">
        <color indexed="64"/>
      </bottom>
      <diagonal/>
    </border>
    <border>
      <left/>
      <right style="thin">
        <color indexed="64"/>
      </right>
      <top style="dotted">
        <color theme="0" tint="-0.34998626667073579"/>
      </top>
      <bottom style="medium">
        <color indexed="64"/>
      </bottom>
      <diagonal/>
    </border>
    <border>
      <left style="thin">
        <color indexed="64"/>
      </left>
      <right style="thin">
        <color theme="0" tint="-0.34998626667073579"/>
      </right>
      <top style="dotted">
        <color theme="0" tint="-0.34998626667073579"/>
      </top>
      <bottom style="medium">
        <color indexed="64"/>
      </bottom>
      <diagonal/>
    </border>
    <border>
      <left style="thin">
        <color theme="0" tint="-0.34998626667073579"/>
      </left>
      <right style="thin">
        <color theme="0" tint="-0.34998626667073579"/>
      </right>
      <top style="dotted">
        <color theme="0" tint="-0.34998626667073579"/>
      </top>
      <bottom style="medium">
        <color indexed="64"/>
      </bottom>
      <diagonal/>
    </border>
    <border>
      <left style="thin">
        <color theme="0" tint="-0.34998626667073579"/>
      </left>
      <right style="thin">
        <color indexed="64"/>
      </right>
      <top style="dotted">
        <color theme="0" tint="-0.34998626667073579"/>
      </top>
      <bottom style="medium">
        <color indexed="64"/>
      </bottom>
      <diagonal/>
    </border>
    <border>
      <left style="thin">
        <color indexed="64"/>
      </left>
      <right style="thin">
        <color indexed="64"/>
      </right>
      <top style="dotted">
        <color theme="0" tint="-0.34998626667073579"/>
      </top>
      <bottom style="medium">
        <color indexed="64"/>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top style="thin">
        <color rgb="FFA1B0C3"/>
      </top>
      <bottom style="thin">
        <color rgb="FFA1B0C3"/>
      </bottom>
      <diagonal/>
    </border>
    <border>
      <left/>
      <right/>
      <top style="thin">
        <color rgb="FF5F7593"/>
      </top>
      <bottom style="thin">
        <color rgb="FFA1B0C3"/>
      </bottom>
      <diagonal/>
    </border>
    <border>
      <left/>
      <right/>
      <top style="thin">
        <color rgb="FFA1B0C3"/>
      </top>
      <bottom style="thin">
        <color rgb="FF5F7593"/>
      </bottom>
      <diagonal/>
    </border>
    <border>
      <left/>
      <right/>
      <top style="thin">
        <color rgb="FFA1B0C3"/>
      </top>
      <bottom/>
      <diagonal/>
    </border>
    <border>
      <left style="medium">
        <color theme="8" tint="-0.499984740745262"/>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right style="medium">
        <color theme="8" tint="-0.499984740745262"/>
      </right>
      <top style="medium">
        <color theme="8" tint="-0.499984740745262"/>
      </top>
      <bottom style="medium">
        <color theme="8" tint="-0.499984740745262"/>
      </bottom>
      <diagonal/>
    </border>
    <border>
      <left/>
      <right/>
      <top style="thin">
        <color indexed="64"/>
      </top>
      <bottom style="medium">
        <color indexed="64"/>
      </bottom>
      <diagonal/>
    </border>
    <border>
      <left/>
      <right/>
      <top/>
      <bottom style="thin">
        <color rgb="FF5F7593"/>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theme="0" tint="-0.34998626667073579"/>
      </right>
      <top style="thin">
        <color theme="0" tint="-0.34998626667073579"/>
      </top>
      <bottom style="dashed">
        <color theme="0" tint="-0.34998626667073579"/>
      </bottom>
      <diagonal/>
    </border>
    <border>
      <left/>
      <right style="thin">
        <color indexed="64"/>
      </right>
      <top style="thin">
        <color theme="0" tint="-0.34998626667073579"/>
      </top>
      <bottom style="dashed">
        <color theme="0" tint="-0.34998626667073579"/>
      </bottom>
      <diagonal/>
    </border>
    <border>
      <left style="thin">
        <color rgb="FF002060"/>
      </left>
      <right style="thin">
        <color theme="8" tint="-0.499984740745262"/>
      </right>
      <top/>
      <bottom/>
      <diagonal/>
    </border>
    <border>
      <left/>
      <right style="medium">
        <color theme="8" tint="-0.499984740745262"/>
      </right>
      <top/>
      <bottom/>
      <diagonal/>
    </border>
    <border>
      <left/>
      <right style="medium">
        <color theme="8" tint="-0.499984740745262"/>
      </right>
      <top/>
      <bottom style="medium">
        <color rgb="FF002060"/>
      </bottom>
      <diagonal/>
    </border>
    <border>
      <left/>
      <right style="medium">
        <color theme="8" tint="-0.499984740745262"/>
      </right>
      <top/>
      <bottom style="thin">
        <color theme="3" tint="0.59996337778862885"/>
      </bottom>
      <diagonal/>
    </border>
    <border>
      <left/>
      <right style="medium">
        <color theme="8" tint="-0.499984740745262"/>
      </right>
      <top style="thin">
        <color theme="3" tint="0.59996337778862885"/>
      </top>
      <bottom style="thin">
        <color theme="3" tint="0.59996337778862885"/>
      </bottom>
      <diagonal/>
    </border>
    <border>
      <left style="medium">
        <color rgb="FF002060"/>
      </left>
      <right/>
      <top/>
      <bottom style="medium">
        <color theme="8" tint="-0.499984740745262"/>
      </bottom>
      <diagonal/>
    </border>
    <border>
      <left style="medium">
        <color theme="8" tint="-0.499984740745262"/>
      </left>
      <right/>
      <top/>
      <bottom style="medium">
        <color rgb="FF002060"/>
      </bottom>
      <diagonal/>
    </border>
    <border>
      <left style="medium">
        <color rgb="FF002060"/>
      </left>
      <right/>
      <top style="medium">
        <color rgb="FF002060"/>
      </top>
      <bottom/>
      <diagonal/>
    </border>
    <border>
      <left style="medium">
        <color rgb="FF002060"/>
      </left>
      <right/>
      <top/>
      <bottom/>
      <diagonal/>
    </border>
    <border>
      <left/>
      <right/>
      <top style="thin">
        <color theme="3" tint="0.59996337778862885"/>
      </top>
      <bottom/>
      <diagonal/>
    </border>
    <border>
      <left/>
      <right style="medium">
        <color theme="8" tint="-0.499984740745262"/>
      </right>
      <top style="thin">
        <color theme="3" tint="0.59996337778862885"/>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theme="0" tint="-0.34998626667073579"/>
      </bottom>
      <diagonal/>
    </border>
    <border>
      <left style="thin">
        <color indexed="64"/>
      </left>
      <right style="medium">
        <color indexed="64"/>
      </right>
      <top/>
      <bottom style="thin">
        <color theme="0" tint="-0.34998626667073579"/>
      </bottom>
      <diagonal/>
    </border>
    <border>
      <left style="medium">
        <color indexed="64"/>
      </left>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diagonal/>
    </border>
    <border>
      <left style="medium">
        <color indexed="64"/>
      </left>
      <right/>
      <top style="thin">
        <color theme="0" tint="-0.34998626667073579"/>
      </top>
      <bottom/>
      <diagonal/>
    </border>
    <border>
      <left style="medium">
        <color indexed="64"/>
      </left>
      <right/>
      <top style="dashed">
        <color theme="0" tint="-0.34998626667073579"/>
      </top>
      <bottom style="dotted">
        <color theme="0" tint="-0.34998626667073579"/>
      </bottom>
      <diagonal/>
    </border>
    <border>
      <left style="thin">
        <color indexed="64"/>
      </left>
      <right style="medium">
        <color indexed="64"/>
      </right>
      <top style="dashed">
        <color theme="0" tint="-0.34998626667073579"/>
      </top>
      <bottom style="dotted">
        <color theme="0" tint="-0.34998626667073579"/>
      </bottom>
      <diagonal/>
    </border>
    <border>
      <left style="medium">
        <color indexed="64"/>
      </left>
      <right/>
      <top style="dotted">
        <color theme="0" tint="-0.34998626667073579"/>
      </top>
      <bottom style="dotted">
        <color theme="0" tint="-0.34998626667073579"/>
      </bottom>
      <diagonal/>
    </border>
    <border>
      <left style="thin">
        <color indexed="64"/>
      </left>
      <right style="medium">
        <color indexed="64"/>
      </right>
      <top style="dotted">
        <color theme="0" tint="-0.34998626667073579"/>
      </top>
      <bottom style="dotted">
        <color theme="0" tint="-0.34998626667073579"/>
      </bottom>
      <diagonal/>
    </border>
    <border>
      <left style="medium">
        <color indexed="64"/>
      </left>
      <right/>
      <top style="dotted">
        <color theme="0" tint="-0.34998626667073579"/>
      </top>
      <bottom/>
      <diagonal/>
    </border>
    <border>
      <left style="thin">
        <color indexed="64"/>
      </left>
      <right style="medium">
        <color indexed="64"/>
      </right>
      <top style="dotted">
        <color theme="0" tint="-0.34998626667073579"/>
      </top>
      <bottom/>
      <diagonal/>
    </border>
    <border>
      <left style="medium">
        <color indexed="64"/>
      </left>
      <right/>
      <top style="medium">
        <color indexed="64"/>
      </top>
      <bottom style="thin">
        <color theme="0" tint="-0.34998626667073579"/>
      </bottom>
      <diagonal/>
    </border>
    <border>
      <left style="thin">
        <color indexed="64"/>
      </left>
      <right style="medium">
        <color indexed="64"/>
      </right>
      <top style="medium">
        <color indexed="64"/>
      </top>
      <bottom style="thin">
        <color theme="0" tint="-0.34998626667073579"/>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top style="dotted">
        <color theme="0" tint="-0.34998626667073579"/>
      </top>
      <bottom style="medium">
        <color indexed="64"/>
      </bottom>
      <diagonal/>
    </border>
    <border>
      <left style="thin">
        <color indexed="64"/>
      </left>
      <right style="medium">
        <color indexed="64"/>
      </right>
      <top style="dotted">
        <color theme="0" tint="-0.34998626667073579"/>
      </top>
      <bottom style="medium">
        <color indexed="64"/>
      </bottom>
      <diagonal/>
    </border>
    <border>
      <left style="thin">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thin">
        <color theme="0" tint="-0.34998626667073579"/>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theme="0" tint="-0.34998626667073579"/>
      </right>
      <top/>
      <bottom style="dashed">
        <color theme="0" tint="-0.34998626667073579"/>
      </bottom>
      <diagonal/>
    </border>
    <border>
      <left style="thin">
        <color theme="0" tint="-0.34998626667073579"/>
      </left>
      <right style="thin">
        <color theme="0" tint="-0.34998626667073579"/>
      </right>
      <top/>
      <bottom style="dashed">
        <color theme="0" tint="-0.34998626667073579"/>
      </bottom>
      <diagonal/>
    </border>
    <border>
      <left style="thin">
        <color theme="0" tint="-0.34998626667073579"/>
      </left>
      <right style="thin">
        <color indexed="64"/>
      </right>
      <top/>
      <bottom style="dashed">
        <color theme="0" tint="-0.34998626667073579"/>
      </bottom>
      <diagonal/>
    </border>
    <border>
      <left style="thin">
        <color indexed="64"/>
      </left>
      <right style="thin">
        <color theme="0" tint="-0.34998626667073579"/>
      </right>
      <top style="thin">
        <color theme="0" tint="-0.34998626667073579"/>
      </top>
      <bottom style="dashed">
        <color theme="0" tint="-0.34998626667073579"/>
      </bottom>
      <diagonal/>
    </border>
    <border>
      <left style="medium">
        <color theme="8" tint="-0.499984740745262"/>
      </left>
      <right/>
      <top/>
      <bottom style="thin">
        <color theme="3" tint="0.59996337778862885"/>
      </bottom>
      <diagonal/>
    </border>
    <border>
      <left style="medium">
        <color theme="8" tint="-0.499984740745262"/>
      </left>
      <right/>
      <top style="thin">
        <color theme="3" tint="0.59996337778862885"/>
      </top>
      <bottom style="thin">
        <color theme="3" tint="0.59996337778862885"/>
      </bottom>
      <diagonal/>
    </border>
    <border>
      <left style="medium">
        <color theme="8" tint="-0.499984740745262"/>
      </left>
      <right/>
      <top style="thin">
        <color theme="3" tint="0.59996337778862885"/>
      </top>
      <bottom/>
      <diagonal/>
    </border>
    <border>
      <left/>
      <right/>
      <top/>
      <bottom style="thick">
        <color rgb="FFBC5DCF"/>
      </bottom>
      <diagonal/>
    </border>
    <border>
      <left/>
      <right/>
      <top/>
      <bottom style="thin">
        <color theme="0" tint="-0.24994659260841701"/>
      </bottom>
      <diagonal/>
    </border>
    <border>
      <left/>
      <right/>
      <top style="thin">
        <color theme="0" tint="-0.24994659260841701"/>
      </top>
      <bottom/>
      <diagonal/>
    </border>
    <border>
      <left/>
      <right/>
      <top/>
      <bottom style="thick">
        <color rgb="FF9999FF"/>
      </bottom>
      <diagonal/>
    </border>
    <border>
      <left style="medium">
        <color indexed="64"/>
      </left>
      <right/>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thin">
        <color theme="0" tint="-0.34998626667073579"/>
      </bottom>
      <diagonal/>
    </border>
    <border>
      <left style="thin">
        <color indexed="64"/>
      </left>
      <right style="medium">
        <color indexed="64"/>
      </right>
      <top style="thin">
        <color indexed="64"/>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medium">
        <color indexed="64"/>
      </left>
      <right/>
      <top style="thin">
        <color theme="0" tint="-0.34998626667073579"/>
      </top>
      <bottom style="dashed">
        <color theme="0" tint="-0.34998626667073579"/>
      </bottom>
      <diagonal/>
    </border>
    <border>
      <left style="thin">
        <color indexed="64"/>
      </left>
      <right style="medium">
        <color indexed="64"/>
      </right>
      <top style="thin">
        <color theme="0" tint="-0.34998626667073579"/>
      </top>
      <bottom style="dashed">
        <color theme="0" tint="-0.34998626667073579"/>
      </bottom>
      <diagonal/>
    </border>
    <border>
      <left style="thin">
        <color indexed="64"/>
      </left>
      <right style="medium">
        <color indexed="64"/>
      </right>
      <top/>
      <bottom style="dotted">
        <color theme="0" tint="-0.34998626667073579"/>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theme="0" tint="-0.24994659260841701"/>
      </bottom>
      <diagonal/>
    </border>
    <border>
      <left style="medium">
        <color indexed="64"/>
      </left>
      <right/>
      <top style="thin">
        <color theme="0" tint="-0.24994659260841701"/>
      </top>
      <bottom style="thin">
        <color theme="0" tint="-0.34998626667073579"/>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theme="0" tint="-0.34998626667073579"/>
      </bottom>
      <diagonal/>
    </border>
    <border>
      <left style="thin">
        <color indexed="64"/>
      </left>
      <right style="medium">
        <color indexed="64"/>
      </right>
      <top style="thin">
        <color theme="0" tint="-0.34998626667073579"/>
      </top>
      <bottom style="thin">
        <color indexed="64"/>
      </bottom>
      <diagonal/>
    </border>
    <border>
      <left/>
      <right style="medium">
        <color indexed="64"/>
      </right>
      <top style="thin">
        <color theme="0" tint="-0.34998626667073579"/>
      </top>
      <bottom style="thin">
        <color theme="0" tint="-0.34998626667073579"/>
      </bottom>
      <diagonal/>
    </border>
    <border>
      <left style="thin">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right style="medium">
        <color indexed="64"/>
      </right>
      <top style="thin">
        <color indexed="64"/>
      </top>
      <bottom style="thin">
        <color theme="0" tint="-0.24994659260841701"/>
      </bottom>
      <diagonal/>
    </border>
    <border>
      <left style="thin">
        <color indexed="64"/>
      </left>
      <right style="medium">
        <color indexed="64"/>
      </right>
      <top style="thin">
        <color theme="0" tint="-0.24994659260841701"/>
      </top>
      <bottom style="thin">
        <color indexed="64"/>
      </bottom>
      <diagonal/>
    </border>
    <border>
      <left style="thin">
        <color theme="4" tint="-0.499984740745262"/>
      </left>
      <right style="thin">
        <color theme="4" tint="-0.499984740745262"/>
      </right>
      <top/>
      <bottom/>
      <diagonal/>
    </border>
    <border>
      <left/>
      <right/>
      <top style="thin">
        <color theme="8" tint="-0.24994659260841701"/>
      </top>
      <bottom style="thin">
        <color theme="8" tint="-0.24994659260841701"/>
      </bottom>
      <diagonal/>
    </border>
    <border>
      <left/>
      <right/>
      <top style="thin">
        <color theme="4" tint="-0.499984740745262"/>
      </top>
      <bottom style="thin">
        <color theme="4" tint="-0.499984740745262"/>
      </bottom>
      <diagonal/>
    </border>
    <border>
      <left style="medium">
        <color theme="3" tint="0.59996337778862885"/>
      </left>
      <right style="medium">
        <color theme="3" tint="0.59996337778862885"/>
      </right>
      <top style="medium">
        <color theme="3" tint="0.59996337778862885"/>
      </top>
      <bottom/>
      <diagonal/>
    </border>
    <border>
      <left style="medium">
        <color theme="3" tint="0.59996337778862885"/>
      </left>
      <right style="medium">
        <color theme="3" tint="0.59996337778862885"/>
      </right>
      <top/>
      <bottom style="medium">
        <color theme="3" tint="0.59996337778862885"/>
      </bottom>
      <diagonal/>
    </border>
    <border>
      <left style="thin">
        <color theme="8" tint="-0.499984740745262"/>
      </left>
      <right/>
      <top/>
      <bottom style="thin">
        <color theme="8" tint="-0.24994659260841701"/>
      </bottom>
      <diagonal/>
    </border>
    <border>
      <left/>
      <right style="thin">
        <color theme="8" tint="-0.499984740745262"/>
      </right>
      <top/>
      <bottom style="thin">
        <color theme="8" tint="-0.24994659260841701"/>
      </bottom>
      <diagonal/>
    </border>
    <border>
      <left style="thin">
        <color theme="8" tint="-0.499984740745262"/>
      </left>
      <right/>
      <top style="thin">
        <color theme="8" tint="-0.24994659260841701"/>
      </top>
      <bottom style="thin">
        <color theme="8" tint="-0.24994659260841701"/>
      </bottom>
      <diagonal/>
    </border>
    <border>
      <left/>
      <right style="thin">
        <color theme="8" tint="-0.499984740745262"/>
      </right>
      <top style="thin">
        <color theme="8" tint="-0.24994659260841701"/>
      </top>
      <bottom style="thin">
        <color theme="8" tint="-0.24994659260841701"/>
      </bottom>
      <diagonal/>
    </border>
    <border>
      <left style="thin">
        <color theme="9" tint="-0.499984740745262"/>
      </left>
      <right/>
      <top style="thin">
        <color theme="9" tint="-0.499984740745262"/>
      </top>
      <bottom/>
      <diagonal/>
    </border>
    <border>
      <left/>
      <right style="thin">
        <color theme="9" tint="-0.499984740745262"/>
      </right>
      <top style="thin">
        <color theme="9" tint="-0.499984740745262"/>
      </top>
      <bottom/>
      <diagonal/>
    </border>
    <border>
      <left style="thin">
        <color theme="9" tint="-0.499984740745262"/>
      </left>
      <right/>
      <top/>
      <bottom/>
      <diagonal/>
    </border>
    <border>
      <left/>
      <right style="thin">
        <color theme="9" tint="-0.499984740745262"/>
      </right>
      <top/>
      <bottom/>
      <diagonal/>
    </border>
    <border>
      <left style="thin">
        <color theme="9" tint="-0.499984740745262"/>
      </left>
      <right/>
      <top/>
      <bottom style="thin">
        <color theme="9" tint="-0.24994659260841701"/>
      </bottom>
      <diagonal/>
    </border>
    <border>
      <left/>
      <right style="thin">
        <color theme="9" tint="-0.499984740745262"/>
      </right>
      <top/>
      <bottom style="thin">
        <color theme="9" tint="-0.24994659260841701"/>
      </bottom>
      <diagonal/>
    </border>
    <border>
      <left/>
      <right style="thin">
        <color theme="9" tint="-0.499984740745262"/>
      </right>
      <top style="thin">
        <color theme="9" tint="-0.24994659260841701"/>
      </top>
      <bottom style="thin">
        <color theme="9" tint="-0.24994659260841701"/>
      </bottom>
      <diagonal/>
    </border>
    <border>
      <left style="thin">
        <color theme="9" tint="-0.499984740745262"/>
      </left>
      <right/>
      <top style="thin">
        <color theme="9" tint="-0.24994659260841701"/>
      </top>
      <bottom style="thin">
        <color theme="9" tint="-0.24994659260841701"/>
      </bottom>
      <diagonal/>
    </border>
    <border>
      <left/>
      <right style="thin">
        <color theme="9" tint="-0.499984740745262"/>
      </right>
      <top style="thin">
        <color theme="9" tint="-0.24994659260841701"/>
      </top>
      <bottom/>
      <diagonal/>
    </border>
    <border>
      <left style="thin">
        <color theme="9" tint="-0.499984740745262"/>
      </left>
      <right/>
      <top/>
      <bottom style="thin">
        <color theme="9" tint="-0.499984740745262"/>
      </bottom>
      <diagonal/>
    </border>
    <border>
      <left/>
      <right style="thin">
        <color theme="9" tint="-0.499984740745262"/>
      </right>
      <top/>
      <bottom style="thin">
        <color theme="9" tint="-0.499984740745262"/>
      </bottom>
      <diagonal/>
    </border>
    <border>
      <left/>
      <right/>
      <top style="thin">
        <color rgb="FFCDBEAF"/>
      </top>
      <bottom style="thin">
        <color rgb="FFCDBEAF"/>
      </bottom>
      <diagonal/>
    </border>
    <border>
      <left/>
      <right/>
      <top style="thin">
        <color rgb="FF886940"/>
      </top>
      <bottom/>
      <diagonal/>
    </border>
    <border>
      <left/>
      <right/>
      <top/>
      <bottom style="thin">
        <color rgb="FF886940"/>
      </bottom>
      <diagonal/>
    </border>
    <border>
      <left/>
      <right style="thin">
        <color theme="4" tint="-0.499984740745262"/>
      </right>
      <top style="thin">
        <color theme="8" tint="-0.499984740745262"/>
      </top>
      <bottom/>
      <diagonal/>
    </border>
    <border>
      <left/>
      <right style="thin">
        <color theme="4" tint="-0.499984740745262"/>
      </right>
      <top/>
      <bottom style="thin">
        <color theme="8" tint="-0.499984740745262"/>
      </bottom>
      <diagonal/>
    </border>
    <border>
      <left style="thick">
        <color theme="3"/>
      </left>
      <right/>
      <top/>
      <bottom/>
      <diagonal/>
    </border>
    <border>
      <left/>
      <right/>
      <top style="thin">
        <color rgb="FFC0DED0"/>
      </top>
      <bottom style="thin">
        <color rgb="FFC0DED0"/>
      </bottom>
      <diagonal/>
    </border>
    <border>
      <left/>
      <right/>
      <top style="thin">
        <color rgb="FF82BCA0"/>
      </top>
      <bottom style="thin">
        <color rgb="FFC0DED0"/>
      </bottom>
      <diagonal/>
    </border>
    <border>
      <left/>
      <right/>
      <top style="thin">
        <color rgb="FFC0DED0"/>
      </top>
      <bottom style="thin">
        <color rgb="FF82BCA0"/>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thin">
        <color theme="3" tint="0.79998168889431442"/>
      </left>
      <right style="thin">
        <color theme="3" tint="0.79998168889431442"/>
      </right>
      <top/>
      <bottom/>
      <diagonal/>
    </border>
    <border>
      <left style="thin">
        <color theme="3" tint="0.79998168889431442"/>
      </left>
      <right style="thin">
        <color theme="3" tint="0.79998168889431442"/>
      </right>
      <top/>
      <bottom style="thin">
        <color theme="8" tint="-0.499984740745262"/>
      </bottom>
      <diagonal/>
    </border>
    <border>
      <left style="thin">
        <color theme="8" tint="-0.499984740745262"/>
      </left>
      <right/>
      <top style="thin">
        <color theme="8" tint="-0.499984740745262"/>
      </top>
      <bottom style="thin">
        <color theme="3" tint="0.59996337778862885"/>
      </bottom>
      <diagonal/>
    </border>
    <border>
      <left style="thin">
        <color theme="3" tint="0.79998168889431442"/>
      </left>
      <right style="thin">
        <color theme="3" tint="0.79998168889431442"/>
      </right>
      <top style="thin">
        <color theme="8" tint="-0.499984740745262"/>
      </top>
      <bottom style="thin">
        <color theme="3" tint="0.59996337778862885"/>
      </bottom>
      <diagonal/>
    </border>
    <border>
      <left/>
      <right style="thin">
        <color theme="8" tint="-0.499984740745262"/>
      </right>
      <top style="thin">
        <color theme="8" tint="-0.499984740745262"/>
      </top>
      <bottom style="thin">
        <color theme="3" tint="0.59996337778862885"/>
      </bottom>
      <diagonal/>
    </border>
    <border>
      <left/>
      <right/>
      <top style="medium">
        <color theme="8" tint="-0.499984740745262"/>
      </top>
      <bottom/>
      <diagonal/>
    </border>
    <border>
      <left/>
      <right/>
      <top/>
      <bottom style="thick">
        <color rgb="FF7030A0"/>
      </bottom>
      <diagonal/>
    </border>
  </borders>
  <cellStyleXfs count="4">
    <xf numFmtId="0" fontId="0" fillId="0" borderId="0"/>
    <xf numFmtId="0" fontId="34" fillId="22" borderId="0" applyNumberFormat="0" applyBorder="0" applyAlignment="0" applyProtection="0"/>
    <xf numFmtId="0" fontId="86" fillId="26" borderId="0" applyNumberFormat="0" applyBorder="0" applyAlignment="0" applyProtection="0"/>
    <xf numFmtId="0" fontId="123" fillId="0" borderId="0" applyNumberFormat="0" applyFill="0" applyBorder="0" applyAlignment="0" applyProtection="0"/>
  </cellStyleXfs>
  <cellXfs count="3561">
    <xf numFmtId="0" fontId="0" fillId="0" borderId="0" xfId="0"/>
    <xf numFmtId="0" fontId="0" fillId="4" borderId="0" xfId="0" applyFill="1"/>
    <xf numFmtId="0" fontId="0" fillId="0" borderId="0" xfId="0" applyAlignment="1">
      <alignment horizontal="left"/>
    </xf>
    <xf numFmtId="0" fontId="0" fillId="0" borderId="0" xfId="0" applyAlignment="1">
      <alignment vertical="center"/>
    </xf>
    <xf numFmtId="164" fontId="4" fillId="0" borderId="0" xfId="0" applyNumberFormat="1" applyFont="1"/>
    <xf numFmtId="164" fontId="0" fillId="0" borderId="0" xfId="0" applyNumberFormat="1"/>
    <xf numFmtId="0" fontId="0" fillId="0" borderId="0" xfId="0" applyAlignment="1">
      <alignment vertical="top"/>
    </xf>
    <xf numFmtId="165" fontId="0" fillId="0" borderId="0" xfId="0" applyNumberFormat="1"/>
    <xf numFmtId="164" fontId="4" fillId="4" borderId="0" xfId="0" applyNumberFormat="1" applyFont="1" applyFill="1" applyAlignment="1" applyProtection="1">
      <alignment horizontal="right" vertical="center" indent="1"/>
      <protection hidden="1"/>
    </xf>
    <xf numFmtId="164" fontId="5" fillId="4" borderId="48" xfId="0" applyNumberFormat="1" applyFont="1" applyFill="1" applyBorder="1" applyAlignment="1" applyProtection="1">
      <alignment horizontal="right" vertical="center" indent="1"/>
      <protection hidden="1"/>
    </xf>
    <xf numFmtId="0" fontId="5" fillId="0" borderId="0" xfId="0" applyFont="1"/>
    <xf numFmtId="164" fontId="41" fillId="4" borderId="0" xfId="0" applyNumberFormat="1" applyFont="1" applyFill="1" applyAlignment="1" applyProtection="1">
      <alignment horizontal="center" vertical="center"/>
      <protection hidden="1"/>
    </xf>
    <xf numFmtId="164" fontId="5" fillId="4" borderId="7" xfId="0" applyNumberFormat="1" applyFont="1" applyFill="1" applyBorder="1" applyAlignment="1" applyProtection="1">
      <alignment horizontal="left" vertical="center" indent="1"/>
      <protection hidden="1"/>
    </xf>
    <xf numFmtId="0" fontId="5" fillId="4" borderId="117" xfId="0" applyFont="1" applyFill="1" applyBorder="1" applyAlignment="1" applyProtection="1">
      <alignment horizontal="center" vertical="center"/>
      <protection hidden="1"/>
    </xf>
    <xf numFmtId="0" fontId="49" fillId="24" borderId="66" xfId="0" applyFont="1" applyFill="1" applyBorder="1" applyAlignment="1" applyProtection="1">
      <alignment horizontal="center" vertical="center"/>
      <protection hidden="1"/>
    </xf>
    <xf numFmtId="0" fontId="49" fillId="24" borderId="0" xfId="0" applyFont="1" applyFill="1" applyAlignment="1" applyProtection="1">
      <alignment horizontal="left" vertical="center" indent="1"/>
      <protection hidden="1"/>
    </xf>
    <xf numFmtId="164" fontId="49" fillId="24" borderId="0" xfId="0" applyNumberFormat="1" applyFont="1" applyFill="1" applyAlignment="1" applyProtection="1">
      <alignment horizontal="right" vertical="center" indent="1"/>
      <protection hidden="1"/>
    </xf>
    <xf numFmtId="164" fontId="50" fillId="24" borderId="48" xfId="0" applyNumberFormat="1" applyFont="1" applyFill="1" applyBorder="1" applyAlignment="1" applyProtection="1">
      <alignment vertical="center"/>
      <protection hidden="1"/>
    </xf>
    <xf numFmtId="164" fontId="49" fillId="24" borderId="0" xfId="0" applyNumberFormat="1" applyFont="1" applyFill="1" applyAlignment="1" applyProtection="1">
      <alignment horizontal="left" vertical="center"/>
      <protection hidden="1"/>
    </xf>
    <xf numFmtId="164" fontId="5" fillId="4" borderId="58" xfId="0" applyNumberFormat="1" applyFont="1" applyFill="1" applyBorder="1" applyAlignment="1" applyProtection="1">
      <alignment horizontal="left" vertical="center" indent="1"/>
      <protection hidden="1"/>
    </xf>
    <xf numFmtId="164" fontId="5" fillId="4" borderId="98" xfId="0" applyNumberFormat="1" applyFont="1" applyFill="1" applyBorder="1" applyAlignment="1" applyProtection="1">
      <alignment horizontal="left" vertical="center" indent="1"/>
      <protection hidden="1"/>
    </xf>
    <xf numFmtId="0" fontId="52" fillId="0" borderId="0" xfId="0" applyFont="1" applyAlignment="1" applyProtection="1">
      <alignment horizontal="center"/>
      <protection hidden="1"/>
    </xf>
    <xf numFmtId="0" fontId="22" fillId="4" borderId="0" xfId="0" applyFont="1" applyFill="1" applyAlignment="1" applyProtection="1">
      <alignment horizontal="left" vertical="top"/>
      <protection hidden="1"/>
    </xf>
    <xf numFmtId="0" fontId="6" fillId="4" borderId="0" xfId="0" applyFont="1" applyFill="1" applyAlignment="1" applyProtection="1">
      <alignment horizontal="left" indent="1"/>
      <protection hidden="1"/>
    </xf>
    <xf numFmtId="0" fontId="31" fillId="4" borderId="0" xfId="0" applyFont="1" applyFill="1" applyAlignment="1" applyProtection="1">
      <alignment horizontal="center" vertical="center"/>
      <protection hidden="1"/>
    </xf>
    <xf numFmtId="0" fontId="31" fillId="4" borderId="0" xfId="0" applyFont="1" applyFill="1" applyAlignment="1" applyProtection="1">
      <alignment horizontal="left" indent="1"/>
      <protection hidden="1"/>
    </xf>
    <xf numFmtId="0" fontId="19" fillId="4" borderId="0" xfId="0" applyFont="1" applyFill="1" applyAlignment="1" applyProtection="1">
      <alignment horizontal="left" indent="1"/>
      <protection hidden="1"/>
    </xf>
    <xf numFmtId="0" fontId="13" fillId="4" borderId="0" xfId="0" applyFont="1" applyFill="1" applyProtection="1">
      <protection hidden="1"/>
    </xf>
    <xf numFmtId="0" fontId="0" fillId="0" borderId="0" xfId="0" applyProtection="1">
      <protection hidden="1"/>
    </xf>
    <xf numFmtId="0" fontId="10" fillId="9" borderId="0" xfId="0" applyFont="1" applyFill="1" applyProtection="1">
      <protection hidden="1"/>
    </xf>
    <xf numFmtId="0" fontId="11" fillId="9" borderId="0" xfId="0" applyFont="1" applyFill="1" applyAlignment="1" applyProtection="1">
      <alignment vertical="center"/>
      <protection hidden="1"/>
    </xf>
    <xf numFmtId="0" fontId="10" fillId="9" borderId="0" xfId="0" applyFont="1" applyFill="1" applyAlignment="1" applyProtection="1">
      <alignment vertical="center"/>
      <protection hidden="1"/>
    </xf>
    <xf numFmtId="0" fontId="7" fillId="9" borderId="0" xfId="0" applyFont="1" applyFill="1" applyProtection="1">
      <protection hidden="1"/>
    </xf>
    <xf numFmtId="0" fontId="7" fillId="4" borderId="0" xfId="0" applyFont="1" applyFill="1" applyProtection="1">
      <protection hidden="1"/>
    </xf>
    <xf numFmtId="0" fontId="1" fillId="9" borderId="0" xfId="0" applyFont="1" applyFill="1" applyAlignment="1" applyProtection="1">
      <alignment vertical="center"/>
      <protection hidden="1"/>
    </xf>
    <xf numFmtId="0" fontId="1" fillId="4" borderId="0" xfId="0" applyFont="1" applyFill="1" applyAlignment="1" applyProtection="1">
      <alignment vertical="center"/>
      <protection hidden="1"/>
    </xf>
    <xf numFmtId="0" fontId="5" fillId="10" borderId="0" xfId="0" applyFont="1" applyFill="1" applyProtection="1">
      <protection hidden="1"/>
    </xf>
    <xf numFmtId="0" fontId="21" fillId="10" borderId="0" xfId="0" applyFont="1" applyFill="1" applyAlignment="1" applyProtection="1">
      <alignment vertical="center"/>
      <protection hidden="1"/>
    </xf>
    <xf numFmtId="0" fontId="0" fillId="10" borderId="0" xfId="0" applyFill="1" applyProtection="1">
      <protection hidden="1"/>
    </xf>
    <xf numFmtId="0" fontId="31" fillId="10" borderId="0" xfId="0" applyFont="1" applyFill="1" applyAlignment="1" applyProtection="1">
      <alignment horizontal="right" vertical="center"/>
      <protection hidden="1"/>
    </xf>
    <xf numFmtId="0" fontId="12" fillId="5" borderId="11" xfId="0" applyFont="1" applyFill="1" applyBorder="1" applyProtection="1">
      <protection hidden="1"/>
    </xf>
    <xf numFmtId="0" fontId="12" fillId="5" borderId="12" xfId="0" applyFont="1" applyFill="1" applyBorder="1" applyProtection="1">
      <protection hidden="1"/>
    </xf>
    <xf numFmtId="0" fontId="12" fillId="5" borderId="13" xfId="0" applyFont="1" applyFill="1" applyBorder="1" applyProtection="1">
      <protection hidden="1"/>
    </xf>
    <xf numFmtId="0" fontId="12" fillId="0" borderId="0" xfId="0" applyFont="1" applyProtection="1">
      <protection hidden="1"/>
    </xf>
    <xf numFmtId="0" fontId="12" fillId="5" borderId="14" xfId="0" applyFont="1" applyFill="1" applyBorder="1" applyProtection="1">
      <protection hidden="1"/>
    </xf>
    <xf numFmtId="0" fontId="12" fillId="4" borderId="19" xfId="0" applyFont="1" applyFill="1" applyBorder="1" applyProtection="1">
      <protection hidden="1"/>
    </xf>
    <xf numFmtId="0" fontId="12" fillId="4" borderId="20" xfId="0" applyFont="1" applyFill="1" applyBorder="1" applyProtection="1">
      <protection hidden="1"/>
    </xf>
    <xf numFmtId="0" fontId="12" fillId="4" borderId="21" xfId="0" applyFont="1" applyFill="1" applyBorder="1" applyProtection="1">
      <protection hidden="1"/>
    </xf>
    <xf numFmtId="0" fontId="12" fillId="5" borderId="27" xfId="0" applyFont="1" applyFill="1" applyBorder="1" applyProtection="1">
      <protection hidden="1"/>
    </xf>
    <xf numFmtId="0" fontId="0" fillId="5" borderId="27" xfId="0" applyFill="1" applyBorder="1" applyProtection="1">
      <protection hidden="1"/>
    </xf>
    <xf numFmtId="0" fontId="12" fillId="4" borderId="22" xfId="0" applyFont="1" applyFill="1" applyBorder="1" applyProtection="1">
      <protection hidden="1"/>
    </xf>
    <xf numFmtId="0" fontId="29" fillId="4" borderId="0" xfId="0" applyFont="1" applyFill="1" applyAlignment="1" applyProtection="1">
      <alignment vertical="top"/>
      <protection hidden="1"/>
    </xf>
    <xf numFmtId="0" fontId="10" fillId="4" borderId="0" xfId="0" applyFont="1" applyFill="1" applyProtection="1">
      <protection hidden="1"/>
    </xf>
    <xf numFmtId="0" fontId="31" fillId="4" borderId="0" xfId="0" applyFont="1" applyFill="1" applyAlignment="1" applyProtection="1">
      <alignment horizontal="left" vertical="top"/>
      <protection hidden="1"/>
    </xf>
    <xf numFmtId="0" fontId="31" fillId="4" borderId="0" xfId="0" applyFont="1" applyFill="1" applyAlignment="1" applyProtection="1">
      <alignment horizontal="left" vertical="center"/>
      <protection hidden="1"/>
    </xf>
    <xf numFmtId="0" fontId="0" fillId="4" borderId="0" xfId="0" applyFill="1" applyProtection="1">
      <protection hidden="1"/>
    </xf>
    <xf numFmtId="0" fontId="31" fillId="4" borderId="22" xfId="0" applyFont="1" applyFill="1" applyBorder="1" applyAlignment="1" applyProtection="1">
      <alignment horizontal="left" vertical="top"/>
      <protection hidden="1"/>
    </xf>
    <xf numFmtId="0" fontId="29" fillId="4" borderId="0" xfId="0" applyFont="1" applyFill="1" applyAlignment="1" applyProtection="1">
      <alignment horizontal="left" vertical="top" indent="1"/>
      <protection hidden="1"/>
    </xf>
    <xf numFmtId="0" fontId="1" fillId="4" borderId="0" xfId="0" applyFont="1" applyFill="1" applyProtection="1">
      <protection hidden="1"/>
    </xf>
    <xf numFmtId="0" fontId="12" fillId="4" borderId="0" xfId="0" applyFont="1" applyFill="1" applyProtection="1">
      <protection hidden="1"/>
    </xf>
    <xf numFmtId="0" fontId="28" fillId="4" borderId="0" xfId="0" applyFont="1" applyFill="1" applyAlignment="1" applyProtection="1">
      <alignment horizontal="left" vertical="top" indent="3"/>
      <protection hidden="1"/>
    </xf>
    <xf numFmtId="0" fontId="12" fillId="4" borderId="23" xfId="0" applyFont="1" applyFill="1" applyBorder="1" applyProtection="1">
      <protection hidden="1"/>
    </xf>
    <xf numFmtId="0" fontId="28" fillId="4" borderId="0" xfId="0" applyFont="1" applyFill="1" applyAlignment="1" applyProtection="1">
      <alignment horizontal="left" vertical="center" indent="1"/>
      <protection hidden="1"/>
    </xf>
    <xf numFmtId="0" fontId="12" fillId="5" borderId="14" xfId="0" applyFont="1" applyFill="1" applyBorder="1" applyAlignment="1" applyProtection="1">
      <alignment vertical="center"/>
      <protection hidden="1"/>
    </xf>
    <xf numFmtId="0" fontId="12" fillId="4" borderId="22" xfId="0" applyFont="1" applyFill="1" applyBorder="1" applyAlignment="1" applyProtection="1">
      <alignment vertical="center"/>
      <protection hidden="1"/>
    </xf>
    <xf numFmtId="0" fontId="17" fillId="4" borderId="0" xfId="0" applyFont="1" applyFill="1" applyAlignment="1" applyProtection="1">
      <alignment horizontal="left" vertical="center" indent="1"/>
      <protection hidden="1"/>
    </xf>
    <xf numFmtId="0" fontId="17" fillId="4" borderId="0" xfId="0" applyFont="1" applyFill="1" applyAlignment="1" applyProtection="1">
      <alignment horizontal="left"/>
      <protection hidden="1"/>
    </xf>
    <xf numFmtId="0" fontId="17" fillId="4" borderId="23" xfId="0" applyFont="1" applyFill="1" applyBorder="1" applyAlignment="1" applyProtection="1">
      <alignment horizontal="left"/>
      <protection hidden="1"/>
    </xf>
    <xf numFmtId="0" fontId="17" fillId="4" borderId="22" xfId="0" applyFont="1" applyFill="1" applyBorder="1" applyAlignment="1" applyProtection="1">
      <alignment horizontal="left"/>
      <protection hidden="1"/>
    </xf>
    <xf numFmtId="0" fontId="12" fillId="4" borderId="23" xfId="0" applyFont="1" applyFill="1" applyBorder="1" applyAlignment="1" applyProtection="1">
      <alignment vertical="center"/>
      <protection hidden="1"/>
    </xf>
    <xf numFmtId="0" fontId="0" fillId="5" borderId="27" xfId="0" applyFill="1" applyBorder="1" applyAlignment="1" applyProtection="1">
      <alignment vertical="center"/>
      <protection hidden="1"/>
    </xf>
    <xf numFmtId="0" fontId="12" fillId="0" borderId="0" xfId="0" applyFont="1" applyAlignment="1" applyProtection="1">
      <alignment vertical="center"/>
      <protection hidden="1"/>
    </xf>
    <xf numFmtId="0" fontId="0" fillId="0" borderId="0" xfId="0" applyAlignment="1" applyProtection="1">
      <alignment vertical="center"/>
      <protection hidden="1"/>
    </xf>
    <xf numFmtId="0" fontId="14" fillId="4" borderId="0" xfId="0" applyFont="1" applyFill="1" applyAlignment="1" applyProtection="1">
      <alignment horizontal="right" vertical="center"/>
      <protection hidden="1"/>
    </xf>
    <xf numFmtId="166" fontId="14" fillId="4" borderId="0" xfId="0" applyNumberFormat="1" applyFont="1" applyFill="1" applyAlignment="1" applyProtection="1">
      <alignment horizontal="left" vertical="center"/>
      <protection hidden="1"/>
    </xf>
    <xf numFmtId="0" fontId="12" fillId="4" borderId="0" xfId="0" applyFont="1" applyFill="1" applyAlignment="1" applyProtection="1">
      <alignment vertical="center"/>
      <protection hidden="1"/>
    </xf>
    <xf numFmtId="0" fontId="14" fillId="4" borderId="0" xfId="0" applyFont="1" applyFill="1" applyAlignment="1" applyProtection="1">
      <alignment vertical="center"/>
      <protection hidden="1"/>
    </xf>
    <xf numFmtId="0" fontId="14" fillId="4" borderId="0" xfId="0" applyFont="1" applyFill="1" applyAlignment="1" applyProtection="1">
      <alignment horizontal="left" vertical="center"/>
      <protection hidden="1"/>
    </xf>
    <xf numFmtId="0" fontId="5" fillId="4" borderId="0" xfId="0" applyFont="1" applyFill="1" applyAlignment="1" applyProtection="1">
      <alignment vertical="center"/>
      <protection hidden="1"/>
    </xf>
    <xf numFmtId="0" fontId="14" fillId="4" borderId="23" xfId="0" applyFont="1" applyFill="1" applyBorder="1" applyAlignment="1" applyProtection="1">
      <alignment vertical="center"/>
      <protection hidden="1"/>
    </xf>
    <xf numFmtId="0" fontId="14" fillId="4" borderId="22" xfId="0" applyFont="1" applyFill="1" applyBorder="1" applyAlignment="1" applyProtection="1">
      <alignment vertical="center"/>
      <protection hidden="1"/>
    </xf>
    <xf numFmtId="166" fontId="14" fillId="4" borderId="0" xfId="0" applyNumberFormat="1" applyFont="1" applyFill="1" applyAlignment="1" applyProtection="1">
      <alignment vertical="center"/>
      <protection hidden="1"/>
    </xf>
    <xf numFmtId="0" fontId="0" fillId="4" borderId="0" xfId="0" applyFill="1" applyAlignment="1" applyProtection="1">
      <alignment vertical="center"/>
      <protection hidden="1"/>
    </xf>
    <xf numFmtId="0" fontId="12" fillId="4" borderId="0" xfId="0" applyFont="1" applyFill="1" applyAlignment="1" applyProtection="1">
      <alignment horizontal="left" vertical="center"/>
      <protection hidden="1"/>
    </xf>
    <xf numFmtId="0" fontId="0" fillId="4" borderId="23" xfId="0" applyFill="1" applyBorder="1" applyAlignment="1" applyProtection="1">
      <alignment vertical="center"/>
      <protection hidden="1"/>
    </xf>
    <xf numFmtId="0" fontId="3" fillId="4" borderId="0" xfId="0" applyFont="1" applyFill="1" applyAlignment="1" applyProtection="1">
      <alignment vertical="center" wrapText="1"/>
      <protection hidden="1"/>
    </xf>
    <xf numFmtId="0" fontId="12" fillId="4" borderId="0" xfId="0" applyFont="1" applyFill="1" applyAlignment="1" applyProtection="1">
      <alignment horizontal="right" vertical="center"/>
      <protection hidden="1"/>
    </xf>
    <xf numFmtId="0" fontId="23" fillId="0" borderId="0" xfId="0" applyFont="1" applyAlignment="1" applyProtection="1">
      <alignment horizontal="right" vertical="top"/>
      <protection hidden="1"/>
    </xf>
    <xf numFmtId="0" fontId="14" fillId="4" borderId="0" xfId="0" applyFont="1" applyFill="1" applyAlignment="1" applyProtection="1">
      <alignment horizontal="right" indent="1"/>
      <protection hidden="1"/>
    </xf>
    <xf numFmtId="0" fontId="14" fillId="4" borderId="0" xfId="0" applyFont="1" applyFill="1" applyAlignment="1" applyProtection="1">
      <alignment horizontal="right"/>
      <protection hidden="1"/>
    </xf>
    <xf numFmtId="0" fontId="30" fillId="4" borderId="0" xfId="0" applyFont="1" applyFill="1" applyProtection="1">
      <protection hidden="1"/>
    </xf>
    <xf numFmtId="0" fontId="12" fillId="4" borderId="24" xfId="0" applyFont="1" applyFill="1" applyBorder="1" applyProtection="1">
      <protection hidden="1"/>
    </xf>
    <xf numFmtId="0" fontId="12" fillId="4" borderId="25" xfId="0" applyFont="1" applyFill="1" applyBorder="1" applyProtection="1">
      <protection hidden="1"/>
    </xf>
    <xf numFmtId="0" fontId="12" fillId="4" borderId="26" xfId="0" applyFont="1" applyFill="1" applyBorder="1" applyProtection="1">
      <protection hidden="1"/>
    </xf>
    <xf numFmtId="0" fontId="12" fillId="5" borderId="17" xfId="0" applyFont="1" applyFill="1" applyBorder="1" applyProtection="1">
      <protection hidden="1"/>
    </xf>
    <xf numFmtId="0" fontId="12" fillId="5" borderId="16" xfId="0" applyFont="1" applyFill="1" applyBorder="1" applyProtection="1">
      <protection hidden="1"/>
    </xf>
    <xf numFmtId="0" fontId="12" fillId="5" borderId="18" xfId="0" applyFont="1" applyFill="1" applyBorder="1" applyProtection="1">
      <protection hidden="1"/>
    </xf>
    <xf numFmtId="0" fontId="31" fillId="10" borderId="0" xfId="0" applyFont="1" applyFill="1" applyAlignment="1" applyProtection="1">
      <alignment vertical="center"/>
      <protection hidden="1"/>
    </xf>
    <xf numFmtId="0" fontId="12" fillId="5" borderId="20" xfId="0" applyFont="1" applyFill="1" applyBorder="1" applyProtection="1">
      <protection hidden="1"/>
    </xf>
    <xf numFmtId="0" fontId="12" fillId="5" borderId="0" xfId="0" applyFont="1" applyFill="1" applyProtection="1">
      <protection hidden="1"/>
    </xf>
    <xf numFmtId="0" fontId="12" fillId="5" borderId="15" xfId="0" applyFont="1" applyFill="1" applyBorder="1" applyProtection="1">
      <protection hidden="1"/>
    </xf>
    <xf numFmtId="0" fontId="16" fillId="4" borderId="7" xfId="0" applyFont="1" applyFill="1" applyBorder="1" applyAlignment="1" applyProtection="1">
      <alignment horizontal="left" vertical="top" indent="1"/>
      <protection hidden="1"/>
    </xf>
    <xf numFmtId="0" fontId="29" fillId="4" borderId="0" xfId="0" applyFont="1" applyFill="1" applyAlignment="1" applyProtection="1">
      <alignment horizontal="left" vertical="top"/>
      <protection hidden="1"/>
    </xf>
    <xf numFmtId="0" fontId="14" fillId="4" borderId="0" xfId="0" applyFont="1" applyFill="1" applyProtection="1">
      <protection hidden="1"/>
    </xf>
    <xf numFmtId="0" fontId="0" fillId="0" borderId="7" xfId="0" applyBorder="1" applyProtection="1">
      <protection hidden="1"/>
    </xf>
    <xf numFmtId="0" fontId="12" fillId="4" borderId="25" xfId="0" applyFont="1" applyFill="1" applyBorder="1" applyAlignment="1" applyProtection="1">
      <alignment horizontal="center" vertical="center"/>
      <protection hidden="1"/>
    </xf>
    <xf numFmtId="0" fontId="12" fillId="5" borderId="25" xfId="0" applyFont="1" applyFill="1" applyBorder="1" applyProtection="1">
      <protection hidden="1"/>
    </xf>
    <xf numFmtId="0" fontId="21" fillId="10" borderId="0" xfId="0" applyFont="1" applyFill="1" applyAlignment="1" applyProtection="1">
      <alignment horizontal="left" vertical="center" indent="1"/>
      <protection hidden="1"/>
    </xf>
    <xf numFmtId="0" fontId="21" fillId="10" borderId="0" xfId="0" applyFont="1" applyFill="1" applyAlignment="1" applyProtection="1">
      <alignment horizontal="left" vertical="center"/>
      <protection hidden="1"/>
    </xf>
    <xf numFmtId="0" fontId="12" fillId="5" borderId="35" xfId="0" applyFont="1" applyFill="1" applyBorder="1" applyProtection="1">
      <protection hidden="1"/>
    </xf>
    <xf numFmtId="0" fontId="12" fillId="4" borderId="47" xfId="0" applyFont="1" applyFill="1" applyBorder="1" applyProtection="1">
      <protection hidden="1"/>
    </xf>
    <xf numFmtId="0" fontId="12" fillId="4" borderId="35" xfId="0" applyFont="1" applyFill="1" applyBorder="1" applyProtection="1">
      <protection hidden="1"/>
    </xf>
    <xf numFmtId="0" fontId="12" fillId="4" borderId="36" xfId="0" applyFont="1" applyFill="1" applyBorder="1" applyProtection="1">
      <protection hidden="1"/>
    </xf>
    <xf numFmtId="0" fontId="12" fillId="4" borderId="34" xfId="0" applyFont="1" applyFill="1" applyBorder="1" applyProtection="1">
      <protection hidden="1"/>
    </xf>
    <xf numFmtId="0" fontId="12" fillId="4" borderId="38" xfId="0" applyFont="1" applyFill="1" applyBorder="1" applyProtection="1">
      <protection hidden="1"/>
    </xf>
    <xf numFmtId="0" fontId="12" fillId="4" borderId="37" xfId="0" applyFont="1" applyFill="1" applyBorder="1" applyProtection="1">
      <protection hidden="1"/>
    </xf>
    <xf numFmtId="0" fontId="12" fillId="4" borderId="40" xfId="0" applyFont="1" applyFill="1" applyBorder="1" applyProtection="1">
      <protection hidden="1"/>
    </xf>
    <xf numFmtId="0" fontId="12" fillId="4" borderId="41" xfId="0" applyFont="1" applyFill="1" applyBorder="1" applyProtection="1">
      <protection hidden="1"/>
    </xf>
    <xf numFmtId="0" fontId="12" fillId="4" borderId="39" xfId="0" applyFont="1" applyFill="1" applyBorder="1" applyProtection="1">
      <protection hidden="1"/>
    </xf>
    <xf numFmtId="0" fontId="12" fillId="5" borderId="40" xfId="0" applyFont="1" applyFill="1" applyBorder="1" applyProtection="1">
      <protection hidden="1"/>
    </xf>
    <xf numFmtId="0" fontId="0" fillId="4" borderId="23" xfId="0" applyFill="1" applyBorder="1" applyProtection="1">
      <protection hidden="1"/>
    </xf>
    <xf numFmtId="0" fontId="0" fillId="5" borderId="22" xfId="0" applyFill="1" applyBorder="1" applyProtection="1">
      <protection hidden="1"/>
    </xf>
    <xf numFmtId="0" fontId="0" fillId="4" borderId="22" xfId="0" applyFill="1" applyBorder="1" applyProtection="1">
      <protection hidden="1"/>
    </xf>
    <xf numFmtId="0" fontId="14" fillId="4" borderId="0" xfId="0" applyFont="1" applyFill="1" applyAlignment="1" applyProtection="1">
      <alignment horizontal="left" vertical="top" indent="1"/>
      <protection hidden="1"/>
    </xf>
    <xf numFmtId="0" fontId="12" fillId="4" borderId="0" xfId="0" applyFont="1" applyFill="1" applyAlignment="1" applyProtection="1">
      <alignment horizontal="left" indent="1"/>
      <protection hidden="1"/>
    </xf>
    <xf numFmtId="0" fontId="16" fillId="4" borderId="0" xfId="0" applyFont="1" applyFill="1" applyAlignment="1" applyProtection="1">
      <alignment horizontal="left" vertical="top" indent="1"/>
      <protection hidden="1"/>
    </xf>
    <xf numFmtId="0" fontId="14" fillId="4" borderId="0" xfId="0" applyFont="1" applyFill="1" applyAlignment="1" applyProtection="1">
      <alignment vertical="top"/>
      <protection hidden="1"/>
    </xf>
    <xf numFmtId="0" fontId="14" fillId="4" borderId="0" xfId="0" applyFont="1" applyFill="1" applyAlignment="1" applyProtection="1">
      <alignment horizontal="left" vertical="top" wrapText="1" indent="1"/>
      <protection hidden="1"/>
    </xf>
    <xf numFmtId="0" fontId="14" fillId="4" borderId="0" xfId="0" applyFont="1" applyFill="1" applyAlignment="1" applyProtection="1">
      <alignment vertical="top" wrapText="1"/>
      <protection hidden="1"/>
    </xf>
    <xf numFmtId="0" fontId="14" fillId="4" borderId="0" xfId="0" applyFont="1" applyFill="1" applyAlignment="1" applyProtection="1">
      <alignment horizontal="left" vertical="top" wrapText="1"/>
      <protection hidden="1"/>
    </xf>
    <xf numFmtId="0" fontId="14" fillId="4" borderId="0" xfId="0" applyFont="1" applyFill="1" applyAlignment="1" applyProtection="1">
      <alignment horizontal="right" vertical="top" wrapText="1"/>
      <protection hidden="1"/>
    </xf>
    <xf numFmtId="0" fontId="0" fillId="5" borderId="22" xfId="0" applyFill="1" applyBorder="1" applyAlignment="1" applyProtection="1">
      <alignment vertical="center"/>
      <protection hidden="1"/>
    </xf>
    <xf numFmtId="0" fontId="0" fillId="4" borderId="22" xfId="0" applyFill="1" applyBorder="1" applyAlignment="1" applyProtection="1">
      <alignment vertical="center"/>
      <protection hidden="1"/>
    </xf>
    <xf numFmtId="0" fontId="12" fillId="3" borderId="32" xfId="0" applyFont="1" applyFill="1" applyBorder="1" applyAlignment="1" applyProtection="1">
      <alignment vertical="center"/>
      <protection hidden="1"/>
    </xf>
    <xf numFmtId="0" fontId="12" fillId="4" borderId="32" xfId="0" applyFont="1" applyFill="1" applyBorder="1" applyAlignment="1" applyProtection="1">
      <alignment vertical="center"/>
      <protection hidden="1"/>
    </xf>
    <xf numFmtId="0" fontId="12" fillId="4" borderId="32" xfId="0" applyFont="1" applyFill="1" applyBorder="1" applyAlignment="1" applyProtection="1">
      <alignment horizontal="right" vertical="center" indent="1"/>
      <protection hidden="1"/>
    </xf>
    <xf numFmtId="0" fontId="14" fillId="4" borderId="32" xfId="0" applyFont="1" applyFill="1" applyBorder="1" applyAlignment="1" applyProtection="1">
      <alignment horizontal="right" vertical="center"/>
      <protection hidden="1"/>
    </xf>
    <xf numFmtId="0" fontId="12" fillId="5" borderId="0" xfId="0" applyFont="1" applyFill="1" applyAlignment="1" applyProtection="1">
      <alignment vertical="center"/>
      <protection hidden="1"/>
    </xf>
    <xf numFmtId="0" fontId="12" fillId="5" borderId="15" xfId="0" applyFont="1" applyFill="1" applyBorder="1" applyAlignment="1" applyProtection="1">
      <alignment vertical="center"/>
      <protection hidden="1"/>
    </xf>
    <xf numFmtId="0" fontId="12" fillId="4" borderId="0" xfId="0" applyFont="1" applyFill="1" applyAlignment="1" applyProtection="1">
      <alignment horizontal="right" indent="1"/>
      <protection hidden="1"/>
    </xf>
    <xf numFmtId="0" fontId="12" fillId="2" borderId="31" xfId="0" applyFont="1" applyFill="1" applyBorder="1" applyAlignment="1" applyProtection="1">
      <alignment vertical="center"/>
      <protection hidden="1"/>
    </xf>
    <xf numFmtId="0" fontId="12" fillId="4" borderId="31" xfId="0" applyFont="1" applyFill="1" applyBorder="1" applyAlignment="1" applyProtection="1">
      <alignment vertical="center"/>
      <protection hidden="1"/>
    </xf>
    <xf numFmtId="0" fontId="12" fillId="4" borderId="31" xfId="0" applyFont="1" applyFill="1" applyBorder="1" applyAlignment="1" applyProtection="1">
      <alignment horizontal="right" vertical="center" indent="1"/>
      <protection hidden="1"/>
    </xf>
    <xf numFmtId="0" fontId="0" fillId="0" borderId="31" xfId="0" applyBorder="1" applyAlignment="1" applyProtection="1">
      <alignment vertical="center"/>
      <protection hidden="1"/>
    </xf>
    <xf numFmtId="0" fontId="12" fillId="20" borderId="30" xfId="0" applyFont="1" applyFill="1" applyBorder="1" applyAlignment="1" applyProtection="1">
      <alignment vertical="center"/>
      <protection hidden="1"/>
    </xf>
    <xf numFmtId="0" fontId="12" fillId="4" borderId="30" xfId="0" applyFont="1" applyFill="1" applyBorder="1" applyAlignment="1" applyProtection="1">
      <alignment vertical="center"/>
      <protection hidden="1"/>
    </xf>
    <xf numFmtId="0" fontId="12" fillId="4" borderId="30" xfId="0" applyFont="1" applyFill="1" applyBorder="1" applyAlignment="1" applyProtection="1">
      <alignment horizontal="right" vertical="center" indent="1"/>
      <protection hidden="1"/>
    </xf>
    <xf numFmtId="0" fontId="0" fillId="0" borderId="30" xfId="0" applyBorder="1" applyAlignment="1" applyProtection="1">
      <alignment vertical="center"/>
      <protection hidden="1"/>
    </xf>
    <xf numFmtId="0" fontId="12" fillId="7" borderId="28" xfId="0" applyFont="1" applyFill="1" applyBorder="1" applyAlignment="1" applyProtection="1">
      <alignment vertical="center"/>
      <protection hidden="1"/>
    </xf>
    <xf numFmtId="0" fontId="12" fillId="4" borderId="28" xfId="0" applyFont="1" applyFill="1" applyBorder="1" applyAlignment="1" applyProtection="1">
      <alignment vertical="center"/>
      <protection hidden="1"/>
    </xf>
    <xf numFmtId="0" fontId="12" fillId="4" borderId="28" xfId="0" applyFont="1" applyFill="1" applyBorder="1" applyAlignment="1" applyProtection="1">
      <alignment horizontal="right" vertical="center" indent="1"/>
      <protection hidden="1"/>
    </xf>
    <xf numFmtId="0" fontId="0" fillId="0" borderId="28" xfId="0" applyBorder="1" applyAlignment="1" applyProtection="1">
      <alignment vertical="center"/>
      <protection hidden="1"/>
    </xf>
    <xf numFmtId="0" fontId="4" fillId="0" borderId="0" xfId="0" applyFont="1" applyProtection="1">
      <protection hidden="1"/>
    </xf>
    <xf numFmtId="0" fontId="12" fillId="8" borderId="29" xfId="0" applyFont="1" applyFill="1" applyBorder="1" applyAlignment="1" applyProtection="1">
      <alignment vertical="center"/>
      <protection hidden="1"/>
    </xf>
    <xf numFmtId="0" fontId="12" fillId="4" borderId="29" xfId="0" applyFont="1" applyFill="1" applyBorder="1" applyAlignment="1" applyProtection="1">
      <alignment vertical="center"/>
      <protection hidden="1"/>
    </xf>
    <xf numFmtId="0" fontId="12" fillId="4" borderId="29" xfId="0" applyFont="1" applyFill="1" applyBorder="1" applyAlignment="1" applyProtection="1">
      <alignment horizontal="right" vertical="center" indent="1"/>
      <protection hidden="1"/>
    </xf>
    <xf numFmtId="0" fontId="0" fillId="0" borderId="29" xfId="0" applyBorder="1" applyAlignment="1" applyProtection="1">
      <alignment vertical="center"/>
      <protection hidden="1"/>
    </xf>
    <xf numFmtId="0" fontId="12" fillId="5" borderId="22" xfId="0" applyFont="1" applyFill="1" applyBorder="1" applyAlignment="1" applyProtection="1">
      <alignment vertical="center"/>
      <protection hidden="1"/>
    </xf>
    <xf numFmtId="0" fontId="18" fillId="21" borderId="33" xfId="0" applyFont="1" applyFill="1" applyBorder="1" applyAlignment="1" applyProtection="1">
      <alignment vertical="center"/>
      <protection hidden="1"/>
    </xf>
    <xf numFmtId="0" fontId="12" fillId="4" borderId="33" xfId="0" applyFont="1" applyFill="1" applyBorder="1" applyAlignment="1" applyProtection="1">
      <alignment vertical="center"/>
      <protection hidden="1"/>
    </xf>
    <xf numFmtId="0" fontId="14" fillId="4" borderId="33" xfId="0" applyFont="1" applyFill="1" applyBorder="1" applyAlignment="1" applyProtection="1">
      <alignment horizontal="left" vertical="center" indent="1"/>
      <protection hidden="1"/>
    </xf>
    <xf numFmtId="0" fontId="0" fillId="0" borderId="33" xfId="0" applyBorder="1" applyAlignment="1" applyProtection="1">
      <alignment vertical="center"/>
      <protection hidden="1"/>
    </xf>
    <xf numFmtId="0" fontId="0" fillId="4" borderId="25" xfId="0" applyFill="1" applyBorder="1" applyProtection="1">
      <protection hidden="1"/>
    </xf>
    <xf numFmtId="0" fontId="0" fillId="0" borderId="25" xfId="0" applyBorder="1" applyProtection="1">
      <protection hidden="1"/>
    </xf>
    <xf numFmtId="0" fontId="14" fillId="4" borderId="25" xfId="0" applyFont="1" applyFill="1" applyBorder="1" applyAlignment="1" applyProtection="1">
      <alignment horizontal="right"/>
      <protection hidden="1"/>
    </xf>
    <xf numFmtId="0" fontId="12" fillId="4" borderId="25" xfId="0" applyFont="1" applyFill="1" applyBorder="1" applyAlignment="1" applyProtection="1">
      <alignment horizontal="right" indent="1"/>
      <protection hidden="1"/>
    </xf>
    <xf numFmtId="0" fontId="0" fillId="5" borderId="0" xfId="0" applyFill="1" applyProtection="1">
      <protection hidden="1"/>
    </xf>
    <xf numFmtId="0" fontId="14" fillId="5" borderId="0" xfId="0" applyFont="1" applyFill="1" applyAlignment="1" applyProtection="1">
      <alignment horizontal="right"/>
      <protection hidden="1"/>
    </xf>
    <xf numFmtId="0" fontId="12" fillId="5" borderId="0" xfId="0" applyFont="1" applyFill="1" applyAlignment="1" applyProtection="1">
      <alignment horizontal="right" indent="1"/>
      <protection hidden="1"/>
    </xf>
    <xf numFmtId="0" fontId="0" fillId="4" borderId="35" xfId="0" applyFill="1" applyBorder="1" applyProtection="1">
      <protection hidden="1"/>
    </xf>
    <xf numFmtId="0" fontId="14" fillId="4" borderId="35" xfId="0" applyFont="1" applyFill="1" applyBorder="1" applyAlignment="1" applyProtection="1">
      <alignment horizontal="right"/>
      <protection hidden="1"/>
    </xf>
    <xf numFmtId="0" fontId="12" fillId="4" borderId="35" xfId="0" applyFont="1" applyFill="1" applyBorder="1" applyAlignment="1" applyProtection="1">
      <alignment horizontal="right" indent="1"/>
      <protection hidden="1"/>
    </xf>
    <xf numFmtId="0" fontId="12" fillId="4" borderId="37" xfId="0" applyFont="1" applyFill="1" applyBorder="1" applyAlignment="1" applyProtection="1">
      <alignment vertical="center"/>
      <protection hidden="1"/>
    </xf>
    <xf numFmtId="0" fontId="10" fillId="4" borderId="0" xfId="0" applyFont="1" applyFill="1" applyAlignment="1" applyProtection="1">
      <alignment horizontal="left" vertical="center" indent="1"/>
      <protection hidden="1"/>
    </xf>
    <xf numFmtId="0" fontId="31" fillId="4" borderId="0" xfId="0" applyFont="1" applyFill="1" applyAlignment="1" applyProtection="1">
      <alignment horizontal="left" vertical="center" indent="1"/>
      <protection hidden="1"/>
    </xf>
    <xf numFmtId="0" fontId="12" fillId="4" borderId="38" xfId="0" applyFont="1" applyFill="1" applyBorder="1" applyAlignment="1" applyProtection="1">
      <alignment vertical="center"/>
      <protection hidden="1"/>
    </xf>
    <xf numFmtId="0" fontId="0" fillId="4" borderId="40" xfId="0" applyFill="1" applyBorder="1" applyProtection="1">
      <protection hidden="1"/>
    </xf>
    <xf numFmtId="0" fontId="14" fillId="4" borderId="40" xfId="0" applyFont="1" applyFill="1" applyBorder="1" applyAlignment="1" applyProtection="1">
      <alignment horizontal="right"/>
      <protection hidden="1"/>
    </xf>
    <xf numFmtId="0" fontId="12" fillId="4" borderId="40" xfId="0" applyFont="1" applyFill="1" applyBorder="1" applyAlignment="1" applyProtection="1">
      <alignment horizontal="right" indent="1"/>
      <protection hidden="1"/>
    </xf>
    <xf numFmtId="0" fontId="12" fillId="5" borderId="22" xfId="0" applyFont="1" applyFill="1" applyBorder="1" applyProtection="1">
      <protection hidden="1"/>
    </xf>
    <xf numFmtId="0" fontId="16" fillId="4" borderId="22" xfId="0" applyFont="1" applyFill="1" applyBorder="1" applyAlignment="1" applyProtection="1">
      <alignment horizontal="left" vertical="top" indent="1"/>
      <protection hidden="1"/>
    </xf>
    <xf numFmtId="0" fontId="12" fillId="4" borderId="7" xfId="0" applyFont="1" applyFill="1" applyBorder="1" applyProtection="1">
      <protection hidden="1"/>
    </xf>
    <xf numFmtId="0" fontId="0" fillId="6" borderId="0" xfId="0" applyFill="1" applyProtection="1">
      <protection hidden="1"/>
    </xf>
    <xf numFmtId="0" fontId="12" fillId="4" borderId="27" xfId="0" applyFont="1" applyFill="1" applyBorder="1" applyProtection="1">
      <protection hidden="1"/>
    </xf>
    <xf numFmtId="0" fontId="18" fillId="4" borderId="20" xfId="0" applyFont="1" applyFill="1" applyBorder="1" applyProtection="1">
      <protection hidden="1"/>
    </xf>
    <xf numFmtId="0" fontId="25" fillId="4" borderId="0" xfId="0" applyFont="1" applyFill="1" applyAlignment="1" applyProtection="1">
      <alignment vertical="top"/>
      <protection hidden="1"/>
    </xf>
    <xf numFmtId="0" fontId="18" fillId="4" borderId="0" xfId="0" applyFont="1" applyFill="1" applyProtection="1">
      <protection hidden="1"/>
    </xf>
    <xf numFmtId="0" fontId="45" fillId="4" borderId="0" xfId="0" applyFont="1" applyFill="1" applyProtection="1">
      <protection hidden="1"/>
    </xf>
    <xf numFmtId="0" fontId="27" fillId="4" borderId="0" xfId="0" applyFont="1" applyFill="1" applyAlignment="1" applyProtection="1">
      <alignment vertical="top"/>
      <protection hidden="1"/>
    </xf>
    <xf numFmtId="0" fontId="25" fillId="4" borderId="0" xfId="0" applyFont="1" applyFill="1" applyAlignment="1" applyProtection="1">
      <alignment vertical="top" wrapText="1"/>
      <protection hidden="1"/>
    </xf>
    <xf numFmtId="0" fontId="24" fillId="4" borderId="0" xfId="0" applyFont="1" applyFill="1" applyAlignment="1" applyProtection="1">
      <alignment horizontal="left" vertical="top"/>
      <protection hidden="1"/>
    </xf>
    <xf numFmtId="0" fontId="24" fillId="4" borderId="0" xfId="0" applyFont="1" applyFill="1" applyAlignment="1" applyProtection="1">
      <alignment horizontal="left" indent="1"/>
      <protection hidden="1"/>
    </xf>
    <xf numFmtId="0" fontId="6" fillId="4" borderId="0" xfId="0" applyFont="1" applyFill="1" applyAlignment="1" applyProtection="1">
      <alignment horizontal="left" vertical="top"/>
      <protection hidden="1"/>
    </xf>
    <xf numFmtId="0" fontId="24" fillId="4" borderId="0" xfId="0" applyFont="1" applyFill="1" applyProtection="1">
      <protection hidden="1"/>
    </xf>
    <xf numFmtId="0" fontId="43" fillId="18" borderId="10" xfId="0" applyFont="1" applyFill="1" applyBorder="1" applyAlignment="1" applyProtection="1">
      <alignment horizontal="left" vertical="center" wrapText="1" indent="1"/>
      <protection hidden="1"/>
    </xf>
    <xf numFmtId="0" fontId="43" fillId="10" borderId="9" xfId="0" applyFont="1" applyFill="1" applyBorder="1" applyAlignment="1" applyProtection="1">
      <alignment horizontal="left" vertical="center" wrapText="1" indent="1"/>
      <protection hidden="1"/>
    </xf>
    <xf numFmtId="0" fontId="43" fillId="17" borderId="10" xfId="0" applyFont="1" applyFill="1" applyBorder="1" applyAlignment="1" applyProtection="1">
      <alignment horizontal="left" vertical="center" wrapText="1" indent="1"/>
      <protection hidden="1"/>
    </xf>
    <xf numFmtId="0" fontId="15" fillId="4" borderId="0" xfId="0" applyFont="1" applyFill="1" applyAlignment="1" applyProtection="1">
      <alignment horizontal="left"/>
      <protection hidden="1"/>
    </xf>
    <xf numFmtId="0" fontId="43" fillId="11" borderId="9" xfId="0" applyFont="1" applyFill="1" applyBorder="1" applyAlignment="1" applyProtection="1">
      <alignment horizontal="left" vertical="center" wrapText="1" indent="1"/>
      <protection hidden="1"/>
    </xf>
    <xf numFmtId="0" fontId="43" fillId="16" borderId="10" xfId="0" applyFont="1" applyFill="1" applyBorder="1" applyAlignment="1" applyProtection="1">
      <alignment horizontal="left" vertical="center" wrapText="1" indent="1"/>
      <protection hidden="1"/>
    </xf>
    <xf numFmtId="0" fontId="8" fillId="4" borderId="0" xfId="0" applyFont="1" applyFill="1" applyAlignment="1" applyProtection="1">
      <alignment horizontal="left"/>
      <protection hidden="1"/>
    </xf>
    <xf numFmtId="0" fontId="16" fillId="4" borderId="0" xfId="0" applyFont="1" applyFill="1" applyAlignment="1" applyProtection="1">
      <alignment vertical="top"/>
      <protection hidden="1"/>
    </xf>
    <xf numFmtId="0" fontId="43" fillId="19" borderId="9" xfId="0" applyFont="1" applyFill="1" applyBorder="1" applyAlignment="1" applyProtection="1">
      <alignment horizontal="left" vertical="center" wrapText="1" indent="1"/>
      <protection hidden="1"/>
    </xf>
    <xf numFmtId="0" fontId="43" fillId="15" borderId="10" xfId="0" applyFont="1" applyFill="1" applyBorder="1" applyAlignment="1" applyProtection="1">
      <alignment horizontal="left" vertical="center" wrapText="1" indent="1"/>
      <protection hidden="1"/>
    </xf>
    <xf numFmtId="0" fontId="8" fillId="4" borderId="0" xfId="0" applyFont="1" applyFill="1" applyAlignment="1" applyProtection="1">
      <alignment horizontal="left" vertical="top"/>
      <protection hidden="1"/>
    </xf>
    <xf numFmtId="0" fontId="43" fillId="14" borderId="9" xfId="0" applyFont="1" applyFill="1" applyBorder="1" applyAlignment="1" applyProtection="1">
      <alignment horizontal="left" vertical="center" wrapText="1" indent="1"/>
      <protection hidden="1"/>
    </xf>
    <xf numFmtId="0" fontId="43" fillId="13" borderId="10" xfId="0" applyFont="1" applyFill="1" applyBorder="1" applyAlignment="1" applyProtection="1">
      <alignment horizontal="left" vertical="center" wrapText="1" indent="1"/>
      <protection hidden="1"/>
    </xf>
    <xf numFmtId="0" fontId="6" fillId="4" borderId="10" xfId="0" applyFont="1" applyFill="1" applyBorder="1" applyAlignment="1" applyProtection="1">
      <alignment horizontal="left" indent="1"/>
      <protection hidden="1"/>
    </xf>
    <xf numFmtId="0" fontId="12" fillId="4" borderId="10" xfId="0" applyFont="1" applyFill="1" applyBorder="1" applyProtection="1">
      <protection hidden="1"/>
    </xf>
    <xf numFmtId="0" fontId="18" fillId="0" borderId="0" xfId="0" applyFont="1" applyProtection="1">
      <protection hidden="1"/>
    </xf>
    <xf numFmtId="0" fontId="18" fillId="4" borderId="23" xfId="0" applyFont="1" applyFill="1" applyBorder="1" applyProtection="1">
      <protection hidden="1"/>
    </xf>
    <xf numFmtId="0" fontId="18" fillId="5" borderId="0" xfId="0" applyFont="1" applyFill="1" applyProtection="1">
      <protection hidden="1"/>
    </xf>
    <xf numFmtId="0" fontId="18" fillId="4" borderId="27" xfId="0" applyFont="1" applyFill="1" applyBorder="1" applyProtection="1">
      <protection hidden="1"/>
    </xf>
    <xf numFmtId="0" fontId="18" fillId="4" borderId="22" xfId="0" applyFont="1" applyFill="1" applyBorder="1" applyProtection="1">
      <protection hidden="1"/>
    </xf>
    <xf numFmtId="0" fontId="6" fillId="4" borderId="25" xfId="0" applyFont="1" applyFill="1" applyBorder="1" applyAlignment="1" applyProtection="1">
      <alignment horizontal="left" indent="1"/>
      <protection hidden="1"/>
    </xf>
    <xf numFmtId="0" fontId="6" fillId="4" borderId="25" xfId="0" applyFont="1" applyFill="1" applyBorder="1" applyAlignment="1" applyProtection="1">
      <alignment horizontal="left" textRotation="75"/>
      <protection hidden="1"/>
    </xf>
    <xf numFmtId="0" fontId="20" fillId="0" borderId="25" xfId="0" applyFont="1" applyBorder="1" applyAlignment="1" applyProtection="1">
      <alignment horizontal="left" vertical="top" textRotation="90" wrapText="1"/>
      <protection hidden="1"/>
    </xf>
    <xf numFmtId="0" fontId="18" fillId="0" borderId="25" xfId="0" applyFont="1" applyBorder="1" applyProtection="1">
      <protection hidden="1"/>
    </xf>
    <xf numFmtId="0" fontId="20" fillId="0" borderId="25" xfId="0" applyFont="1" applyBorder="1" applyAlignment="1" applyProtection="1">
      <alignment horizontal="center" vertical="top" textRotation="90" wrapText="1"/>
      <protection hidden="1"/>
    </xf>
    <xf numFmtId="0" fontId="4" fillId="0" borderId="25" xfId="0" applyFont="1" applyBorder="1" applyAlignment="1" applyProtection="1">
      <alignment horizontal="left" vertical="top" textRotation="90" wrapText="1"/>
      <protection hidden="1"/>
    </xf>
    <xf numFmtId="0" fontId="4" fillId="0" borderId="25" xfId="0" applyFont="1" applyBorder="1" applyAlignment="1" applyProtection="1">
      <alignment horizontal="center" vertical="top" textRotation="90" wrapText="1"/>
      <protection hidden="1"/>
    </xf>
    <xf numFmtId="0" fontId="17" fillId="4" borderId="0" xfId="0" applyFont="1" applyFill="1" applyAlignment="1" applyProtection="1">
      <alignment vertical="center"/>
      <protection hidden="1"/>
    </xf>
    <xf numFmtId="0" fontId="54" fillId="0" borderId="0" xfId="0" applyFont="1" applyAlignment="1">
      <alignment vertical="center"/>
    </xf>
    <xf numFmtId="0" fontId="0" fillId="0" borderId="2" xfId="0" applyBorder="1"/>
    <xf numFmtId="168" fontId="0" fillId="0" borderId="0" xfId="0" applyNumberFormat="1"/>
    <xf numFmtId="0" fontId="0" fillId="0" borderId="58" xfId="0" applyBorder="1" applyAlignment="1">
      <alignment vertical="center"/>
    </xf>
    <xf numFmtId="0" fontId="0" fillId="0" borderId="59" xfId="0" applyBorder="1" applyAlignment="1">
      <alignment vertical="center"/>
    </xf>
    <xf numFmtId="0" fontId="4" fillId="0" borderId="0" xfId="0" applyFont="1" applyAlignment="1">
      <alignment horizontal="left" vertical="top" wrapText="1"/>
    </xf>
    <xf numFmtId="0" fontId="5" fillId="0" borderId="0" xfId="0" applyFont="1" applyAlignment="1">
      <alignment vertical="top"/>
    </xf>
    <xf numFmtId="0" fontId="56" fillId="0" borderId="0" xfId="0" applyFont="1"/>
    <xf numFmtId="0" fontId="56" fillId="0" borderId="0" xfId="0" applyFont="1" applyAlignment="1">
      <alignment vertical="top"/>
    </xf>
    <xf numFmtId="164" fontId="5" fillId="0" borderId="0" xfId="0" applyNumberFormat="1" applyFont="1"/>
    <xf numFmtId="0" fontId="4" fillId="0" borderId="0" xfId="0" applyFont="1"/>
    <xf numFmtId="164" fontId="4" fillId="0" borderId="0" xfId="0" applyNumberFormat="1" applyFont="1" applyAlignment="1">
      <alignment horizontal="right"/>
    </xf>
    <xf numFmtId="164" fontId="14" fillId="4" borderId="32" xfId="0" applyNumberFormat="1" applyFont="1" applyFill="1" applyBorder="1" applyAlignment="1" applyProtection="1">
      <alignment vertical="center"/>
      <protection hidden="1"/>
    </xf>
    <xf numFmtId="164" fontId="14" fillId="4" borderId="31" xfId="0" applyNumberFormat="1" applyFont="1" applyFill="1" applyBorder="1" applyAlignment="1" applyProtection="1">
      <alignment vertical="center"/>
      <protection hidden="1"/>
    </xf>
    <xf numFmtId="164" fontId="14" fillId="4" borderId="30" xfId="0" applyNumberFormat="1" applyFont="1" applyFill="1" applyBorder="1" applyAlignment="1" applyProtection="1">
      <alignment vertical="center"/>
      <protection hidden="1"/>
    </xf>
    <xf numFmtId="164" fontId="14" fillId="4" borderId="28" xfId="0" applyNumberFormat="1" applyFont="1" applyFill="1" applyBorder="1" applyAlignment="1" applyProtection="1">
      <alignment vertical="center"/>
      <protection hidden="1"/>
    </xf>
    <xf numFmtId="164" fontId="14" fillId="4" borderId="29" xfId="0" applyNumberFormat="1" applyFont="1" applyFill="1" applyBorder="1" applyAlignment="1" applyProtection="1">
      <alignment vertical="center"/>
      <protection hidden="1"/>
    </xf>
    <xf numFmtId="164" fontId="14" fillId="4" borderId="33" xfId="0" applyNumberFormat="1" applyFont="1" applyFill="1" applyBorder="1" applyAlignment="1" applyProtection="1">
      <alignment vertical="center"/>
      <protection hidden="1"/>
    </xf>
    <xf numFmtId="164" fontId="40" fillId="4" borderId="0" xfId="0" applyNumberFormat="1" applyFont="1" applyFill="1" applyAlignment="1" applyProtection="1">
      <alignment horizontal="center" vertical="center"/>
      <protection hidden="1"/>
    </xf>
    <xf numFmtId="0" fontId="7" fillId="9" borderId="0" xfId="0" applyFont="1" applyFill="1" applyAlignment="1" applyProtection="1">
      <alignment vertical="center"/>
      <protection hidden="1"/>
    </xf>
    <xf numFmtId="0" fontId="1" fillId="9" borderId="0" xfId="0" applyFont="1" applyFill="1" applyProtection="1">
      <protection hidden="1"/>
    </xf>
    <xf numFmtId="0" fontId="1" fillId="10" borderId="0" xfId="0" applyFont="1" applyFill="1" applyAlignment="1" applyProtection="1">
      <alignment horizontal="left" vertical="center"/>
      <protection hidden="1"/>
    </xf>
    <xf numFmtId="0" fontId="2" fillId="10" borderId="0" xfId="0" applyFont="1" applyFill="1" applyAlignment="1" applyProtection="1">
      <alignment horizontal="left" vertical="center"/>
      <protection hidden="1"/>
    </xf>
    <xf numFmtId="0" fontId="1" fillId="4" borderId="0" xfId="0" applyFont="1" applyFill="1" applyAlignment="1" applyProtection="1">
      <alignment horizontal="left" vertical="center"/>
      <protection hidden="1"/>
    </xf>
    <xf numFmtId="0" fontId="2" fillId="4" borderId="0" xfId="0" applyFont="1" applyFill="1" applyAlignment="1" applyProtection="1">
      <alignment horizontal="left" vertical="center"/>
      <protection hidden="1"/>
    </xf>
    <xf numFmtId="0" fontId="35" fillId="5" borderId="49" xfId="0" applyFont="1" applyFill="1" applyBorder="1" applyAlignment="1" applyProtection="1">
      <alignment horizontal="left" vertical="center"/>
      <protection hidden="1"/>
    </xf>
    <xf numFmtId="0" fontId="36" fillId="5" borderId="50" xfId="0" applyFont="1" applyFill="1" applyBorder="1" applyAlignment="1" applyProtection="1">
      <alignment horizontal="left"/>
      <protection hidden="1"/>
    </xf>
    <xf numFmtId="0" fontId="35" fillId="5" borderId="50" xfId="0" applyFont="1" applyFill="1" applyBorder="1" applyAlignment="1" applyProtection="1">
      <alignment horizontal="left" vertical="center"/>
      <protection hidden="1"/>
    </xf>
    <xf numFmtId="0" fontId="35" fillId="5" borderId="50" xfId="0" applyFont="1" applyFill="1" applyBorder="1" applyAlignment="1" applyProtection="1">
      <alignment vertical="center"/>
      <protection hidden="1"/>
    </xf>
    <xf numFmtId="0" fontId="35" fillId="5" borderId="51" xfId="0" applyFont="1" applyFill="1" applyBorder="1" applyAlignment="1" applyProtection="1">
      <alignment vertical="center"/>
      <protection hidden="1"/>
    </xf>
    <xf numFmtId="0" fontId="35" fillId="5" borderId="52" xfId="0" applyFont="1" applyFill="1" applyBorder="1" applyAlignment="1" applyProtection="1">
      <alignment horizontal="left" vertical="center" indent="2"/>
      <protection hidden="1"/>
    </xf>
    <xf numFmtId="0" fontId="36" fillId="5" borderId="0" xfId="0" applyFont="1" applyFill="1" applyAlignment="1" applyProtection="1">
      <alignment horizontal="left" vertical="center"/>
      <protection hidden="1"/>
    </xf>
    <xf numFmtId="0" fontId="35" fillId="5" borderId="0" xfId="0" applyFont="1" applyFill="1" applyAlignment="1" applyProtection="1">
      <alignment horizontal="left" vertical="center" indent="1"/>
      <protection hidden="1"/>
    </xf>
    <xf numFmtId="0" fontId="5" fillId="5" borderId="0" xfId="0" applyFont="1" applyFill="1" applyAlignment="1" applyProtection="1">
      <alignment horizontal="right" vertical="center" indent="1"/>
      <protection hidden="1"/>
    </xf>
    <xf numFmtId="0" fontId="0" fillId="5" borderId="53" xfId="0" applyFill="1" applyBorder="1" applyProtection="1">
      <protection hidden="1"/>
    </xf>
    <xf numFmtId="0" fontId="0" fillId="5" borderId="52" xfId="0" applyFill="1" applyBorder="1" applyAlignment="1" applyProtection="1">
      <alignment horizontal="left" indent="1"/>
      <protection hidden="1"/>
    </xf>
    <xf numFmtId="0" fontId="0" fillId="5" borderId="0" xfId="0" applyFill="1" applyAlignment="1" applyProtection="1">
      <alignment horizontal="left" indent="1"/>
      <protection hidden="1"/>
    </xf>
    <xf numFmtId="0" fontId="3" fillId="5" borderId="52" xfId="0" applyFont="1" applyFill="1" applyBorder="1" applyAlignment="1" applyProtection="1">
      <alignment vertical="center" wrapText="1"/>
      <protection hidden="1"/>
    </xf>
    <xf numFmtId="0" fontId="38" fillId="5" borderId="0" xfId="0" applyFont="1" applyFill="1" applyAlignment="1" applyProtection="1">
      <alignment vertical="center"/>
      <protection hidden="1"/>
    </xf>
    <xf numFmtId="0" fontId="3" fillId="5" borderId="0" xfId="0" applyFont="1" applyFill="1" applyAlignment="1" applyProtection="1">
      <alignment vertical="center"/>
      <protection hidden="1"/>
    </xf>
    <xf numFmtId="0" fontId="3" fillId="5" borderId="0" xfId="0" applyFont="1" applyFill="1" applyAlignment="1" applyProtection="1">
      <alignment vertical="center" wrapText="1"/>
      <protection hidden="1"/>
    </xf>
    <xf numFmtId="0" fontId="3" fillId="5" borderId="53" xfId="0" applyFont="1" applyFill="1" applyBorder="1" applyAlignment="1" applyProtection="1">
      <alignment vertical="center" wrapText="1"/>
      <protection hidden="1"/>
    </xf>
    <xf numFmtId="0" fontId="3" fillId="4" borderId="3" xfId="0" applyFont="1" applyFill="1" applyBorder="1" applyAlignment="1" applyProtection="1">
      <alignment vertical="center"/>
      <protection hidden="1"/>
    </xf>
    <xf numFmtId="0" fontId="3" fillId="4" borderId="2" xfId="0" applyFont="1" applyFill="1" applyBorder="1" applyAlignment="1" applyProtection="1">
      <alignment vertical="center"/>
      <protection hidden="1"/>
    </xf>
    <xf numFmtId="0" fontId="3" fillId="4" borderId="2" xfId="0" applyFont="1" applyFill="1" applyBorder="1" applyAlignment="1" applyProtection="1">
      <alignment vertical="center" wrapText="1"/>
      <protection hidden="1"/>
    </xf>
    <xf numFmtId="0" fontId="3" fillId="4" borderId="54" xfId="0" applyFont="1" applyFill="1" applyBorder="1" applyAlignment="1" applyProtection="1">
      <alignment vertical="center" wrapText="1"/>
      <protection hidden="1"/>
    </xf>
    <xf numFmtId="0" fontId="6" fillId="4" borderId="0" xfId="1" applyFont="1" applyFill="1" applyBorder="1" applyAlignment="1" applyProtection="1">
      <protection hidden="1"/>
    </xf>
    <xf numFmtId="0" fontId="5" fillId="4" borderId="0" xfId="0" applyFont="1" applyFill="1" applyAlignment="1" applyProtection="1">
      <alignment wrapText="1"/>
      <protection hidden="1"/>
    </xf>
    <xf numFmtId="0" fontId="6" fillId="4" borderId="0" xfId="1" applyFont="1" applyFill="1" applyBorder="1" applyAlignment="1" applyProtection="1">
      <alignment vertical="center"/>
      <protection hidden="1"/>
    </xf>
    <xf numFmtId="0" fontId="5" fillId="4" borderId="0" xfId="0" applyFont="1" applyFill="1" applyAlignment="1" applyProtection="1">
      <alignment vertical="center" wrapText="1"/>
      <protection hidden="1"/>
    </xf>
    <xf numFmtId="0" fontId="3" fillId="4" borderId="46" xfId="0" applyFont="1" applyFill="1" applyBorder="1" applyAlignment="1" applyProtection="1">
      <alignment vertical="center" wrapText="1"/>
      <protection hidden="1"/>
    </xf>
    <xf numFmtId="0" fontId="5" fillId="4" borderId="0" xfId="0" applyFont="1" applyFill="1" applyAlignment="1" applyProtection="1">
      <alignment horizontal="left" vertical="center" wrapText="1" indent="1"/>
      <protection hidden="1"/>
    </xf>
    <xf numFmtId="0" fontId="6" fillId="4" borderId="4" xfId="1" applyFont="1" applyFill="1" applyBorder="1" applyAlignment="1" applyProtection="1">
      <alignment horizontal="right" vertical="center" indent="1"/>
      <protection hidden="1"/>
    </xf>
    <xf numFmtId="0" fontId="6" fillId="4" borderId="8" xfId="1" applyFont="1" applyFill="1" applyBorder="1" applyAlignment="1" applyProtection="1">
      <alignment horizontal="right" vertical="center" indent="1"/>
      <protection hidden="1"/>
    </xf>
    <xf numFmtId="0" fontId="6" fillId="4" borderId="8" xfId="0" applyFont="1" applyFill="1" applyBorder="1" applyAlignment="1" applyProtection="1">
      <alignment horizontal="right" vertical="center" wrapText="1" indent="1"/>
      <protection hidden="1"/>
    </xf>
    <xf numFmtId="0" fontId="0" fillId="4" borderId="8" xfId="0" applyFill="1" applyBorder="1" applyProtection="1">
      <protection hidden="1"/>
    </xf>
    <xf numFmtId="0" fontId="5" fillId="4" borderId="8" xfId="0" applyFont="1" applyFill="1" applyBorder="1" applyAlignment="1" applyProtection="1">
      <alignment horizontal="right" vertical="center" wrapText="1" indent="1"/>
      <protection hidden="1"/>
    </xf>
    <xf numFmtId="0" fontId="3" fillId="4" borderId="5" xfId="0" applyFont="1" applyFill="1" applyBorder="1" applyAlignment="1" applyProtection="1">
      <alignment horizontal="right" vertical="center" wrapText="1" indent="1"/>
      <protection hidden="1"/>
    </xf>
    <xf numFmtId="0" fontId="3" fillId="5" borderId="48" xfId="0" applyFont="1" applyFill="1" applyBorder="1" applyAlignment="1" applyProtection="1">
      <alignment horizontal="right" vertical="center" wrapText="1" indent="1"/>
      <protection hidden="1"/>
    </xf>
    <xf numFmtId="0" fontId="5" fillId="4" borderId="2" xfId="0" applyFont="1" applyFill="1" applyBorder="1" applyAlignment="1" applyProtection="1">
      <alignment vertical="center" wrapText="1"/>
      <protection hidden="1"/>
    </xf>
    <xf numFmtId="0" fontId="35" fillId="4" borderId="4" xfId="0" applyFont="1" applyFill="1" applyBorder="1" applyAlignment="1" applyProtection="1">
      <alignment horizontal="left" vertical="center" wrapText="1" indent="1"/>
      <protection hidden="1"/>
    </xf>
    <xf numFmtId="0" fontId="35" fillId="4" borderId="8" xfId="0" applyFont="1" applyFill="1" applyBorder="1" applyAlignment="1" applyProtection="1">
      <alignment horizontal="left" vertical="center" wrapText="1" indent="1"/>
      <protection hidden="1"/>
    </xf>
    <xf numFmtId="0" fontId="0" fillId="5" borderId="55" xfId="0" applyFill="1" applyBorder="1" applyProtection="1">
      <protection hidden="1"/>
    </xf>
    <xf numFmtId="0" fontId="0" fillId="5" borderId="56" xfId="0" applyFill="1" applyBorder="1" applyProtection="1">
      <protection hidden="1"/>
    </xf>
    <xf numFmtId="0" fontId="0" fillId="5" borderId="57" xfId="0" applyFill="1" applyBorder="1" applyProtection="1">
      <protection hidden="1"/>
    </xf>
    <xf numFmtId="0" fontId="5" fillId="5" borderId="0" xfId="0" applyFont="1" applyFill="1" applyAlignment="1" applyProtection="1">
      <alignment vertical="center" wrapText="1"/>
      <protection hidden="1"/>
    </xf>
    <xf numFmtId="0" fontId="0" fillId="4" borderId="7" xfId="0" applyFill="1" applyBorder="1" applyProtection="1">
      <protection hidden="1"/>
    </xf>
    <xf numFmtId="0" fontId="3" fillId="4" borderId="8" xfId="0" applyFont="1" applyFill="1" applyBorder="1" applyAlignment="1" applyProtection="1">
      <alignment horizontal="right" vertical="center" wrapText="1" indent="1"/>
      <protection hidden="1"/>
    </xf>
    <xf numFmtId="0" fontId="35" fillId="5" borderId="52" xfId="0" applyFont="1" applyFill="1" applyBorder="1" applyAlignment="1" applyProtection="1">
      <alignment horizontal="left" vertical="center"/>
      <protection hidden="1"/>
    </xf>
    <xf numFmtId="0" fontId="0" fillId="5" borderId="0" xfId="0" applyFill="1" applyAlignment="1" applyProtection="1">
      <alignment horizontal="right" indent="1"/>
      <protection hidden="1"/>
    </xf>
    <xf numFmtId="0" fontId="35" fillId="5" borderId="0" xfId="0" applyFont="1" applyFill="1" applyAlignment="1" applyProtection="1">
      <alignment horizontal="left" vertical="center"/>
      <protection hidden="1"/>
    </xf>
    <xf numFmtId="0" fontId="35" fillId="5" borderId="0" xfId="0" applyFont="1" applyFill="1" applyAlignment="1" applyProtection="1">
      <alignment vertical="center"/>
      <protection hidden="1"/>
    </xf>
    <xf numFmtId="0" fontId="35" fillId="5" borderId="53" xfId="0" applyFont="1" applyFill="1" applyBorder="1" applyAlignment="1" applyProtection="1">
      <alignment vertical="center"/>
      <protection hidden="1"/>
    </xf>
    <xf numFmtId="0" fontId="38" fillId="5" borderId="0" xfId="0" applyFont="1" applyFill="1" applyAlignment="1" applyProtection="1">
      <alignment horizontal="left" vertical="center" indent="3"/>
      <protection hidden="1"/>
    </xf>
    <xf numFmtId="0" fontId="37" fillId="4" borderId="0" xfId="0" applyFont="1" applyFill="1" applyAlignment="1" applyProtection="1">
      <alignment horizontal="right" wrapText="1" indent="1"/>
      <protection hidden="1"/>
    </xf>
    <xf numFmtId="0" fontId="35" fillId="4" borderId="0" xfId="0" applyFont="1" applyFill="1" applyAlignment="1" applyProtection="1">
      <alignment horizontal="right" vertical="center" wrapText="1" indent="2"/>
      <protection hidden="1"/>
    </xf>
    <xf numFmtId="0" fontId="5" fillId="0" borderId="0" xfId="0" applyFont="1" applyAlignment="1" applyProtection="1">
      <alignment horizontal="right" indent="1"/>
      <protection hidden="1"/>
    </xf>
    <xf numFmtId="0" fontId="5" fillId="4" borderId="0" xfId="0" applyFont="1" applyFill="1" applyAlignment="1" applyProtection="1">
      <alignment horizontal="right" indent="1"/>
      <protection hidden="1"/>
    </xf>
    <xf numFmtId="0" fontId="23" fillId="0" borderId="0" xfId="0" applyFont="1" applyAlignment="1" applyProtection="1">
      <alignment horizontal="right" vertical="top" indent="1"/>
      <protection hidden="1"/>
    </xf>
    <xf numFmtId="0" fontId="35" fillId="4" borderId="8" xfId="0" applyFont="1" applyFill="1" applyBorder="1" applyAlignment="1" applyProtection="1">
      <alignment horizontal="right" vertical="center" wrapText="1" indent="2"/>
      <protection hidden="1"/>
    </xf>
    <xf numFmtId="0" fontId="4" fillId="0" borderId="0" xfId="0" applyFont="1" applyAlignment="1" applyProtection="1">
      <alignment horizontal="right"/>
      <protection hidden="1"/>
    </xf>
    <xf numFmtId="0" fontId="3" fillId="4" borderId="2" xfId="0" applyFont="1" applyFill="1" applyBorder="1" applyAlignment="1" applyProtection="1">
      <alignment horizontal="right" vertical="center" indent="1"/>
      <protection hidden="1"/>
    </xf>
    <xf numFmtId="0" fontId="3" fillId="5" borderId="55" xfId="0" applyFont="1" applyFill="1" applyBorder="1" applyAlignment="1" applyProtection="1">
      <alignment vertical="center" wrapText="1"/>
      <protection hidden="1"/>
    </xf>
    <xf numFmtId="0" fontId="3" fillId="5" borderId="56" xfId="0" applyFont="1" applyFill="1" applyBorder="1" applyAlignment="1" applyProtection="1">
      <alignment vertical="center" wrapText="1"/>
      <protection hidden="1"/>
    </xf>
    <xf numFmtId="0" fontId="3" fillId="5" borderId="57" xfId="0" applyFont="1" applyFill="1" applyBorder="1" applyAlignment="1" applyProtection="1">
      <alignment vertical="center" wrapText="1"/>
      <protection hidden="1"/>
    </xf>
    <xf numFmtId="0" fontId="45" fillId="5" borderId="0" xfId="0" applyFont="1" applyFill="1" applyProtection="1">
      <protection hidden="1"/>
    </xf>
    <xf numFmtId="0" fontId="3" fillId="4" borderId="7" xfId="0" applyFont="1" applyFill="1" applyBorder="1" applyAlignment="1" applyProtection="1">
      <alignment vertical="center"/>
      <protection hidden="1"/>
    </xf>
    <xf numFmtId="0" fontId="3" fillId="4" borderId="0" xfId="0" applyFont="1" applyFill="1" applyAlignment="1" applyProtection="1">
      <alignment vertical="center"/>
      <protection hidden="1"/>
    </xf>
    <xf numFmtId="0" fontId="3" fillId="4" borderId="4" xfId="0" applyFont="1" applyFill="1" applyBorder="1" applyAlignment="1" applyProtection="1">
      <alignment vertical="center"/>
      <protection hidden="1"/>
    </xf>
    <xf numFmtId="0" fontId="3" fillId="4" borderId="8" xfId="0" applyFont="1" applyFill="1" applyBorder="1" applyAlignment="1" applyProtection="1">
      <alignment vertical="center"/>
      <protection hidden="1"/>
    </xf>
    <xf numFmtId="0" fontId="3" fillId="4" borderId="8" xfId="0" applyFont="1" applyFill="1" applyBorder="1" applyAlignment="1" applyProtection="1">
      <alignment vertical="center" wrapText="1"/>
      <protection hidden="1"/>
    </xf>
    <xf numFmtId="0" fontId="3" fillId="4" borderId="5" xfId="0" applyFont="1" applyFill="1" applyBorder="1" applyAlignment="1" applyProtection="1">
      <alignment vertical="center" wrapText="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3" fillId="4" borderId="48" xfId="0" applyFont="1" applyFill="1" applyBorder="1" applyAlignment="1" applyProtection="1">
      <alignment vertical="center" wrapText="1"/>
      <protection hidden="1"/>
    </xf>
    <xf numFmtId="0" fontId="3" fillId="4" borderId="59" xfId="0" applyFont="1" applyFill="1" applyBorder="1" applyAlignment="1" applyProtection="1">
      <alignment vertical="center" wrapText="1"/>
      <protection hidden="1"/>
    </xf>
    <xf numFmtId="0" fontId="37" fillId="4" borderId="61" xfId="0" applyFont="1" applyFill="1" applyBorder="1" applyAlignment="1" applyProtection="1">
      <alignment horizontal="center" vertical="center"/>
      <protection hidden="1"/>
    </xf>
    <xf numFmtId="0" fontId="35" fillId="5" borderId="53" xfId="0" applyFont="1" applyFill="1" applyBorder="1" applyAlignment="1" applyProtection="1">
      <alignment horizontal="left" vertical="center" wrapText="1"/>
      <protection hidden="1"/>
    </xf>
    <xf numFmtId="0" fontId="3" fillId="5" borderId="0" xfId="0" applyFont="1" applyFill="1" applyAlignment="1" applyProtection="1">
      <alignment horizontal="center" vertical="center" wrapText="1"/>
      <protection hidden="1"/>
    </xf>
    <xf numFmtId="0" fontId="35" fillId="4" borderId="0" xfId="0" applyFont="1" applyFill="1" applyAlignment="1" applyProtection="1">
      <alignment horizontal="left" vertical="center" wrapText="1" indent="1"/>
      <protection hidden="1"/>
    </xf>
    <xf numFmtId="0" fontId="38" fillId="5" borderId="0" xfId="0" applyFont="1" applyFill="1" applyAlignment="1" applyProtection="1">
      <alignment horizontal="left" vertical="center" indent="6"/>
      <protection hidden="1"/>
    </xf>
    <xf numFmtId="0" fontId="37" fillId="4" borderId="7" xfId="0" applyFont="1" applyFill="1" applyBorder="1" applyAlignment="1" applyProtection="1">
      <alignment horizontal="left" vertical="center" wrapText="1" indent="1"/>
      <protection hidden="1"/>
    </xf>
    <xf numFmtId="0" fontId="5" fillId="4" borderId="0" xfId="0" applyFont="1" applyFill="1" applyProtection="1">
      <protection hidden="1"/>
    </xf>
    <xf numFmtId="0" fontId="5" fillId="0" borderId="0" xfId="0" applyFont="1" applyProtection="1">
      <protection hidden="1"/>
    </xf>
    <xf numFmtId="0" fontId="37" fillId="4" borderId="0" xfId="0" applyFont="1" applyFill="1" applyAlignment="1" applyProtection="1">
      <alignment horizontal="right" vertical="center" indent="1"/>
      <protection hidden="1"/>
    </xf>
    <xf numFmtId="0" fontId="5" fillId="4" borderId="8" xfId="0" applyFont="1" applyFill="1" applyBorder="1" applyProtection="1">
      <protection hidden="1"/>
    </xf>
    <xf numFmtId="0" fontId="3" fillId="4" borderId="3" xfId="0" applyFont="1" applyFill="1" applyBorder="1" applyAlignment="1" applyProtection="1">
      <alignment horizontal="left" vertical="center" indent="11"/>
      <protection hidden="1"/>
    </xf>
    <xf numFmtId="0" fontId="3" fillId="4" borderId="2" xfId="0" applyFont="1" applyFill="1" applyBorder="1" applyAlignment="1" applyProtection="1">
      <alignment horizontal="left" vertical="center" indent="11"/>
      <protection hidden="1"/>
    </xf>
    <xf numFmtId="0" fontId="3" fillId="4" borderId="4" xfId="0" applyFont="1" applyFill="1" applyBorder="1" applyAlignment="1" applyProtection="1">
      <alignment horizontal="left" vertical="center" indent="9"/>
      <protection hidden="1"/>
    </xf>
    <xf numFmtId="0" fontId="3" fillId="4" borderId="8" xfId="0" applyFont="1" applyFill="1" applyBorder="1" applyAlignment="1" applyProtection="1">
      <alignment horizontal="left" vertical="center" indent="9"/>
      <protection hidden="1"/>
    </xf>
    <xf numFmtId="0" fontId="39" fillId="4" borderId="0" xfId="0" applyFont="1" applyFill="1" applyAlignment="1" applyProtection="1">
      <alignment horizontal="center" vertical="center"/>
      <protection hidden="1"/>
    </xf>
    <xf numFmtId="0" fontId="37" fillId="4" borderId="0" xfId="0" applyFont="1" applyFill="1" applyAlignment="1" applyProtection="1">
      <alignment horizontal="center" vertical="center"/>
      <protection hidden="1"/>
    </xf>
    <xf numFmtId="0" fontId="5" fillId="4" borderId="0" xfId="0" applyFont="1" applyFill="1" applyAlignment="1" applyProtection="1">
      <alignment horizontal="left" vertical="center" indent="1"/>
      <protection hidden="1"/>
    </xf>
    <xf numFmtId="0" fontId="35" fillId="4" borderId="0" xfId="0" applyFont="1" applyFill="1" applyAlignment="1" applyProtection="1">
      <alignment horizontal="left" vertical="center" indent="1"/>
      <protection hidden="1"/>
    </xf>
    <xf numFmtId="0" fontId="3" fillId="5" borderId="56" xfId="0" applyFont="1" applyFill="1" applyBorder="1" applyAlignment="1" applyProtection="1">
      <alignment horizontal="center" vertical="center" wrapText="1"/>
      <protection hidden="1"/>
    </xf>
    <xf numFmtId="0" fontId="42" fillId="5" borderId="52" xfId="0" applyFont="1" applyFill="1" applyBorder="1" applyAlignment="1" applyProtection="1">
      <alignment horizontal="center" vertical="center"/>
      <protection hidden="1"/>
    </xf>
    <xf numFmtId="0" fontId="43" fillId="12" borderId="9" xfId="0" applyFont="1" applyFill="1" applyBorder="1" applyAlignment="1" applyProtection="1">
      <alignment horizontal="left" vertical="center" wrapText="1" indent="1"/>
      <protection hidden="1"/>
    </xf>
    <xf numFmtId="0" fontId="3" fillId="4" borderId="9" xfId="0" applyFont="1" applyFill="1" applyBorder="1" applyAlignment="1" applyProtection="1">
      <alignment horizontal="left" vertical="center" indent="1"/>
      <protection hidden="1"/>
    </xf>
    <xf numFmtId="0" fontId="0" fillId="4" borderId="9" xfId="0" applyFill="1" applyBorder="1" applyProtection="1">
      <protection hidden="1"/>
    </xf>
    <xf numFmtId="0" fontId="3" fillId="4" borderId="9" xfId="0" applyFont="1" applyFill="1" applyBorder="1" applyAlignment="1" applyProtection="1">
      <alignment vertical="center" wrapText="1"/>
      <protection hidden="1"/>
    </xf>
    <xf numFmtId="0" fontId="3" fillId="4" borderId="87" xfId="0" applyFont="1" applyFill="1" applyBorder="1" applyAlignment="1" applyProtection="1">
      <alignment horizontal="left" vertical="center" indent="1"/>
      <protection hidden="1"/>
    </xf>
    <xf numFmtId="0" fontId="0" fillId="4" borderId="87" xfId="0" applyFill="1" applyBorder="1" applyProtection="1">
      <protection hidden="1"/>
    </xf>
    <xf numFmtId="0" fontId="3" fillId="4" borderId="87" xfId="0" applyFont="1" applyFill="1" applyBorder="1" applyAlignment="1" applyProtection="1">
      <alignment vertical="center" wrapText="1"/>
      <protection hidden="1"/>
    </xf>
    <xf numFmtId="0" fontId="9" fillId="4" borderId="8" xfId="0" applyFont="1" applyFill="1" applyBorder="1" applyAlignment="1" applyProtection="1">
      <alignment horizontal="left" vertical="center" wrapText="1" indent="1"/>
      <protection hidden="1"/>
    </xf>
    <xf numFmtId="0" fontId="3" fillId="4" borderId="8" xfId="0" applyFont="1" applyFill="1" applyBorder="1" applyAlignment="1" applyProtection="1">
      <alignment horizontal="left" vertical="center" indent="1"/>
      <protection hidden="1"/>
    </xf>
    <xf numFmtId="0" fontId="38" fillId="5" borderId="0" xfId="0" applyFont="1" applyFill="1" applyAlignment="1" applyProtection="1">
      <alignment horizontal="left" indent="6"/>
      <protection hidden="1"/>
    </xf>
    <xf numFmtId="0" fontId="37" fillId="0" borderId="54" xfId="0" applyFont="1" applyBorder="1" applyAlignment="1" applyProtection="1">
      <alignment vertical="center"/>
      <protection hidden="1"/>
    </xf>
    <xf numFmtId="0" fontId="5" fillId="4" borderId="97" xfId="0" applyFont="1" applyFill="1" applyBorder="1" applyAlignment="1" applyProtection="1">
      <alignment horizontal="left" vertical="center" wrapText="1" indent="1"/>
      <protection hidden="1"/>
    </xf>
    <xf numFmtId="0" fontId="5" fillId="4" borderId="48" xfId="0" applyFont="1" applyFill="1" applyBorder="1" applyAlignment="1" applyProtection="1">
      <alignment horizontal="left" vertical="center" indent="1"/>
      <protection hidden="1"/>
    </xf>
    <xf numFmtId="0" fontId="3" fillId="4" borderId="10" xfId="0" applyFont="1" applyFill="1" applyBorder="1" applyAlignment="1" applyProtection="1">
      <alignment horizontal="left" vertical="center" indent="1"/>
      <protection hidden="1"/>
    </xf>
    <xf numFmtId="0" fontId="0" fillId="4" borderId="10" xfId="0" applyFill="1" applyBorder="1" applyProtection="1">
      <protection hidden="1"/>
    </xf>
    <xf numFmtId="0" fontId="3" fillId="4" borderId="10" xfId="0" applyFont="1" applyFill="1" applyBorder="1" applyAlignment="1" applyProtection="1">
      <alignment vertical="center" wrapText="1"/>
      <protection hidden="1"/>
    </xf>
    <xf numFmtId="0" fontId="3" fillId="4" borderId="93" xfId="0" applyFont="1" applyFill="1" applyBorder="1" applyAlignment="1" applyProtection="1">
      <alignment horizontal="left" vertical="center" indent="1"/>
      <protection hidden="1"/>
    </xf>
    <xf numFmtId="0" fontId="0" fillId="4" borderId="93" xfId="0" applyFill="1" applyBorder="1" applyProtection="1">
      <protection hidden="1"/>
    </xf>
    <xf numFmtId="0" fontId="3" fillId="4" borderId="93" xfId="0" applyFont="1" applyFill="1" applyBorder="1" applyAlignment="1" applyProtection="1">
      <alignment vertical="center" wrapText="1"/>
      <protection hidden="1"/>
    </xf>
    <xf numFmtId="0" fontId="37" fillId="4" borderId="125" xfId="0" applyFont="1" applyFill="1" applyBorder="1" applyAlignment="1" applyProtection="1">
      <alignment vertical="center"/>
      <protection hidden="1"/>
    </xf>
    <xf numFmtId="0" fontId="5" fillId="4" borderId="118" xfId="0" applyFont="1" applyFill="1" applyBorder="1" applyAlignment="1" applyProtection="1">
      <alignment vertical="center"/>
      <protection hidden="1"/>
    </xf>
    <xf numFmtId="0" fontId="62" fillId="22" borderId="1" xfId="1" applyFont="1" applyBorder="1" applyAlignment="1" applyProtection="1">
      <alignment horizontal="center" vertical="center"/>
      <protection hidden="1"/>
    </xf>
    <xf numFmtId="0" fontId="3" fillId="5" borderId="56" xfId="0" applyFont="1" applyFill="1" applyBorder="1" applyAlignment="1" applyProtection="1">
      <alignment vertical="center"/>
      <protection hidden="1"/>
    </xf>
    <xf numFmtId="0" fontId="63" fillId="5" borderId="0" xfId="0" applyFont="1" applyFill="1" applyAlignment="1" applyProtection="1">
      <alignment horizontal="left" wrapText="1" indent="2"/>
      <protection hidden="1"/>
    </xf>
    <xf numFmtId="0" fontId="35" fillId="4" borderId="7" xfId="0" applyFont="1" applyFill="1" applyBorder="1" applyAlignment="1" applyProtection="1">
      <alignment vertical="center" wrapText="1"/>
      <protection hidden="1"/>
    </xf>
    <xf numFmtId="0" fontId="37" fillId="4" borderId="0" xfId="0" applyFont="1" applyFill="1" applyAlignment="1" applyProtection="1">
      <alignment vertical="center" wrapText="1"/>
      <protection hidden="1"/>
    </xf>
    <xf numFmtId="0" fontId="5" fillId="4" borderId="7" xfId="0" applyFont="1" applyFill="1" applyBorder="1" applyAlignment="1" applyProtection="1">
      <alignment horizontal="right" vertical="center" wrapText="1" indent="4"/>
      <protection hidden="1"/>
    </xf>
    <xf numFmtId="0" fontId="5" fillId="4" borderId="0" xfId="0" applyFont="1" applyFill="1" applyAlignment="1" applyProtection="1">
      <alignment horizontal="right" vertical="center" wrapText="1" indent="4"/>
      <protection hidden="1"/>
    </xf>
    <xf numFmtId="0" fontId="5" fillId="4" borderId="2" xfId="0" applyFont="1" applyFill="1" applyBorder="1" applyAlignment="1" applyProtection="1">
      <alignment horizontal="right" vertical="center" wrapText="1" indent="1"/>
      <protection hidden="1"/>
    </xf>
    <xf numFmtId="0" fontId="3" fillId="4" borderId="2" xfId="0" applyFont="1" applyFill="1" applyBorder="1" applyAlignment="1" applyProtection="1">
      <alignment horizontal="right" vertical="center" wrapText="1" indent="1"/>
      <protection hidden="1"/>
    </xf>
    <xf numFmtId="0" fontId="0" fillId="0" borderId="63" xfId="0" applyBorder="1" applyAlignment="1" applyProtection="1">
      <alignment vertical="center"/>
      <protection hidden="1"/>
    </xf>
    <xf numFmtId="0" fontId="0" fillId="0" borderId="63" xfId="0" applyBorder="1" applyProtection="1">
      <protection hidden="1"/>
    </xf>
    <xf numFmtId="0" fontId="37" fillId="4" borderId="132" xfId="0" applyFont="1" applyFill="1" applyBorder="1" applyAlignment="1" applyProtection="1">
      <alignment vertical="center"/>
      <protection hidden="1"/>
    </xf>
    <xf numFmtId="0" fontId="64" fillId="5" borderId="0" xfId="0" applyFont="1" applyFill="1" applyAlignment="1" applyProtection="1">
      <alignment vertical="center"/>
      <protection hidden="1"/>
    </xf>
    <xf numFmtId="0" fontId="64" fillId="5" borderId="0" xfId="0" applyFont="1" applyFill="1" applyAlignment="1" applyProtection="1">
      <alignment vertical="center" wrapText="1"/>
      <protection hidden="1"/>
    </xf>
    <xf numFmtId="0" fontId="61" fillId="0" borderId="0" xfId="0" applyFont="1" applyProtection="1">
      <protection hidden="1"/>
    </xf>
    <xf numFmtId="0" fontId="0" fillId="4" borderId="2" xfId="0" applyFill="1" applyBorder="1" applyProtection="1">
      <protection hidden="1"/>
    </xf>
    <xf numFmtId="0" fontId="67" fillId="5" borderId="53" xfId="0" applyFont="1" applyFill="1" applyBorder="1" applyAlignment="1" applyProtection="1">
      <alignment horizontal="left" vertical="center" wrapText="1"/>
      <protection hidden="1"/>
    </xf>
    <xf numFmtId="0" fontId="5" fillId="0" borderId="0" xfId="0" applyFont="1" applyAlignment="1">
      <alignment horizontal="right"/>
    </xf>
    <xf numFmtId="0" fontId="60" fillId="4" borderId="0" xfId="0" applyFont="1" applyFill="1" applyAlignment="1" applyProtection="1">
      <alignment vertical="center" wrapText="1"/>
      <protection hidden="1"/>
    </xf>
    <xf numFmtId="0" fontId="5" fillId="0" borderId="0" xfId="0" applyFont="1" applyAlignment="1">
      <alignment horizontal="left" indent="1"/>
    </xf>
    <xf numFmtId="0" fontId="0" fillId="5" borderId="0" xfId="0" applyFill="1" applyAlignment="1" applyProtection="1">
      <alignment horizontal="left" vertical="center" indent="4"/>
      <protection hidden="1"/>
    </xf>
    <xf numFmtId="0" fontId="5" fillId="0" borderId="0" xfId="0" applyFont="1" applyAlignment="1" applyProtection="1">
      <alignment vertical="top"/>
      <protection hidden="1"/>
    </xf>
    <xf numFmtId="0" fontId="37" fillId="4" borderId="0" xfId="0" applyFont="1" applyFill="1" applyAlignment="1" applyProtection="1">
      <alignment horizontal="right" vertical="center" wrapText="1" indent="1"/>
      <protection hidden="1"/>
    </xf>
    <xf numFmtId="0" fontId="37" fillId="4" borderId="0" xfId="0" applyFont="1" applyFill="1" applyAlignment="1" applyProtection="1">
      <alignment horizontal="right" vertical="top" wrapText="1" indent="1"/>
      <protection hidden="1"/>
    </xf>
    <xf numFmtId="0" fontId="69" fillId="0" borderId="0" xfId="0" applyFont="1" applyAlignment="1" applyProtection="1">
      <alignment vertical="top"/>
      <protection hidden="1"/>
    </xf>
    <xf numFmtId="0" fontId="69" fillId="0" borderId="0" xfId="0" applyFont="1" applyAlignment="1" applyProtection="1">
      <alignment vertical="center"/>
      <protection hidden="1"/>
    </xf>
    <xf numFmtId="0" fontId="35" fillId="4" borderId="7" xfId="0" applyFont="1" applyFill="1" applyBorder="1" applyAlignment="1" applyProtection="1">
      <alignment vertical="top" wrapText="1"/>
      <protection hidden="1"/>
    </xf>
    <xf numFmtId="0" fontId="5" fillId="4" borderId="0" xfId="0" applyFont="1" applyFill="1" applyAlignment="1" applyProtection="1">
      <alignment horizontal="left" wrapText="1" indent="2"/>
      <protection hidden="1"/>
    </xf>
    <xf numFmtId="0" fontId="35" fillId="4" borderId="2" xfId="0" applyFont="1" applyFill="1" applyBorder="1" applyAlignment="1" applyProtection="1">
      <alignment horizontal="right" vertical="center" wrapText="1" indent="2"/>
      <protection hidden="1"/>
    </xf>
    <xf numFmtId="0" fontId="37" fillId="4" borderId="7" xfId="0" applyFont="1" applyFill="1" applyBorder="1" applyAlignment="1" applyProtection="1">
      <alignment horizontal="right" vertical="center" wrapText="1"/>
      <protection hidden="1"/>
    </xf>
    <xf numFmtId="0" fontId="8" fillId="4" borderId="0" xfId="0" applyFont="1" applyFill="1" applyAlignment="1" applyProtection="1">
      <alignment horizontal="right" vertical="center" indent="1"/>
      <protection hidden="1"/>
    </xf>
    <xf numFmtId="0" fontId="3" fillId="5" borderId="48" xfId="0" applyFont="1" applyFill="1" applyBorder="1" applyAlignment="1" applyProtection="1">
      <alignment vertical="center" wrapText="1"/>
      <protection hidden="1"/>
    </xf>
    <xf numFmtId="0" fontId="14" fillId="4" borderId="0" xfId="0" applyFont="1" applyFill="1" applyAlignment="1" applyProtection="1">
      <alignment wrapText="1"/>
      <protection hidden="1"/>
    </xf>
    <xf numFmtId="0" fontId="14" fillId="4" borderId="22" xfId="0" applyFont="1" applyFill="1" applyBorder="1" applyProtection="1">
      <protection hidden="1"/>
    </xf>
    <xf numFmtId="0" fontId="14" fillId="4" borderId="23" xfId="0" applyFont="1" applyFill="1" applyBorder="1" applyProtection="1">
      <protection hidden="1"/>
    </xf>
    <xf numFmtId="0" fontId="14" fillId="4" borderId="24" xfId="0" applyFont="1" applyFill="1" applyBorder="1" applyProtection="1">
      <protection hidden="1"/>
    </xf>
    <xf numFmtId="0" fontId="14" fillId="4" borderId="25" xfId="0" applyFont="1" applyFill="1" applyBorder="1" applyAlignment="1" applyProtection="1">
      <alignment horizontal="center" vertical="center"/>
      <protection hidden="1"/>
    </xf>
    <xf numFmtId="0" fontId="14" fillId="4" borderId="25" xfId="0" applyFont="1" applyFill="1" applyBorder="1" applyProtection="1">
      <protection hidden="1"/>
    </xf>
    <xf numFmtId="0" fontId="14" fillId="4" borderId="26" xfId="0" applyFont="1" applyFill="1" applyBorder="1" applyProtection="1">
      <protection hidden="1"/>
    </xf>
    <xf numFmtId="0" fontId="15" fillId="4" borderId="0" xfId="0" applyFont="1" applyFill="1" applyProtection="1">
      <protection hidden="1"/>
    </xf>
    <xf numFmtId="0" fontId="14" fillId="4" borderId="33" xfId="0" applyFont="1" applyFill="1" applyBorder="1" applyProtection="1">
      <protection hidden="1"/>
    </xf>
    <xf numFmtId="0" fontId="16" fillId="4" borderId="0" xfId="0" applyFont="1" applyFill="1" applyAlignment="1" applyProtection="1">
      <alignment vertical="center"/>
      <protection hidden="1"/>
    </xf>
    <xf numFmtId="0" fontId="16" fillId="4" borderId="131" xfId="0" applyFont="1" applyFill="1" applyBorder="1" applyAlignment="1" applyProtection="1">
      <alignment vertical="center"/>
      <protection hidden="1"/>
    </xf>
    <xf numFmtId="0" fontId="35" fillId="0" borderId="131" xfId="0" applyFont="1" applyBorder="1" applyAlignment="1" applyProtection="1">
      <alignment vertical="center"/>
      <protection hidden="1"/>
    </xf>
    <xf numFmtId="0" fontId="16" fillId="4" borderId="0" xfId="0" applyFont="1" applyFill="1" applyAlignment="1" applyProtection="1">
      <alignment horizontal="left" vertical="center" indent="1"/>
      <protection hidden="1"/>
    </xf>
    <xf numFmtId="0" fontId="15" fillId="4" borderId="0" xfId="0" applyFont="1" applyFill="1" applyAlignment="1" applyProtection="1">
      <alignment horizontal="left" indent="2"/>
      <protection hidden="1"/>
    </xf>
    <xf numFmtId="0" fontId="14" fillId="4" borderId="33" xfId="0" applyFont="1" applyFill="1" applyBorder="1" applyAlignment="1" applyProtection="1">
      <alignment wrapText="1"/>
      <protection hidden="1"/>
    </xf>
    <xf numFmtId="0" fontId="14" fillId="4" borderId="33" xfId="0" applyFont="1" applyFill="1" applyBorder="1" applyAlignment="1" applyProtection="1">
      <alignment horizontal="right" wrapText="1"/>
      <protection hidden="1"/>
    </xf>
    <xf numFmtId="0" fontId="5" fillId="4" borderId="4" xfId="0" applyFont="1" applyFill="1" applyBorder="1" applyAlignment="1" applyProtection="1">
      <alignment horizontal="left" vertical="center" wrapText="1" indent="1"/>
      <protection hidden="1"/>
    </xf>
    <xf numFmtId="0" fontId="14" fillId="4" borderId="139" xfId="0" applyFont="1" applyFill="1" applyBorder="1" applyProtection="1">
      <protection hidden="1"/>
    </xf>
    <xf numFmtId="0" fontId="16" fillId="4" borderId="0" xfId="0" applyFont="1" applyFill="1" applyProtection="1">
      <protection hidden="1"/>
    </xf>
    <xf numFmtId="0" fontId="0" fillId="0" borderId="20" xfId="0" applyBorder="1" applyProtection="1">
      <protection hidden="1"/>
    </xf>
    <xf numFmtId="0" fontId="14" fillId="4" borderId="131" xfId="0" applyFont="1" applyFill="1" applyBorder="1" applyProtection="1">
      <protection hidden="1"/>
    </xf>
    <xf numFmtId="0" fontId="0" fillId="0" borderId="131" xfId="0" applyBorder="1" applyProtection="1">
      <protection hidden="1"/>
    </xf>
    <xf numFmtId="0" fontId="48" fillId="4" borderId="0" xfId="0" applyFont="1" applyFill="1" applyAlignment="1" applyProtection="1">
      <alignment vertical="center" wrapText="1"/>
      <protection hidden="1"/>
    </xf>
    <xf numFmtId="0" fontId="0" fillId="0" borderId="0" xfId="0" applyAlignment="1">
      <alignment horizontal="right" indent="1"/>
    </xf>
    <xf numFmtId="0" fontId="14" fillId="0" borderId="0" xfId="0" applyFont="1" applyAlignment="1">
      <alignment horizontal="right" indent="1"/>
    </xf>
    <xf numFmtId="0" fontId="0" fillId="4" borderId="0" xfId="0" applyFill="1" applyAlignment="1">
      <alignment vertical="top"/>
    </xf>
    <xf numFmtId="1" fontId="40" fillId="4" borderId="100" xfId="0" applyNumberFormat="1" applyFont="1" applyFill="1" applyBorder="1" applyAlignment="1" applyProtection="1">
      <alignment horizontal="center" vertical="center"/>
      <protection hidden="1"/>
    </xf>
    <xf numFmtId="0" fontId="16" fillId="4" borderId="14" xfId="0" applyFont="1" applyFill="1" applyBorder="1" applyAlignment="1" applyProtection="1">
      <alignment horizontal="left" vertical="top" indent="1"/>
      <protection hidden="1"/>
    </xf>
    <xf numFmtId="0" fontId="51" fillId="25" borderId="59" xfId="0" applyFont="1" applyFill="1" applyBorder="1" applyAlignment="1" applyProtection="1">
      <alignment vertical="center" wrapText="1"/>
      <protection hidden="1"/>
    </xf>
    <xf numFmtId="0" fontId="51" fillId="23" borderId="59" xfId="0" applyFont="1" applyFill="1" applyBorder="1" applyAlignment="1" applyProtection="1">
      <alignment vertical="center" wrapText="1"/>
      <protection hidden="1"/>
    </xf>
    <xf numFmtId="0" fontId="3" fillId="5" borderId="2" xfId="0" applyFont="1" applyFill="1" applyBorder="1" applyAlignment="1" applyProtection="1">
      <alignment vertical="center" wrapText="1"/>
      <protection hidden="1"/>
    </xf>
    <xf numFmtId="0" fontId="45" fillId="0" borderId="0" xfId="0" applyFont="1" applyProtection="1">
      <protection hidden="1"/>
    </xf>
    <xf numFmtId="0" fontId="75" fillId="4" borderId="0" xfId="0" applyFont="1" applyFill="1" applyProtection="1">
      <protection hidden="1"/>
    </xf>
    <xf numFmtId="0" fontId="80" fillId="4" borderId="0" xfId="0" applyFont="1" applyFill="1" applyAlignment="1" applyProtection="1">
      <alignment horizontal="right"/>
      <protection hidden="1"/>
    </xf>
    <xf numFmtId="0" fontId="81" fillId="4" borderId="0" xfId="0" applyFont="1" applyFill="1" applyProtection="1">
      <protection hidden="1"/>
    </xf>
    <xf numFmtId="0" fontId="75" fillId="4" borderId="32" xfId="0" applyFont="1" applyFill="1" applyBorder="1" applyAlignment="1" applyProtection="1">
      <alignment horizontal="left" vertical="center" indent="1"/>
      <protection hidden="1"/>
    </xf>
    <xf numFmtId="0" fontId="75" fillId="4" borderId="0" xfId="0" applyFont="1" applyFill="1" applyAlignment="1" applyProtection="1">
      <alignment horizontal="left" indent="1"/>
      <protection hidden="1"/>
    </xf>
    <xf numFmtId="0" fontId="75" fillId="4" borderId="31" xfId="0" applyFont="1" applyFill="1" applyBorder="1" applyAlignment="1" applyProtection="1">
      <alignment horizontal="left" vertical="center" indent="1"/>
      <protection hidden="1"/>
    </xf>
    <xf numFmtId="0" fontId="75" fillId="4" borderId="30" xfId="0" applyFont="1" applyFill="1" applyBorder="1" applyAlignment="1" applyProtection="1">
      <alignment horizontal="left" vertical="center" indent="1"/>
      <protection hidden="1"/>
    </xf>
    <xf numFmtId="0" fontId="75" fillId="4" borderId="28" xfId="0" applyFont="1" applyFill="1" applyBorder="1" applyAlignment="1" applyProtection="1">
      <alignment horizontal="left" vertical="center" indent="1"/>
      <protection hidden="1"/>
    </xf>
    <xf numFmtId="0" fontId="75" fillId="4" borderId="29" xfId="0" applyFont="1" applyFill="1" applyBorder="1" applyAlignment="1" applyProtection="1">
      <alignment horizontal="left" vertical="center" indent="1"/>
      <protection hidden="1"/>
    </xf>
    <xf numFmtId="0" fontId="81" fillId="4" borderId="0" xfId="0" applyFont="1" applyFill="1" applyAlignment="1" applyProtection="1">
      <alignment vertical="center"/>
      <protection hidden="1"/>
    </xf>
    <xf numFmtId="0" fontId="82" fillId="0" borderId="33" xfId="0" applyFont="1" applyBorder="1" applyAlignment="1" applyProtection="1">
      <alignment horizontal="left" vertical="center" indent="1"/>
      <protection hidden="1"/>
    </xf>
    <xf numFmtId="0" fontId="75" fillId="4" borderId="0" xfId="0" applyFont="1" applyFill="1" applyAlignment="1" applyProtection="1">
      <alignment wrapText="1"/>
      <protection hidden="1"/>
    </xf>
    <xf numFmtId="164" fontId="80" fillId="4" borderId="0" xfId="0" applyNumberFormat="1" applyFont="1" applyFill="1" applyAlignment="1" applyProtection="1">
      <alignment horizontal="right"/>
      <protection hidden="1"/>
    </xf>
    <xf numFmtId="0" fontId="80" fillId="4" borderId="0" xfId="0" applyFont="1" applyFill="1" applyAlignment="1" applyProtection="1">
      <alignment vertical="center" wrapText="1"/>
      <protection hidden="1"/>
    </xf>
    <xf numFmtId="0" fontId="12" fillId="4" borderId="94" xfId="0" applyFont="1" applyFill="1" applyBorder="1" applyProtection="1">
      <protection hidden="1"/>
    </xf>
    <xf numFmtId="0" fontId="84" fillId="4" borderId="0" xfId="0" applyFont="1" applyFill="1" applyAlignment="1" applyProtection="1">
      <alignment horizontal="left" vertical="center"/>
      <protection hidden="1"/>
    </xf>
    <xf numFmtId="0" fontId="84" fillId="4" borderId="0" xfId="0" applyFont="1" applyFill="1" applyAlignment="1" applyProtection="1">
      <alignment vertical="top"/>
      <protection hidden="1"/>
    </xf>
    <xf numFmtId="0" fontId="84" fillId="4" borderId="0" xfId="0" applyFont="1" applyFill="1" applyAlignment="1" applyProtection="1">
      <alignment horizontal="left"/>
      <protection hidden="1"/>
    </xf>
    <xf numFmtId="0" fontId="84" fillId="4" borderId="0" xfId="0" applyFont="1" applyFill="1" applyProtection="1">
      <protection hidden="1"/>
    </xf>
    <xf numFmtId="0" fontId="84" fillId="4" borderId="0" xfId="0" applyFont="1" applyFill="1" applyAlignment="1" applyProtection="1">
      <alignment vertical="center"/>
      <protection hidden="1"/>
    </xf>
    <xf numFmtId="0" fontId="88" fillId="0" borderId="0" xfId="0" applyFont="1" applyAlignment="1" applyProtection="1">
      <alignment horizontal="left"/>
      <protection hidden="1"/>
    </xf>
    <xf numFmtId="0" fontId="12" fillId="4" borderId="0" xfId="0" applyFont="1" applyFill="1" applyAlignment="1" applyProtection="1">
      <alignment horizontal="right"/>
      <protection hidden="1"/>
    </xf>
    <xf numFmtId="0" fontId="88" fillId="0" borderId="0" xfId="0" applyFont="1" applyAlignment="1" applyProtection="1">
      <alignment horizontal="left" indent="1"/>
      <protection hidden="1"/>
    </xf>
    <xf numFmtId="0" fontId="89" fillId="4" borderId="7" xfId="0" applyFont="1" applyFill="1" applyBorder="1" applyAlignment="1" applyProtection="1">
      <alignment horizontal="left" vertical="center"/>
      <protection hidden="1"/>
    </xf>
    <xf numFmtId="0" fontId="62" fillId="22" borderId="1" xfId="1" applyFont="1" applyBorder="1" applyAlignment="1" applyProtection="1">
      <alignment horizontal="center" vertical="center" wrapText="1"/>
      <protection hidden="1"/>
    </xf>
    <xf numFmtId="0" fontId="92" fillId="5" borderId="0" xfId="0" applyFont="1" applyFill="1" applyAlignment="1" applyProtection="1">
      <alignment vertical="center"/>
      <protection hidden="1"/>
    </xf>
    <xf numFmtId="0" fontId="93" fillId="5" borderId="0" xfId="0" applyFont="1" applyFill="1" applyAlignment="1" applyProtection="1">
      <alignment vertical="center"/>
      <protection hidden="1"/>
    </xf>
    <xf numFmtId="0" fontId="10" fillId="4" borderId="23" xfId="0" applyFont="1" applyFill="1" applyBorder="1" applyProtection="1">
      <protection hidden="1"/>
    </xf>
    <xf numFmtId="0" fontId="64" fillId="4" borderId="0" xfId="0" applyFont="1" applyFill="1" applyAlignment="1" applyProtection="1">
      <alignment horizontal="right"/>
      <protection hidden="1"/>
    </xf>
    <xf numFmtId="0" fontId="93" fillId="4" borderId="7" xfId="0" applyFont="1" applyFill="1" applyBorder="1" applyAlignment="1" applyProtection="1">
      <alignment horizontal="left" vertical="center" wrapText="1" indent="1"/>
      <protection hidden="1"/>
    </xf>
    <xf numFmtId="0" fontId="16" fillId="4" borderId="7" xfId="0" applyFont="1" applyFill="1" applyBorder="1" applyAlignment="1" applyProtection="1">
      <alignment horizontal="left" vertical="center" indent="1"/>
      <protection hidden="1"/>
    </xf>
    <xf numFmtId="0" fontId="6" fillId="4" borderId="144" xfId="0" applyFont="1" applyFill="1" applyBorder="1" applyAlignment="1" applyProtection="1">
      <alignment horizontal="left" indent="1"/>
      <protection hidden="1"/>
    </xf>
    <xf numFmtId="0" fontId="12" fillId="4" borderId="144" xfId="0" applyFont="1" applyFill="1" applyBorder="1" applyProtection="1">
      <protection hidden="1"/>
    </xf>
    <xf numFmtId="0" fontId="94" fillId="0" borderId="0" xfId="0" applyFont="1" applyAlignment="1" applyProtection="1">
      <alignment vertical="top"/>
      <protection hidden="1"/>
    </xf>
    <xf numFmtId="0" fontId="94" fillId="0" borderId="0" xfId="0" applyFont="1" applyAlignment="1" applyProtection="1">
      <alignment vertical="center"/>
      <protection hidden="1"/>
    </xf>
    <xf numFmtId="0" fontId="39" fillId="4" borderId="7" xfId="0" applyFont="1" applyFill="1" applyBorder="1" applyAlignment="1" applyProtection="1">
      <alignment vertical="center" wrapText="1"/>
      <protection hidden="1"/>
    </xf>
    <xf numFmtId="0" fontId="39" fillId="4" borderId="0" xfId="0" applyFont="1" applyFill="1" applyAlignment="1" applyProtection="1">
      <alignment horizontal="left" wrapText="1" indent="1"/>
      <protection hidden="1"/>
    </xf>
    <xf numFmtId="0" fontId="8" fillId="4" borderId="0" xfId="0" applyFont="1" applyFill="1" applyAlignment="1" applyProtection="1">
      <alignment horizontal="left" wrapText="1" indent="2"/>
      <protection hidden="1"/>
    </xf>
    <xf numFmtId="0" fontId="69" fillId="4" borderId="0" xfId="0" applyFont="1" applyFill="1" applyAlignment="1" applyProtection="1">
      <alignment horizontal="left" wrapText="1"/>
      <protection hidden="1"/>
    </xf>
    <xf numFmtId="0" fontId="6" fillId="4" borderId="0" xfId="0" applyFont="1" applyFill="1" applyAlignment="1" applyProtection="1">
      <alignment horizontal="right" indent="1"/>
      <protection hidden="1"/>
    </xf>
    <xf numFmtId="0" fontId="95" fillId="4" borderId="0" xfId="0" applyFont="1" applyFill="1" applyAlignment="1" applyProtection="1">
      <alignment horizontal="left" wrapText="1" indent="1"/>
      <protection hidden="1"/>
    </xf>
    <xf numFmtId="0" fontId="6" fillId="4" borderId="0" xfId="0" applyFont="1" applyFill="1" applyAlignment="1" applyProtection="1">
      <alignment horizontal="left" wrapText="1" indent="2"/>
      <protection hidden="1"/>
    </xf>
    <xf numFmtId="0" fontId="8" fillId="4" borderId="0" xfId="0" applyFont="1" applyFill="1" applyAlignment="1" applyProtection="1">
      <alignment horizontal="left" indent="1"/>
      <protection hidden="1"/>
    </xf>
    <xf numFmtId="0" fontId="0" fillId="0" borderId="22" xfId="0" applyBorder="1" applyProtection="1">
      <protection hidden="1"/>
    </xf>
    <xf numFmtId="0" fontId="3" fillId="5" borderId="0" xfId="0" applyFont="1" applyFill="1" applyAlignment="1" applyProtection="1">
      <alignment horizontal="right" wrapText="1" indent="1"/>
      <protection hidden="1"/>
    </xf>
    <xf numFmtId="0" fontId="0" fillId="4" borderId="20" xfId="0" applyFill="1" applyBorder="1" applyProtection="1">
      <protection hidden="1"/>
    </xf>
    <xf numFmtId="0" fontId="6" fillId="5" borderId="0" xfId="1" applyFont="1" applyFill="1" applyBorder="1" applyAlignment="1" applyProtection="1">
      <alignment horizontal="center" vertical="center"/>
      <protection hidden="1"/>
    </xf>
    <xf numFmtId="0" fontId="102" fillId="24" borderId="0" xfId="0" applyFont="1" applyFill="1" applyAlignment="1" applyProtection="1">
      <alignment horizontal="left" vertical="center" indent="1"/>
      <protection hidden="1"/>
    </xf>
    <xf numFmtId="0" fontId="5" fillId="4" borderId="115" xfId="0" applyFont="1" applyFill="1" applyBorder="1" applyAlignment="1" applyProtection="1">
      <alignment horizontal="left" vertical="center" wrapText="1"/>
      <protection hidden="1"/>
    </xf>
    <xf numFmtId="0" fontId="6" fillId="4" borderId="95" xfId="0" applyFont="1" applyFill="1" applyBorder="1" applyAlignment="1" applyProtection="1">
      <alignment horizontal="left" indent="1"/>
      <protection hidden="1"/>
    </xf>
    <xf numFmtId="0" fontId="12" fillId="4" borderId="95" xfId="0" applyFont="1" applyFill="1" applyBorder="1" applyProtection="1">
      <protection hidden="1"/>
    </xf>
    <xf numFmtId="0" fontId="18" fillId="0" borderId="95" xfId="0" applyFont="1" applyBorder="1" applyProtection="1">
      <protection hidden="1"/>
    </xf>
    <xf numFmtId="0" fontId="19" fillId="4" borderId="95" xfId="0" applyFont="1" applyFill="1" applyBorder="1" applyAlignment="1" applyProtection="1">
      <alignment horizontal="left" indent="1"/>
      <protection hidden="1"/>
    </xf>
    <xf numFmtId="0" fontId="18" fillId="4" borderId="95" xfId="0" applyFont="1" applyFill="1" applyBorder="1" applyProtection="1">
      <protection hidden="1"/>
    </xf>
    <xf numFmtId="0" fontId="105" fillId="0" borderId="0" xfId="0" applyFont="1" applyAlignment="1" applyProtection="1">
      <alignment horizontal="center"/>
      <protection hidden="1"/>
    </xf>
    <xf numFmtId="0" fontId="106" fillId="4" borderId="0" xfId="0" applyFont="1" applyFill="1" applyAlignment="1" applyProtection="1">
      <alignment horizontal="left" vertical="top"/>
      <protection hidden="1"/>
    </xf>
    <xf numFmtId="0" fontId="5" fillId="4" borderId="96" xfId="0" applyFont="1" applyFill="1" applyBorder="1" applyAlignment="1" applyProtection="1">
      <alignment horizontal="left" vertical="center" wrapText="1"/>
      <protection hidden="1"/>
    </xf>
    <xf numFmtId="0" fontId="38" fillId="5" borderId="0" xfId="0" applyFont="1" applyFill="1" applyAlignment="1" applyProtection="1">
      <alignment horizontal="left" vertical="top" wrapText="1"/>
      <protection hidden="1"/>
    </xf>
    <xf numFmtId="0" fontId="107" fillId="5" borderId="52" xfId="0" applyFont="1" applyFill="1" applyBorder="1" applyAlignment="1" applyProtection="1">
      <alignment horizontal="left" vertical="center" wrapText="1"/>
      <protection hidden="1"/>
    </xf>
    <xf numFmtId="0" fontId="108" fillId="4" borderId="2" xfId="0" applyFont="1" applyFill="1" applyBorder="1" applyProtection="1">
      <protection hidden="1"/>
    </xf>
    <xf numFmtId="0" fontId="74" fillId="4" borderId="0" xfId="0" applyFont="1" applyFill="1" applyAlignment="1" applyProtection="1">
      <alignment vertical="center"/>
      <protection hidden="1"/>
    </xf>
    <xf numFmtId="0" fontId="7" fillId="4" borderId="0" xfId="0" applyFont="1" applyFill="1" applyAlignment="1" applyProtection="1">
      <alignment vertical="center"/>
      <protection hidden="1"/>
    </xf>
    <xf numFmtId="0" fontId="0" fillId="5" borderId="0" xfId="0" applyFill="1" applyAlignment="1" applyProtection="1">
      <alignment vertical="center"/>
      <protection hidden="1"/>
    </xf>
    <xf numFmtId="0" fontId="0" fillId="5" borderId="0" xfId="0" applyFill="1" applyAlignment="1" applyProtection="1">
      <alignment vertical="top"/>
      <protection hidden="1"/>
    </xf>
    <xf numFmtId="0" fontId="110" fillId="8" borderId="0" xfId="0" applyFont="1" applyFill="1" applyAlignment="1" applyProtection="1">
      <alignment horizontal="left" vertical="top" wrapText="1" indent="5"/>
      <protection hidden="1"/>
    </xf>
    <xf numFmtId="0" fontId="10" fillId="8" borderId="0" xfId="0" applyFont="1" applyFill="1" applyAlignment="1" applyProtection="1">
      <alignment horizontal="left" vertical="center"/>
      <protection hidden="1"/>
    </xf>
    <xf numFmtId="0" fontId="95" fillId="4" borderId="60" xfId="0" applyFont="1" applyFill="1" applyBorder="1" applyAlignment="1" applyProtection="1">
      <alignment horizontal="center" vertical="center"/>
      <protection hidden="1"/>
    </xf>
    <xf numFmtId="0" fontId="44" fillId="5" borderId="0" xfId="0" applyFont="1" applyFill="1" applyAlignment="1" applyProtection="1">
      <alignment vertical="center"/>
      <protection hidden="1"/>
    </xf>
    <xf numFmtId="0" fontId="38" fillId="5" borderId="0" xfId="0" applyFont="1" applyFill="1" applyAlignment="1" applyProtection="1">
      <alignment horizontal="left" vertical="top" indent="6"/>
      <protection hidden="1"/>
    </xf>
    <xf numFmtId="0" fontId="38" fillId="5" borderId="56" xfId="0" applyFont="1" applyFill="1" applyBorder="1" applyAlignment="1" applyProtection="1">
      <alignment vertical="center"/>
      <protection hidden="1"/>
    </xf>
    <xf numFmtId="0" fontId="38" fillId="5" borderId="0" xfId="0" applyFont="1" applyFill="1" applyAlignment="1" applyProtection="1">
      <alignment horizontal="left" vertical="center" indent="8"/>
      <protection hidden="1"/>
    </xf>
    <xf numFmtId="0" fontId="114" fillId="5" borderId="52" xfId="0" applyFont="1" applyFill="1" applyBorder="1" applyAlignment="1" applyProtection="1">
      <alignment horizontal="center" vertical="center" wrapText="1"/>
      <protection hidden="1"/>
    </xf>
    <xf numFmtId="0" fontId="35" fillId="5" borderId="52" xfId="0" applyFont="1" applyFill="1" applyBorder="1" applyAlignment="1" applyProtection="1">
      <alignment horizontal="center" vertical="center"/>
      <protection hidden="1"/>
    </xf>
    <xf numFmtId="0" fontId="0" fillId="4" borderId="0" xfId="0" applyFill="1" applyAlignment="1" applyProtection="1">
      <alignment horizontal="left" vertical="top" indent="4"/>
      <protection hidden="1"/>
    </xf>
    <xf numFmtId="0" fontId="0" fillId="4" borderId="0" xfId="0" applyFill="1" applyAlignment="1" applyProtection="1">
      <alignment horizontal="left" vertical="top"/>
      <protection hidden="1"/>
    </xf>
    <xf numFmtId="0" fontId="117" fillId="4" borderId="7" xfId="0" applyFont="1" applyFill="1" applyBorder="1" applyAlignment="1" applyProtection="1">
      <alignment horizontal="right" vertical="top"/>
      <protection hidden="1"/>
    </xf>
    <xf numFmtId="0" fontId="0" fillId="4" borderId="0" xfId="0" applyFill="1" applyAlignment="1" applyProtection="1">
      <alignment horizontal="left" vertical="center"/>
      <protection hidden="1"/>
    </xf>
    <xf numFmtId="0" fontId="62" fillId="31" borderId="1" xfId="1" applyFont="1" applyFill="1" applyBorder="1" applyAlignment="1" applyProtection="1">
      <alignment horizontal="center" vertical="center" wrapText="1"/>
      <protection hidden="1"/>
    </xf>
    <xf numFmtId="164" fontId="5" fillId="4" borderId="0" xfId="0" applyNumberFormat="1" applyFont="1" applyFill="1" applyAlignment="1" applyProtection="1">
      <alignment horizontal="right" vertical="center" wrapText="1" indent="1"/>
      <protection hidden="1"/>
    </xf>
    <xf numFmtId="0" fontId="37" fillId="4" borderId="80" xfId="0" applyFont="1" applyFill="1" applyBorder="1" applyAlignment="1" applyProtection="1">
      <alignment horizontal="left" vertical="center" wrapText="1"/>
      <protection hidden="1"/>
    </xf>
    <xf numFmtId="0" fontId="35" fillId="4" borderId="50" xfId="0" applyFont="1" applyFill="1" applyBorder="1" applyAlignment="1" applyProtection="1">
      <alignment horizontal="left" vertical="center"/>
      <protection hidden="1"/>
    </xf>
    <xf numFmtId="0" fontId="35" fillId="4" borderId="50" xfId="0" applyFont="1" applyFill="1" applyBorder="1" applyAlignment="1" applyProtection="1">
      <alignment vertical="center"/>
      <protection hidden="1"/>
    </xf>
    <xf numFmtId="0" fontId="3" fillId="4" borderId="0" xfId="0" applyFont="1" applyFill="1" applyAlignment="1" applyProtection="1">
      <alignment horizontal="left" vertical="top" indent="4"/>
      <protection hidden="1"/>
    </xf>
    <xf numFmtId="0" fontId="3" fillId="4" borderId="46" xfId="0" applyFont="1" applyFill="1" applyBorder="1" applyAlignment="1" applyProtection="1">
      <alignment horizontal="left" vertical="top" indent="4"/>
      <protection hidden="1"/>
    </xf>
    <xf numFmtId="0" fontId="37" fillId="4" borderId="62" xfId="0" applyFont="1" applyFill="1" applyBorder="1" applyAlignment="1" applyProtection="1">
      <alignment horizontal="left" vertical="center" indent="1"/>
      <protection hidden="1"/>
    </xf>
    <xf numFmtId="0" fontId="4" fillId="0" borderId="63" xfId="0" applyFont="1" applyBorder="1" applyAlignment="1" applyProtection="1">
      <alignment horizontal="right" vertical="center" indent="1"/>
      <protection hidden="1"/>
    </xf>
    <xf numFmtId="0" fontId="95" fillId="5" borderId="0" xfId="0" applyFont="1" applyFill="1" applyAlignment="1" applyProtection="1">
      <alignment horizontal="center" vertical="center"/>
      <protection hidden="1"/>
    </xf>
    <xf numFmtId="0" fontId="94" fillId="4" borderId="0" xfId="0" applyFont="1" applyFill="1" applyProtection="1">
      <protection hidden="1"/>
    </xf>
    <xf numFmtId="0" fontId="5" fillId="4" borderId="0" xfId="0" applyFont="1" applyFill="1" applyAlignment="1" applyProtection="1">
      <alignment horizontal="left"/>
      <protection hidden="1"/>
    </xf>
    <xf numFmtId="0" fontId="5" fillId="4" borderId="0" xfId="0" applyFont="1" applyFill="1" applyAlignment="1" applyProtection="1">
      <alignment horizontal="left" indent="5"/>
      <protection hidden="1"/>
    </xf>
    <xf numFmtId="0" fontId="35" fillId="4" borderId="7" xfId="0" applyFont="1" applyFill="1" applyBorder="1" applyAlignment="1" applyProtection="1">
      <alignment horizontal="left" wrapText="1" indent="1"/>
      <protection hidden="1"/>
    </xf>
    <xf numFmtId="0" fontId="37" fillId="4" borderId="4" xfId="0" applyFont="1" applyFill="1" applyBorder="1" applyAlignment="1" applyProtection="1">
      <alignment horizontal="right" vertical="center" wrapText="1"/>
      <protection hidden="1"/>
    </xf>
    <xf numFmtId="0" fontId="37" fillId="4" borderId="8" xfId="0" applyFont="1" applyFill="1" applyBorder="1" applyAlignment="1" applyProtection="1">
      <alignment horizontal="right" vertical="center" wrapText="1"/>
      <protection hidden="1"/>
    </xf>
    <xf numFmtId="0" fontId="8" fillId="4" borderId="8" xfId="0" applyFont="1" applyFill="1" applyBorder="1" applyAlignment="1" applyProtection="1">
      <alignment horizontal="left" vertical="center" indent="2"/>
      <protection hidden="1"/>
    </xf>
    <xf numFmtId="0" fontId="0" fillId="0" borderId="8" xfId="0" applyBorder="1" applyProtection="1">
      <protection hidden="1"/>
    </xf>
    <xf numFmtId="0" fontId="5" fillId="4" borderId="8" xfId="0" applyFont="1" applyFill="1" applyBorder="1" applyAlignment="1" applyProtection="1">
      <alignment vertical="center"/>
      <protection hidden="1"/>
    </xf>
    <xf numFmtId="0" fontId="5" fillId="4" borderId="0" xfId="0" applyFont="1" applyFill="1" applyAlignment="1" applyProtection="1">
      <alignment horizontal="left" vertical="center"/>
      <protection hidden="1"/>
    </xf>
    <xf numFmtId="0" fontId="3" fillId="5" borderId="49" xfId="0" applyFont="1" applyFill="1" applyBorder="1" applyAlignment="1" applyProtection="1">
      <alignment vertical="center" wrapText="1"/>
      <protection hidden="1"/>
    </xf>
    <xf numFmtId="0" fontId="38" fillId="5" borderId="50" xfId="0" applyFont="1" applyFill="1" applyBorder="1" applyAlignment="1" applyProtection="1">
      <alignment horizontal="left" vertical="top" wrapText="1"/>
      <protection hidden="1"/>
    </xf>
    <xf numFmtId="0" fontId="3" fillId="5" borderId="50" xfId="0" applyFont="1" applyFill="1" applyBorder="1" applyAlignment="1" applyProtection="1">
      <alignment vertical="center" wrapText="1"/>
      <protection hidden="1"/>
    </xf>
    <xf numFmtId="0" fontId="3" fillId="5" borderId="51" xfId="0" applyFont="1" applyFill="1" applyBorder="1" applyAlignment="1" applyProtection="1">
      <alignment vertical="center" wrapText="1"/>
      <protection hidden="1"/>
    </xf>
    <xf numFmtId="0" fontId="38" fillId="5" borderId="56" xfId="0" applyFont="1" applyFill="1" applyBorder="1" applyAlignment="1" applyProtection="1">
      <alignment horizontal="left" vertical="top" wrapText="1" indent="5"/>
      <protection hidden="1"/>
    </xf>
    <xf numFmtId="0" fontId="9" fillId="5" borderId="56" xfId="0" applyFont="1" applyFill="1" applyBorder="1" applyAlignment="1" applyProtection="1">
      <alignment vertical="top" wrapText="1"/>
      <protection hidden="1"/>
    </xf>
    <xf numFmtId="0" fontId="38" fillId="5" borderId="56" xfId="0" applyFont="1" applyFill="1" applyBorder="1" applyAlignment="1" applyProtection="1">
      <alignment horizontal="left" vertical="top" wrapText="1"/>
      <protection hidden="1"/>
    </xf>
    <xf numFmtId="0" fontId="35" fillId="5" borderId="52" xfId="0" applyFont="1" applyFill="1" applyBorder="1" applyAlignment="1" applyProtection="1">
      <alignment horizontal="left" vertical="center" indent="1"/>
      <protection hidden="1"/>
    </xf>
    <xf numFmtId="0" fontId="74" fillId="9" borderId="0" xfId="0" applyFont="1" applyFill="1" applyAlignment="1" applyProtection="1">
      <alignment horizontal="left" vertical="center" indent="1"/>
      <protection hidden="1"/>
    </xf>
    <xf numFmtId="0" fontId="5" fillId="4" borderId="155" xfId="0" applyFont="1" applyFill="1" applyBorder="1" applyAlignment="1" applyProtection="1">
      <alignment horizontal="center" vertical="center"/>
      <protection hidden="1"/>
    </xf>
    <xf numFmtId="0" fontId="49" fillId="24" borderId="71" xfId="0" applyFont="1" applyFill="1" applyBorder="1" applyAlignment="1" applyProtection="1">
      <alignment horizontal="center" vertical="center"/>
      <protection hidden="1"/>
    </xf>
    <xf numFmtId="0" fontId="49" fillId="24" borderId="160" xfId="0" applyFont="1" applyFill="1" applyBorder="1" applyAlignment="1" applyProtection="1">
      <alignment horizontal="center" vertical="center"/>
      <protection hidden="1"/>
    </xf>
    <xf numFmtId="0" fontId="49" fillId="24" borderId="83" xfId="0" applyFont="1" applyFill="1" applyBorder="1" applyAlignment="1" applyProtection="1">
      <alignment horizontal="center" vertical="center"/>
      <protection hidden="1"/>
    </xf>
    <xf numFmtId="0" fontId="5" fillId="4" borderId="91" xfId="0" applyFont="1" applyFill="1" applyBorder="1" applyAlignment="1" applyProtection="1">
      <alignment horizontal="left" vertical="center" indent="1"/>
      <protection hidden="1"/>
    </xf>
    <xf numFmtId="164" fontId="4" fillId="4" borderId="91" xfId="0" applyNumberFormat="1" applyFont="1" applyFill="1" applyBorder="1" applyAlignment="1" applyProtection="1">
      <alignment horizontal="right" vertical="center" indent="1"/>
      <protection hidden="1"/>
    </xf>
    <xf numFmtId="164" fontId="5" fillId="4" borderId="90" xfId="0" applyNumberFormat="1" applyFont="1" applyFill="1" applyBorder="1" applyAlignment="1" applyProtection="1">
      <alignment horizontal="left" vertical="center" indent="1"/>
      <protection hidden="1"/>
    </xf>
    <xf numFmtId="0" fontId="49" fillId="24" borderId="91" xfId="0" applyFont="1" applyFill="1" applyBorder="1" applyAlignment="1" applyProtection="1">
      <alignment horizontal="left" vertical="center" indent="1"/>
      <protection hidden="1"/>
    </xf>
    <xf numFmtId="164" fontId="49" fillId="24" borderId="91" xfId="0" applyNumberFormat="1" applyFont="1" applyFill="1" applyBorder="1" applyAlignment="1" applyProtection="1">
      <alignment horizontal="left" vertical="center"/>
      <protection hidden="1"/>
    </xf>
    <xf numFmtId="0" fontId="121" fillId="5" borderId="0" xfId="0" applyFont="1" applyFill="1" applyAlignment="1" applyProtection="1">
      <alignment horizontal="center" vertical="top"/>
      <protection hidden="1"/>
    </xf>
    <xf numFmtId="0" fontId="6" fillId="4" borderId="5" xfId="0" applyFont="1" applyFill="1" applyBorder="1" applyAlignment="1" applyProtection="1">
      <alignment horizontal="left" vertical="center" indent="1"/>
      <protection hidden="1"/>
    </xf>
    <xf numFmtId="0" fontId="126" fillId="4" borderId="0" xfId="0" applyFont="1" applyFill="1" applyAlignment="1" applyProtection="1">
      <alignment horizontal="left" vertical="center" indent="1"/>
      <protection hidden="1"/>
    </xf>
    <xf numFmtId="3" fontId="51" fillId="4" borderId="114" xfId="0" applyNumberFormat="1" applyFont="1" applyFill="1" applyBorder="1" applyAlignment="1" applyProtection="1">
      <alignment horizontal="left" vertical="center" indent="1"/>
      <protection hidden="1"/>
    </xf>
    <xf numFmtId="3" fontId="51" fillId="4" borderId="128" xfId="0" applyNumberFormat="1" applyFont="1" applyFill="1" applyBorder="1" applyAlignment="1" applyProtection="1">
      <alignment horizontal="left" vertical="center" indent="1"/>
      <protection hidden="1"/>
    </xf>
    <xf numFmtId="3" fontId="51" fillId="4" borderId="79" xfId="0" applyNumberFormat="1" applyFont="1" applyFill="1" applyBorder="1" applyAlignment="1" applyProtection="1">
      <alignment horizontal="left" vertical="center" indent="1"/>
      <protection hidden="1"/>
    </xf>
    <xf numFmtId="0" fontId="37" fillId="4" borderId="80" xfId="0" applyFont="1" applyFill="1" applyBorder="1" applyAlignment="1" applyProtection="1">
      <alignment horizontal="left" vertical="center" indent="1"/>
      <protection hidden="1"/>
    </xf>
    <xf numFmtId="0" fontId="77" fillId="5" borderId="0" xfId="0" applyFont="1" applyFill="1" applyAlignment="1" applyProtection="1">
      <alignment horizontal="left"/>
      <protection hidden="1"/>
    </xf>
    <xf numFmtId="0" fontId="129" fillId="5" borderId="0" xfId="0" applyFont="1" applyFill="1" applyAlignment="1" applyProtection="1">
      <alignment horizontal="left" vertical="top"/>
      <protection hidden="1"/>
    </xf>
    <xf numFmtId="0" fontId="0" fillId="5" borderId="0" xfId="0" applyFill="1" applyAlignment="1" applyProtection="1">
      <alignment horizontal="right" vertical="top" indent="1"/>
      <protection hidden="1"/>
    </xf>
    <xf numFmtId="0" fontId="0" fillId="5" borderId="170" xfId="0" applyFill="1" applyBorder="1" applyAlignment="1" applyProtection="1">
      <alignment horizontal="left" vertical="center"/>
      <protection hidden="1"/>
    </xf>
    <xf numFmtId="0" fontId="122" fillId="5" borderId="170" xfId="0" applyFont="1" applyFill="1" applyBorder="1" applyAlignment="1" applyProtection="1">
      <alignment vertical="center" wrapText="1"/>
      <protection hidden="1"/>
    </xf>
    <xf numFmtId="0" fontId="77" fillId="5" borderId="170" xfId="0" applyFont="1" applyFill="1" applyBorder="1" applyAlignment="1" applyProtection="1">
      <alignment horizontal="left" vertical="center"/>
      <protection hidden="1"/>
    </xf>
    <xf numFmtId="0" fontId="76" fillId="5" borderId="170" xfId="0" applyFont="1" applyFill="1" applyBorder="1" applyAlignment="1" applyProtection="1">
      <alignment vertical="center"/>
      <protection hidden="1"/>
    </xf>
    <xf numFmtId="0" fontId="0" fillId="5" borderId="170" xfId="0" applyFill="1" applyBorder="1" applyAlignment="1" applyProtection="1">
      <alignment vertical="center"/>
      <protection hidden="1"/>
    </xf>
    <xf numFmtId="0" fontId="0" fillId="5" borderId="171" xfId="0" applyFill="1" applyBorder="1" applyAlignment="1" applyProtection="1">
      <alignment horizontal="left" vertical="center"/>
      <protection hidden="1"/>
    </xf>
    <xf numFmtId="0" fontId="122" fillId="5" borderId="171" xfId="0" applyFont="1" applyFill="1" applyBorder="1" applyAlignment="1" applyProtection="1">
      <alignment vertical="center" wrapText="1"/>
      <protection hidden="1"/>
    </xf>
    <xf numFmtId="0" fontId="0" fillId="5" borderId="171" xfId="0" applyFill="1" applyBorder="1" applyAlignment="1" applyProtection="1">
      <alignment vertical="center"/>
      <protection hidden="1"/>
    </xf>
    <xf numFmtId="0" fontId="9" fillId="5" borderId="171" xfId="0" applyFont="1" applyFill="1" applyBorder="1" applyAlignment="1" applyProtection="1">
      <alignment vertical="center" wrapText="1"/>
      <protection hidden="1"/>
    </xf>
    <xf numFmtId="0" fontId="119" fillId="5" borderId="171" xfId="0" applyFont="1" applyFill="1" applyBorder="1" applyAlignment="1" applyProtection="1">
      <alignment horizontal="left" vertical="center" wrapText="1"/>
      <protection hidden="1"/>
    </xf>
    <xf numFmtId="0" fontId="76" fillId="5" borderId="171" xfId="0" applyFont="1" applyFill="1" applyBorder="1" applyAlignment="1" applyProtection="1">
      <alignment vertical="center"/>
      <protection hidden="1"/>
    </xf>
    <xf numFmtId="0" fontId="122" fillId="5" borderId="171" xfId="0" applyFont="1" applyFill="1" applyBorder="1" applyAlignment="1" applyProtection="1">
      <alignment vertical="center"/>
      <protection hidden="1"/>
    </xf>
    <xf numFmtId="0" fontId="9" fillId="5" borderId="171" xfId="0" applyFont="1" applyFill="1" applyBorder="1" applyAlignment="1" applyProtection="1">
      <alignment horizontal="left" vertical="center"/>
      <protection hidden="1"/>
    </xf>
    <xf numFmtId="0" fontId="76" fillId="5" borderId="171" xfId="0" applyFont="1" applyFill="1" applyBorder="1" applyAlignment="1" applyProtection="1">
      <alignment horizontal="left" vertical="center"/>
      <protection hidden="1"/>
    </xf>
    <xf numFmtId="0" fontId="0" fillId="5" borderId="172" xfId="0" applyFill="1" applyBorder="1" applyAlignment="1" applyProtection="1">
      <alignment horizontal="left" vertical="center"/>
      <protection hidden="1"/>
    </xf>
    <xf numFmtId="0" fontId="122" fillId="5" borderId="172" xfId="0" applyFont="1" applyFill="1" applyBorder="1" applyAlignment="1" applyProtection="1">
      <alignment vertical="center" wrapText="1"/>
      <protection hidden="1"/>
    </xf>
    <xf numFmtId="0" fontId="9" fillId="5" borderId="172" xfId="0" applyFont="1" applyFill="1" applyBorder="1" applyAlignment="1" applyProtection="1">
      <alignment vertical="center" wrapText="1"/>
      <protection hidden="1"/>
    </xf>
    <xf numFmtId="0" fontId="0" fillId="5" borderId="172" xfId="0" applyFill="1" applyBorder="1" applyAlignment="1" applyProtection="1">
      <alignment vertical="center"/>
      <protection hidden="1"/>
    </xf>
    <xf numFmtId="0" fontId="114" fillId="5" borderId="52" xfId="0" applyFont="1" applyFill="1" applyBorder="1" applyAlignment="1" applyProtection="1">
      <alignment horizontal="center" vertical="top" wrapText="1"/>
      <protection hidden="1"/>
    </xf>
    <xf numFmtId="0" fontId="48" fillId="4" borderId="23" xfId="0" applyFont="1" applyFill="1" applyBorder="1" applyAlignment="1" applyProtection="1">
      <alignment vertical="center" wrapText="1"/>
      <protection hidden="1"/>
    </xf>
    <xf numFmtId="0" fontId="45" fillId="5" borderId="27" xfId="0" applyFont="1" applyFill="1" applyBorder="1" applyProtection="1">
      <protection hidden="1"/>
    </xf>
    <xf numFmtId="0" fontId="72" fillId="4" borderId="0" xfId="0" applyFont="1" applyFill="1" applyAlignment="1" applyProtection="1">
      <alignment vertical="center"/>
      <protection hidden="1"/>
    </xf>
    <xf numFmtId="0" fontId="70" fillId="4" borderId="0" xfId="0" applyFont="1" applyFill="1" applyAlignment="1" applyProtection="1">
      <alignment vertical="center"/>
      <protection hidden="1"/>
    </xf>
    <xf numFmtId="0" fontId="14" fillId="5" borderId="27" xfId="0" applyFont="1" applyFill="1" applyBorder="1" applyProtection="1">
      <protection hidden="1"/>
    </xf>
    <xf numFmtId="0" fontId="48" fillId="0" borderId="139" xfId="0" applyFont="1" applyBorder="1" applyAlignment="1" applyProtection="1">
      <alignment horizontal="left" vertical="center" indent="1"/>
      <protection hidden="1"/>
    </xf>
    <xf numFmtId="0" fontId="5" fillId="31" borderId="1" xfId="0" applyFont="1" applyFill="1" applyBorder="1" applyAlignment="1" applyProtection="1">
      <alignment horizontal="left" vertical="center" indent="1"/>
      <protection locked="0"/>
    </xf>
    <xf numFmtId="0" fontId="5" fillId="31" borderId="1" xfId="0" applyFont="1" applyFill="1" applyBorder="1" applyAlignment="1" applyProtection="1">
      <alignment horizontal="right" vertical="center" wrapText="1" indent="1"/>
      <protection locked="0"/>
    </xf>
    <xf numFmtId="164" fontId="5" fillId="31" borderId="1" xfId="0" applyNumberFormat="1" applyFont="1" applyFill="1" applyBorder="1" applyAlignment="1" applyProtection="1">
      <alignment horizontal="right" vertical="center" wrapText="1" indent="1"/>
      <protection locked="0"/>
    </xf>
    <xf numFmtId="0" fontId="5" fillId="23" borderId="1" xfId="0" applyFont="1" applyFill="1" applyBorder="1" applyAlignment="1" applyProtection="1">
      <alignment horizontal="right" vertical="center" wrapText="1" indent="1"/>
      <protection locked="0"/>
    </xf>
    <xf numFmtId="164" fontId="5" fillId="23" borderId="1" xfId="0" applyNumberFormat="1" applyFont="1" applyFill="1" applyBorder="1" applyAlignment="1" applyProtection="1">
      <alignment horizontal="right" vertical="center" wrapText="1" indent="1"/>
      <protection locked="0"/>
    </xf>
    <xf numFmtId="165" fontId="5" fillId="31" borderId="1" xfId="0" applyNumberFormat="1" applyFont="1" applyFill="1" applyBorder="1" applyAlignment="1" applyProtection="1">
      <alignment horizontal="right" vertical="center" wrapText="1" indent="1"/>
      <protection locked="0"/>
    </xf>
    <xf numFmtId="164" fontId="40" fillId="31" borderId="69" xfId="0" applyNumberFormat="1" applyFont="1" applyFill="1" applyBorder="1" applyAlignment="1" applyProtection="1">
      <alignment horizontal="center" vertical="center"/>
      <protection locked="0"/>
    </xf>
    <xf numFmtId="164" fontId="40" fillId="31" borderId="70" xfId="0" applyNumberFormat="1" applyFont="1" applyFill="1" applyBorder="1" applyAlignment="1" applyProtection="1">
      <alignment horizontal="center" vertical="center"/>
      <protection locked="0"/>
    </xf>
    <xf numFmtId="164" fontId="40" fillId="31" borderId="71" xfId="0" applyNumberFormat="1" applyFont="1" applyFill="1" applyBorder="1" applyAlignment="1" applyProtection="1">
      <alignment horizontal="center" vertical="center"/>
      <protection locked="0"/>
    </xf>
    <xf numFmtId="164" fontId="40" fillId="31" borderId="81" xfId="0" applyNumberFormat="1" applyFont="1" applyFill="1" applyBorder="1" applyAlignment="1" applyProtection="1">
      <alignment horizontal="center" vertical="center"/>
      <protection locked="0"/>
    </xf>
    <xf numFmtId="164" fontId="40" fillId="31" borderId="82" xfId="0" applyNumberFormat="1" applyFont="1" applyFill="1" applyBorder="1" applyAlignment="1" applyProtection="1">
      <alignment horizontal="center" vertical="center"/>
      <protection locked="0"/>
    </xf>
    <xf numFmtId="164" fontId="40" fillId="31" borderId="146" xfId="0" applyNumberFormat="1" applyFont="1" applyFill="1" applyBorder="1" applyAlignment="1" applyProtection="1">
      <alignment horizontal="center" vertical="center"/>
      <protection locked="0"/>
    </xf>
    <xf numFmtId="164" fontId="40" fillId="31" borderId="110" xfId="0" applyNumberFormat="1" applyFont="1" applyFill="1" applyBorder="1" applyAlignment="1" applyProtection="1">
      <alignment horizontal="center" vertical="center"/>
      <protection locked="0"/>
    </xf>
    <xf numFmtId="164" fontId="40" fillId="31" borderId="111" xfId="0" applyNumberFormat="1" applyFont="1" applyFill="1" applyBorder="1" applyAlignment="1" applyProtection="1">
      <alignment horizontal="center" vertical="center"/>
      <protection locked="0"/>
    </xf>
    <xf numFmtId="164" fontId="40" fillId="31" borderId="112" xfId="0" applyNumberFormat="1" applyFont="1" applyFill="1" applyBorder="1" applyAlignment="1" applyProtection="1">
      <alignment horizontal="center" vertical="center"/>
      <protection locked="0"/>
    </xf>
    <xf numFmtId="164" fontId="40" fillId="31" borderId="83" xfId="0" applyNumberFormat="1" applyFont="1" applyFill="1" applyBorder="1" applyAlignment="1" applyProtection="1">
      <alignment horizontal="center" vertical="center"/>
      <protection locked="0"/>
    </xf>
    <xf numFmtId="0" fontId="0" fillId="0" borderId="173" xfId="0" applyBorder="1" applyProtection="1">
      <protection hidden="1"/>
    </xf>
    <xf numFmtId="0" fontId="71" fillId="4" borderId="173" xfId="0" applyFont="1" applyFill="1" applyBorder="1" applyAlignment="1" applyProtection="1">
      <alignment vertical="center"/>
      <protection hidden="1"/>
    </xf>
    <xf numFmtId="0" fontId="14" fillId="4" borderId="173" xfId="0" applyFont="1" applyFill="1" applyBorder="1" applyAlignment="1" applyProtection="1">
      <alignment horizontal="left" vertical="center" indent="1"/>
      <protection hidden="1"/>
    </xf>
    <xf numFmtId="0" fontId="70" fillId="4" borderId="173" xfId="0" applyFont="1" applyFill="1" applyBorder="1" applyAlignment="1" applyProtection="1">
      <alignment horizontal="left" vertical="center" indent="1"/>
      <protection hidden="1"/>
    </xf>
    <xf numFmtId="0" fontId="0" fillId="0" borderId="145" xfId="0" applyBorder="1" applyProtection="1">
      <protection hidden="1"/>
    </xf>
    <xf numFmtId="0" fontId="71" fillId="4" borderId="145" xfId="0" applyFont="1" applyFill="1" applyBorder="1" applyAlignment="1" applyProtection="1">
      <alignment vertical="center"/>
      <protection hidden="1"/>
    </xf>
    <xf numFmtId="0" fontId="14" fillId="4" borderId="145" xfId="0" applyFont="1" applyFill="1" applyBorder="1" applyAlignment="1" applyProtection="1">
      <alignment horizontal="left" vertical="center" indent="1"/>
      <protection hidden="1"/>
    </xf>
    <xf numFmtId="0" fontId="70" fillId="4" borderId="145" xfId="0" applyFont="1" applyFill="1" applyBorder="1" applyAlignment="1" applyProtection="1">
      <alignment horizontal="left" vertical="center" indent="1"/>
      <protection hidden="1"/>
    </xf>
    <xf numFmtId="0" fontId="0" fillId="0" borderId="54" xfId="0" applyBorder="1"/>
    <xf numFmtId="0" fontId="23" fillId="4" borderId="0" xfId="0" applyFont="1" applyFill="1" applyAlignment="1" applyProtection="1">
      <alignment horizontal="left" vertical="center"/>
      <protection hidden="1"/>
    </xf>
    <xf numFmtId="0" fontId="134" fillId="0" borderId="0" xfId="0" applyFont="1" applyProtection="1">
      <protection hidden="1"/>
    </xf>
    <xf numFmtId="0" fontId="136" fillId="0" borderId="0" xfId="0" applyFont="1" applyAlignment="1" applyProtection="1">
      <alignment vertical="center"/>
      <protection hidden="1"/>
    </xf>
    <xf numFmtId="0" fontId="0" fillId="4" borderId="0" xfId="0" applyFill="1" applyAlignment="1">
      <alignment vertical="center"/>
    </xf>
    <xf numFmtId="164" fontId="4" fillId="0" borderId="142" xfId="0" applyNumberFormat="1" applyFont="1" applyBorder="1" applyAlignment="1">
      <alignment vertical="top"/>
    </xf>
    <xf numFmtId="0" fontId="137" fillId="4" borderId="0" xfId="0" applyFont="1" applyFill="1" applyAlignment="1" applyProtection="1">
      <alignment horizontal="left" vertical="center"/>
      <protection hidden="1"/>
    </xf>
    <xf numFmtId="0" fontId="31" fillId="4" borderId="22" xfId="0" applyFont="1" applyFill="1" applyBorder="1" applyAlignment="1" applyProtection="1">
      <alignment horizontal="left" indent="1"/>
      <protection hidden="1"/>
    </xf>
    <xf numFmtId="168" fontId="4" fillId="0" borderId="0" xfId="0" applyNumberFormat="1" applyFont="1"/>
    <xf numFmtId="0" fontId="135" fillId="0" borderId="0" xfId="0" applyFont="1" applyAlignment="1" applyProtection="1">
      <alignment vertical="center"/>
      <protection hidden="1"/>
    </xf>
    <xf numFmtId="164" fontId="40" fillId="31" borderId="177" xfId="0" applyNumberFormat="1" applyFont="1" applyFill="1" applyBorder="1" applyAlignment="1" applyProtection="1">
      <alignment horizontal="center" vertical="center"/>
      <protection locked="0"/>
    </xf>
    <xf numFmtId="164" fontId="40" fillId="31" borderId="178" xfId="0" applyNumberFormat="1" applyFont="1" applyFill="1" applyBorder="1" applyAlignment="1" applyProtection="1">
      <alignment horizontal="center" vertical="center"/>
      <protection locked="0"/>
    </xf>
    <xf numFmtId="0" fontId="5" fillId="4" borderId="127" xfId="0" applyFont="1" applyFill="1" applyBorder="1" applyAlignment="1" applyProtection="1">
      <alignment vertical="center"/>
      <protection hidden="1"/>
    </xf>
    <xf numFmtId="0" fontId="38" fillId="5" borderId="0" xfId="0" applyFont="1" applyFill="1" applyAlignment="1" applyProtection="1">
      <alignment horizontal="left" indent="4"/>
      <protection hidden="1"/>
    </xf>
    <xf numFmtId="0" fontId="38" fillId="5" borderId="0" xfId="0" applyFont="1" applyFill="1" applyAlignment="1" applyProtection="1">
      <alignment horizontal="left" vertical="top" indent="7"/>
      <protection hidden="1"/>
    </xf>
    <xf numFmtId="0" fontId="35" fillId="4" borderId="0" xfId="0" applyFont="1" applyFill="1" applyAlignment="1" applyProtection="1">
      <alignment horizontal="left" vertical="center"/>
      <protection hidden="1"/>
    </xf>
    <xf numFmtId="0" fontId="35" fillId="4" borderId="7" xfId="0" applyFont="1" applyFill="1" applyBorder="1" applyAlignment="1" applyProtection="1">
      <alignment horizontal="left" vertical="top" indent="3"/>
      <protection hidden="1"/>
    </xf>
    <xf numFmtId="0" fontId="35" fillId="4" borderId="4" xfId="0" applyFont="1" applyFill="1" applyBorder="1" applyAlignment="1" applyProtection="1">
      <alignment vertical="center" wrapText="1"/>
      <protection hidden="1"/>
    </xf>
    <xf numFmtId="0" fontId="3" fillId="4" borderId="0" xfId="0" applyFont="1" applyFill="1" applyAlignment="1" applyProtection="1">
      <alignment horizontal="right" vertical="center" wrapText="1" indent="1"/>
      <protection hidden="1"/>
    </xf>
    <xf numFmtId="0" fontId="6" fillId="4" borderId="86" xfId="0" applyFont="1" applyFill="1" applyBorder="1" applyAlignment="1" applyProtection="1">
      <alignment horizontal="left" vertical="center" indent="1"/>
      <protection hidden="1"/>
    </xf>
    <xf numFmtId="0" fontId="3" fillId="4" borderId="46" xfId="0" applyFont="1" applyFill="1" applyBorder="1" applyAlignment="1" applyProtection="1">
      <alignment horizontal="right" vertical="center" wrapText="1" indent="1"/>
      <protection hidden="1"/>
    </xf>
    <xf numFmtId="0" fontId="0" fillId="4" borderId="46" xfId="0" applyFill="1" applyBorder="1" applyProtection="1">
      <protection hidden="1"/>
    </xf>
    <xf numFmtId="0" fontId="0" fillId="5" borderId="0" xfId="0" applyFill="1" applyAlignment="1" applyProtection="1">
      <alignment horizontal="left" indent="4"/>
      <protection hidden="1"/>
    </xf>
    <xf numFmtId="164" fontId="40" fillId="31" borderId="187" xfId="0" applyNumberFormat="1" applyFont="1" applyFill="1" applyBorder="1" applyAlignment="1" applyProtection="1">
      <alignment horizontal="center" vertical="center"/>
      <protection locked="0"/>
    </xf>
    <xf numFmtId="164" fontId="40" fillId="31" borderId="188" xfId="0" applyNumberFormat="1" applyFont="1" applyFill="1" applyBorder="1" applyAlignment="1" applyProtection="1">
      <alignment horizontal="center" vertical="center"/>
      <protection locked="0"/>
    </xf>
    <xf numFmtId="164" fontId="40" fillId="31" borderId="189" xfId="0" applyNumberFormat="1" applyFont="1" applyFill="1" applyBorder="1" applyAlignment="1" applyProtection="1">
      <alignment horizontal="center" vertical="center"/>
      <protection locked="0"/>
    </xf>
    <xf numFmtId="0" fontId="38" fillId="4" borderId="7" xfId="0" applyFont="1" applyFill="1" applyBorder="1" applyAlignment="1" applyProtection="1">
      <alignment horizontal="left" vertical="top" indent="4"/>
      <protection hidden="1"/>
    </xf>
    <xf numFmtId="0" fontId="0" fillId="5" borderId="0" xfId="0" applyFill="1" applyAlignment="1" applyProtection="1">
      <alignment horizontal="left" vertical="top" indent="1"/>
      <protection hidden="1"/>
    </xf>
    <xf numFmtId="0" fontId="0" fillId="5" borderId="0" xfId="0" applyFill="1" applyAlignment="1" applyProtection="1">
      <alignment horizontal="left" vertical="center" wrapText="1" indent="1"/>
      <protection hidden="1"/>
    </xf>
    <xf numFmtId="0" fontId="38" fillId="5" borderId="0" xfId="0" applyFont="1" applyFill="1" applyAlignment="1" applyProtection="1">
      <alignment horizontal="left" vertical="top" indent="9"/>
      <protection hidden="1"/>
    </xf>
    <xf numFmtId="0" fontId="44" fillId="0" borderId="0" xfId="0" applyFont="1" applyProtection="1">
      <protection hidden="1"/>
    </xf>
    <xf numFmtId="0" fontId="148" fillId="32" borderId="180" xfId="0" applyFont="1" applyFill="1" applyBorder="1" applyAlignment="1" applyProtection="1">
      <alignment horizontal="left" vertical="center" indent="1"/>
      <protection hidden="1"/>
    </xf>
    <xf numFmtId="0" fontId="44" fillId="0" borderId="183" xfId="0" applyFont="1" applyBorder="1" applyProtection="1">
      <protection hidden="1"/>
    </xf>
    <xf numFmtId="0" fontId="44" fillId="0" borderId="183" xfId="0" applyFont="1" applyBorder="1" applyAlignment="1" applyProtection="1">
      <alignment horizontal="left" vertical="top" indent="1"/>
      <protection hidden="1"/>
    </xf>
    <xf numFmtId="0" fontId="0" fillId="4" borderId="0" xfId="0" applyFill="1" applyAlignment="1" applyProtection="1">
      <alignment horizontal="left"/>
      <protection hidden="1"/>
    </xf>
    <xf numFmtId="0" fontId="37" fillId="4" borderId="3" xfId="0" applyFont="1" applyFill="1" applyBorder="1" applyAlignment="1" applyProtection="1">
      <alignment horizontal="left" vertical="center" indent="1"/>
      <protection hidden="1"/>
    </xf>
    <xf numFmtId="0" fontId="37" fillId="4" borderId="2" xfId="0" applyFont="1" applyFill="1" applyBorder="1" applyAlignment="1" applyProtection="1">
      <alignment vertical="center"/>
      <protection hidden="1"/>
    </xf>
    <xf numFmtId="0" fontId="0" fillId="0" borderId="2" xfId="0" applyBorder="1" applyAlignment="1" applyProtection="1">
      <alignment vertical="center"/>
      <protection hidden="1"/>
    </xf>
    <xf numFmtId="0" fontId="144" fillId="25" borderId="154" xfId="0" applyFont="1" applyFill="1" applyBorder="1" applyAlignment="1" applyProtection="1">
      <alignment horizontal="left" vertical="center" wrapText="1" indent="1"/>
      <protection locked="0"/>
    </xf>
    <xf numFmtId="0" fontId="144" fillId="25" borderId="129" xfId="0" applyFont="1" applyFill="1" applyBorder="1" applyAlignment="1" applyProtection="1">
      <alignment horizontal="left" vertical="center" wrapText="1" indent="1"/>
      <protection locked="0"/>
    </xf>
    <xf numFmtId="0" fontId="144" fillId="23" borderId="129" xfId="0" applyFont="1" applyFill="1" applyBorder="1" applyAlignment="1" applyProtection="1">
      <alignment horizontal="left" vertical="center" wrapText="1" indent="1"/>
      <protection locked="0"/>
    </xf>
    <xf numFmtId="0" fontId="144" fillId="23" borderId="79" xfId="0" applyFont="1" applyFill="1" applyBorder="1" applyAlignment="1" applyProtection="1">
      <alignment horizontal="left" vertical="center" wrapText="1" indent="1"/>
      <protection locked="0"/>
    </xf>
    <xf numFmtId="0" fontId="35" fillId="4" borderId="7" xfId="0" applyFont="1" applyFill="1" applyBorder="1" applyAlignment="1" applyProtection="1">
      <alignment horizontal="left" vertical="top" wrapText="1" indent="1"/>
      <protection hidden="1"/>
    </xf>
    <xf numFmtId="1" fontId="103" fillId="24" borderId="58" xfId="0" applyNumberFormat="1" applyFont="1" applyFill="1" applyBorder="1" applyAlignment="1" applyProtection="1">
      <alignment horizontal="center" vertical="center"/>
      <protection hidden="1"/>
    </xf>
    <xf numFmtId="1" fontId="50" fillId="24" borderId="58" xfId="0" applyNumberFormat="1" applyFont="1" applyFill="1" applyBorder="1" applyAlignment="1" applyProtection="1">
      <alignment horizontal="center" vertical="center"/>
      <protection hidden="1"/>
    </xf>
    <xf numFmtId="0" fontId="144" fillId="31" borderId="1" xfId="0" applyFont="1" applyFill="1" applyBorder="1" applyAlignment="1" applyProtection="1">
      <alignment horizontal="left" vertical="center" wrapText="1" indent="1"/>
      <protection locked="0"/>
    </xf>
    <xf numFmtId="0" fontId="144" fillId="23" borderId="1" xfId="0" applyFont="1" applyFill="1" applyBorder="1" applyAlignment="1" applyProtection="1">
      <alignment horizontal="left" vertical="center" wrapText="1" indent="1"/>
      <protection locked="0"/>
    </xf>
    <xf numFmtId="0" fontId="6" fillId="31" borderId="1" xfId="0" applyFont="1" applyFill="1" applyBorder="1" applyAlignment="1" applyProtection="1">
      <alignment horizontal="left" vertical="center" indent="1"/>
      <protection locked="0"/>
    </xf>
    <xf numFmtId="0" fontId="95" fillId="4" borderId="0" xfId="0" applyFont="1" applyFill="1" applyAlignment="1" applyProtection="1">
      <alignment horizontal="left" vertical="center" wrapText="1"/>
      <protection hidden="1"/>
    </xf>
    <xf numFmtId="0" fontId="94" fillId="4" borderId="0" xfId="0" applyFont="1" applyFill="1" applyAlignment="1" applyProtection="1">
      <alignment vertical="center"/>
      <protection hidden="1"/>
    </xf>
    <xf numFmtId="0" fontId="38" fillId="4" borderId="0" xfId="0" applyFont="1" applyFill="1" applyAlignment="1" applyProtection="1">
      <alignment horizontal="left" indent="19"/>
      <protection hidden="1"/>
    </xf>
    <xf numFmtId="0" fontId="0" fillId="4" borderId="3" xfId="0" applyFill="1" applyBorder="1" applyAlignment="1" applyProtection="1">
      <alignment horizontal="left" vertical="center" indent="4"/>
      <protection hidden="1"/>
    </xf>
    <xf numFmtId="0" fontId="0" fillId="4" borderId="7" xfId="0" applyFill="1" applyBorder="1" applyAlignment="1" applyProtection="1">
      <alignment horizontal="left" vertical="center" indent="4"/>
      <protection hidden="1"/>
    </xf>
    <xf numFmtId="0" fontId="0" fillId="4" borderId="4" xfId="0" applyFill="1" applyBorder="1" applyAlignment="1" applyProtection="1">
      <alignment horizontal="left" vertical="center" indent="4"/>
      <protection hidden="1"/>
    </xf>
    <xf numFmtId="0" fontId="38" fillId="4" borderId="8" xfId="0" applyFont="1" applyFill="1" applyBorder="1" applyAlignment="1" applyProtection="1">
      <alignment horizontal="left" indent="19"/>
      <protection hidden="1"/>
    </xf>
    <xf numFmtId="0" fontId="51" fillId="4" borderId="8" xfId="0" applyFont="1" applyFill="1" applyBorder="1" applyAlignment="1" applyProtection="1">
      <alignment horizontal="left" vertical="center" wrapText="1" indent="1"/>
      <protection hidden="1"/>
    </xf>
    <xf numFmtId="0" fontId="64" fillId="4" borderId="5" xfId="0" applyFont="1" applyFill="1" applyBorder="1" applyAlignment="1" applyProtection="1">
      <alignment horizontal="right" vertical="center"/>
      <protection hidden="1"/>
    </xf>
    <xf numFmtId="0" fontId="0" fillId="5" borderId="0" xfId="0" applyFill="1" applyAlignment="1" applyProtection="1">
      <alignment horizontal="left" vertical="center" indent="1"/>
      <protection hidden="1"/>
    </xf>
    <xf numFmtId="0" fontId="38" fillId="4" borderId="7" xfId="0" applyFont="1" applyFill="1" applyBorder="1" applyAlignment="1" applyProtection="1">
      <alignment horizontal="left" vertical="center" indent="3"/>
      <protection hidden="1"/>
    </xf>
    <xf numFmtId="0" fontId="38" fillId="4" borderId="7" xfId="0" applyFont="1" applyFill="1" applyBorder="1" applyAlignment="1" applyProtection="1">
      <alignment horizontal="left" vertical="center" indent="4"/>
      <protection hidden="1"/>
    </xf>
    <xf numFmtId="0" fontId="38" fillId="4" borderId="7" xfId="0" applyFont="1" applyFill="1" applyBorder="1" applyAlignment="1" applyProtection="1">
      <alignment horizontal="left" indent="3"/>
      <protection hidden="1"/>
    </xf>
    <xf numFmtId="0" fontId="5" fillId="4" borderId="0" xfId="0" applyFont="1" applyFill="1" applyAlignment="1" applyProtection="1">
      <alignment horizontal="right" vertical="center" wrapText="1" indent="1"/>
      <protection hidden="1"/>
    </xf>
    <xf numFmtId="0" fontId="5" fillId="0" borderId="0" xfId="0" applyFont="1" applyAlignment="1" applyProtection="1">
      <alignment horizontal="right" wrapText="1" indent="1"/>
      <protection hidden="1"/>
    </xf>
    <xf numFmtId="0" fontId="144" fillId="23" borderId="4" xfId="0" applyFont="1" applyFill="1" applyBorder="1" applyAlignment="1" applyProtection="1">
      <alignment horizontal="left" vertical="center" wrapText="1" indent="1"/>
      <protection locked="0"/>
    </xf>
    <xf numFmtId="0" fontId="144" fillId="23" borderId="5" xfId="0" applyFont="1" applyFill="1" applyBorder="1" applyAlignment="1" applyProtection="1">
      <alignment horizontal="left" vertical="center" wrapText="1" indent="1"/>
      <protection locked="0"/>
    </xf>
    <xf numFmtId="0" fontId="63" fillId="5" borderId="0" xfId="0" applyFont="1" applyFill="1" applyAlignment="1" applyProtection="1">
      <alignment horizontal="left" indent="1"/>
      <protection hidden="1"/>
    </xf>
    <xf numFmtId="0" fontId="5" fillId="5" borderId="0" xfId="0" applyFont="1" applyFill="1" applyAlignment="1" applyProtection="1">
      <alignment horizontal="right" wrapText="1" indent="1"/>
      <protection hidden="1"/>
    </xf>
    <xf numFmtId="0" fontId="37" fillId="4" borderId="62" xfId="0" applyFont="1" applyFill="1" applyBorder="1" applyAlignment="1" applyProtection="1">
      <alignment horizontal="left" vertical="center" wrapText="1" indent="1"/>
      <protection hidden="1"/>
    </xf>
    <xf numFmtId="0" fontId="144" fillId="23" borderId="104" xfId="0" applyFont="1" applyFill="1" applyBorder="1" applyAlignment="1" applyProtection="1">
      <alignment horizontal="left" vertical="center" wrapText="1" indent="1"/>
      <protection locked="0"/>
    </xf>
    <xf numFmtId="0" fontId="144" fillId="23" borderId="105" xfId="0" applyFont="1" applyFill="1" applyBorder="1" applyAlignment="1" applyProtection="1">
      <alignment horizontal="left" vertical="center" wrapText="1" indent="1"/>
      <protection locked="0"/>
    </xf>
    <xf numFmtId="0" fontId="5" fillId="5" borderId="0" xfId="0" applyFont="1" applyFill="1" applyAlignment="1" applyProtection="1">
      <alignment horizontal="center" vertical="top"/>
      <protection hidden="1"/>
    </xf>
    <xf numFmtId="0" fontId="5" fillId="4" borderId="58" xfId="0" applyFont="1" applyFill="1" applyBorder="1" applyAlignment="1" applyProtection="1">
      <alignment horizontal="left" vertical="center" indent="1"/>
      <protection hidden="1"/>
    </xf>
    <xf numFmtId="0" fontId="37" fillId="4" borderId="80" xfId="0" applyFont="1" applyFill="1" applyBorder="1" applyAlignment="1" applyProtection="1">
      <alignment horizontal="left" vertical="center" wrapText="1" indent="1"/>
      <protection hidden="1"/>
    </xf>
    <xf numFmtId="0" fontId="144" fillId="25" borderId="133" xfId="0" applyFont="1" applyFill="1" applyBorder="1" applyAlignment="1" applyProtection="1">
      <alignment horizontal="left" vertical="center" wrapText="1" indent="1"/>
      <protection locked="0"/>
    </xf>
    <xf numFmtId="0" fontId="144" fillId="25" borderId="136" xfId="0" applyFont="1" applyFill="1" applyBorder="1" applyAlignment="1" applyProtection="1">
      <alignment horizontal="left" vertical="center" wrapText="1" indent="1"/>
      <protection locked="0"/>
    </xf>
    <xf numFmtId="0" fontId="144" fillId="25" borderId="104" xfId="0" applyFont="1" applyFill="1" applyBorder="1" applyAlignment="1" applyProtection="1">
      <alignment horizontal="left" vertical="center" wrapText="1" indent="1"/>
      <protection locked="0"/>
    </xf>
    <xf numFmtId="0" fontId="144" fillId="25" borderId="105" xfId="0" applyFont="1" applyFill="1" applyBorder="1" applyAlignment="1" applyProtection="1">
      <alignment horizontal="left" vertical="center" wrapText="1" indent="1"/>
      <protection locked="0"/>
    </xf>
    <xf numFmtId="0" fontId="144" fillId="23" borderId="136" xfId="0" applyFont="1" applyFill="1" applyBorder="1" applyAlignment="1" applyProtection="1">
      <alignment horizontal="left" vertical="center" wrapText="1" indent="1"/>
      <protection locked="0"/>
    </xf>
    <xf numFmtId="0" fontId="37" fillId="4" borderId="0" xfId="0" applyFont="1" applyFill="1" applyAlignment="1" applyProtection="1">
      <alignment horizontal="left" vertical="center" wrapText="1" indent="1"/>
      <protection hidden="1"/>
    </xf>
    <xf numFmtId="0" fontId="37" fillId="4" borderId="0" xfId="0" applyFont="1" applyFill="1" applyAlignment="1" applyProtection="1">
      <alignment horizontal="left" vertical="center" indent="1"/>
      <protection hidden="1"/>
    </xf>
    <xf numFmtId="0" fontId="35" fillId="4" borderId="7" xfId="0" applyFont="1" applyFill="1" applyBorder="1" applyAlignment="1" applyProtection="1">
      <alignment horizontal="left" vertical="center" wrapText="1" indent="1"/>
      <protection hidden="1"/>
    </xf>
    <xf numFmtId="0" fontId="37" fillId="4" borderId="4" xfId="0" applyFont="1" applyFill="1" applyBorder="1" applyAlignment="1" applyProtection="1">
      <alignment horizontal="left" vertical="center" wrapText="1" indent="1"/>
      <protection hidden="1"/>
    </xf>
    <xf numFmtId="0" fontId="37" fillId="4" borderId="8" xfId="0" applyFont="1" applyFill="1" applyBorder="1" applyAlignment="1" applyProtection="1">
      <alignment horizontal="left" vertical="center" wrapText="1" indent="1"/>
      <protection hidden="1"/>
    </xf>
    <xf numFmtId="0" fontId="44" fillId="5" borderId="0" xfId="0" applyFont="1" applyFill="1" applyAlignment="1" applyProtection="1">
      <alignment horizontal="left" vertical="center" indent="2"/>
      <protection hidden="1"/>
    </xf>
    <xf numFmtId="0" fontId="0" fillId="5" borderId="0" xfId="0" applyFill="1" applyAlignment="1" applyProtection="1">
      <alignment horizontal="left" vertical="center" indent="2"/>
      <protection hidden="1"/>
    </xf>
    <xf numFmtId="0" fontId="117" fillId="4" borderId="0" xfId="0" applyFont="1" applyFill="1" applyAlignment="1" applyProtection="1">
      <alignment horizontal="right"/>
      <protection hidden="1"/>
    </xf>
    <xf numFmtId="0" fontId="117" fillId="4" borderId="0" xfId="0" applyFont="1" applyFill="1" applyAlignment="1" applyProtection="1">
      <alignment horizontal="right" vertical="top"/>
      <protection hidden="1"/>
    </xf>
    <xf numFmtId="0" fontId="0" fillId="4" borderId="0" xfId="0" applyFill="1" applyAlignment="1" applyProtection="1">
      <alignment vertical="top"/>
      <protection hidden="1"/>
    </xf>
    <xf numFmtId="164" fontId="5" fillId="4" borderId="2" xfId="0" applyNumberFormat="1" applyFont="1" applyFill="1" applyBorder="1" applyAlignment="1" applyProtection="1">
      <alignment horizontal="right" vertical="center" wrapText="1" indent="1"/>
      <protection hidden="1"/>
    </xf>
    <xf numFmtId="0" fontId="5" fillId="4" borderId="46" xfId="0" applyFont="1" applyFill="1" applyBorder="1" applyAlignment="1" applyProtection="1">
      <alignment vertical="center" wrapText="1"/>
      <protection hidden="1"/>
    </xf>
    <xf numFmtId="164" fontId="101" fillId="25" borderId="116" xfId="0" applyNumberFormat="1" applyFont="1" applyFill="1" applyBorder="1" applyAlignment="1" applyProtection="1">
      <alignment horizontal="left" vertical="center"/>
      <protection locked="0" hidden="1"/>
    </xf>
    <xf numFmtId="164" fontId="104" fillId="31" borderId="69" xfId="0" applyNumberFormat="1" applyFont="1" applyFill="1" applyBorder="1" applyAlignment="1" applyProtection="1">
      <alignment horizontal="left" vertical="center" indent="1"/>
      <protection locked="0" hidden="1"/>
    </xf>
    <xf numFmtId="164" fontId="101" fillId="25" borderId="164" xfId="0" applyNumberFormat="1" applyFont="1" applyFill="1" applyBorder="1" applyAlignment="1" applyProtection="1">
      <alignment horizontal="left" vertical="center"/>
      <protection locked="0" hidden="1"/>
    </xf>
    <xf numFmtId="164" fontId="101" fillId="25" borderId="161" xfId="0" applyNumberFormat="1" applyFont="1" applyFill="1" applyBorder="1" applyAlignment="1" applyProtection="1">
      <alignment horizontal="left" vertical="center"/>
      <protection locked="0" hidden="1"/>
    </xf>
    <xf numFmtId="164" fontId="104" fillId="31" borderId="110" xfId="0" applyNumberFormat="1" applyFont="1" applyFill="1" applyBorder="1" applyAlignment="1" applyProtection="1">
      <alignment horizontal="left" vertical="center" indent="1"/>
      <protection locked="0" hidden="1"/>
    </xf>
    <xf numFmtId="164" fontId="104" fillId="31" borderId="157" xfId="0" applyNumberFormat="1" applyFont="1" applyFill="1" applyBorder="1" applyAlignment="1" applyProtection="1">
      <alignment horizontal="left" vertical="center" indent="1"/>
      <protection locked="0" hidden="1"/>
    </xf>
    <xf numFmtId="0" fontId="123" fillId="4" borderId="7" xfId="3" applyFill="1" applyBorder="1" applyAlignment="1" applyProtection="1">
      <alignment horizontal="left" vertical="center" indent="1"/>
      <protection locked="0" hidden="1"/>
    </xf>
    <xf numFmtId="0" fontId="123" fillId="4" borderId="90" xfId="3" applyFill="1" applyBorder="1" applyAlignment="1" applyProtection="1">
      <alignment horizontal="left" vertical="center" indent="1"/>
      <protection locked="0" hidden="1"/>
    </xf>
    <xf numFmtId="0" fontId="5" fillId="4" borderId="0" xfId="0" applyFont="1" applyFill="1" applyAlignment="1" applyProtection="1">
      <alignment horizontal="left" vertical="center" indent="1"/>
      <protection locked="0" hidden="1"/>
    </xf>
    <xf numFmtId="0" fontId="123" fillId="5" borderId="170" xfId="3" applyFill="1" applyBorder="1" applyAlignment="1" applyProtection="1">
      <alignment horizontal="right" vertical="center" wrapText="1" indent="1"/>
      <protection locked="0" hidden="1"/>
    </xf>
    <xf numFmtId="0" fontId="123" fillId="5" borderId="171" xfId="3" applyFill="1" applyBorder="1" applyAlignment="1" applyProtection="1">
      <alignment horizontal="right" vertical="center" wrapText="1" indent="1"/>
      <protection locked="0" hidden="1"/>
    </xf>
    <xf numFmtId="0" fontId="123" fillId="5" borderId="172" xfId="3" applyFill="1" applyBorder="1" applyAlignment="1" applyProtection="1">
      <alignment horizontal="right" vertical="center" wrapText="1" indent="1"/>
      <protection locked="0" hidden="1"/>
    </xf>
    <xf numFmtId="0" fontId="0" fillId="0" borderId="0" xfId="0" applyProtection="1">
      <protection locked="0" hidden="1"/>
    </xf>
    <xf numFmtId="164" fontId="40" fillId="4" borderId="108" xfId="0" applyNumberFormat="1" applyFont="1" applyFill="1" applyBorder="1" applyAlignment="1">
      <alignment horizontal="center" vertical="center"/>
    </xf>
    <xf numFmtId="164" fontId="40" fillId="4" borderId="109" xfId="0" applyNumberFormat="1" applyFont="1" applyFill="1" applyBorder="1" applyAlignment="1">
      <alignment horizontal="center" vertical="center"/>
    </xf>
    <xf numFmtId="164" fontId="40" fillId="4" borderId="165" xfId="0" applyNumberFormat="1" applyFont="1" applyFill="1" applyBorder="1" applyAlignment="1">
      <alignment horizontal="center" vertical="center"/>
    </xf>
    <xf numFmtId="164" fontId="40" fillId="4" borderId="74" xfId="0" applyNumberFormat="1" applyFont="1" applyFill="1" applyBorder="1" applyAlignment="1">
      <alignment horizontal="center" vertical="center"/>
    </xf>
    <xf numFmtId="164" fontId="40" fillId="4" borderId="75" xfId="0" applyNumberFormat="1" applyFont="1" applyFill="1" applyBorder="1" applyAlignment="1">
      <alignment horizontal="center" vertical="center"/>
    </xf>
    <xf numFmtId="164" fontId="40" fillId="4" borderId="76" xfId="0" applyNumberFormat="1" applyFont="1" applyFill="1" applyBorder="1" applyAlignment="1">
      <alignment horizontal="center" vertical="center"/>
    </xf>
    <xf numFmtId="164" fontId="40" fillId="4" borderId="98" xfId="0" applyNumberFormat="1" applyFont="1" applyFill="1" applyBorder="1" applyAlignment="1">
      <alignment horizontal="center" vertical="center"/>
    </xf>
    <xf numFmtId="164" fontId="40" fillId="4" borderId="99" xfId="0" applyNumberFormat="1" applyFont="1" applyFill="1" applyBorder="1" applyAlignment="1">
      <alignment horizontal="center" vertical="center"/>
    </xf>
    <xf numFmtId="164" fontId="40" fillId="4" borderId="100" xfId="0" applyNumberFormat="1" applyFont="1" applyFill="1" applyBorder="1" applyAlignment="1">
      <alignment horizontal="center" vertical="center"/>
    </xf>
    <xf numFmtId="164" fontId="40" fillId="4" borderId="166" xfId="0" applyNumberFormat="1" applyFont="1" applyFill="1" applyBorder="1" applyAlignment="1">
      <alignment horizontal="center" vertical="center"/>
    </xf>
    <xf numFmtId="164" fontId="40" fillId="4" borderId="167" xfId="0" applyNumberFormat="1" applyFont="1" applyFill="1" applyBorder="1" applyAlignment="1">
      <alignment horizontal="center" vertical="center"/>
    </xf>
    <xf numFmtId="164" fontId="40" fillId="4" borderId="168" xfId="0" applyNumberFormat="1" applyFont="1" applyFill="1" applyBorder="1" applyAlignment="1">
      <alignment horizontal="center" vertical="center"/>
    </xf>
    <xf numFmtId="164" fontId="40" fillId="4" borderId="96" xfId="0" applyNumberFormat="1" applyFont="1" applyFill="1" applyBorder="1" applyAlignment="1">
      <alignment horizontal="center" vertical="center"/>
    </xf>
    <xf numFmtId="164" fontId="40" fillId="4" borderId="147" xfId="0" applyNumberFormat="1" applyFont="1" applyFill="1" applyBorder="1" applyAlignment="1">
      <alignment horizontal="center" vertical="center"/>
    </xf>
    <xf numFmtId="164" fontId="40" fillId="4" borderId="97" xfId="0" applyNumberFormat="1" applyFont="1" applyFill="1" applyBorder="1" applyAlignment="1">
      <alignment horizontal="center" vertical="center"/>
    </xf>
    <xf numFmtId="164" fontId="40" fillId="4" borderId="77" xfId="0" applyNumberFormat="1" applyFont="1" applyFill="1" applyBorder="1" applyAlignment="1">
      <alignment horizontal="center" vertical="center"/>
    </xf>
    <xf numFmtId="164" fontId="40" fillId="4" borderId="184" xfId="0" applyNumberFormat="1" applyFont="1" applyFill="1" applyBorder="1" applyAlignment="1">
      <alignment horizontal="center" vertical="center"/>
    </xf>
    <xf numFmtId="164" fontId="40" fillId="4" borderId="78" xfId="0" applyNumberFormat="1" applyFont="1" applyFill="1" applyBorder="1" applyAlignment="1">
      <alignment horizontal="center" vertical="center"/>
    </xf>
    <xf numFmtId="164" fontId="40" fillId="4" borderId="121" xfId="0" applyNumberFormat="1" applyFont="1" applyFill="1" applyBorder="1" applyAlignment="1">
      <alignment horizontal="center" vertical="center"/>
    </xf>
    <xf numFmtId="164" fontId="40" fillId="4" borderId="122" xfId="0" applyNumberFormat="1" applyFont="1" applyFill="1" applyBorder="1" applyAlignment="1">
      <alignment horizontal="center" vertical="center"/>
    </xf>
    <xf numFmtId="164" fontId="40" fillId="4" borderId="123" xfId="0" applyNumberFormat="1" applyFont="1" applyFill="1" applyBorder="1" applyAlignment="1">
      <alignment horizontal="center" vertical="center"/>
    </xf>
    <xf numFmtId="164" fontId="40" fillId="4" borderId="148" xfId="0" applyNumberFormat="1" applyFont="1" applyFill="1" applyBorder="1" applyAlignment="1">
      <alignment horizontal="center" vertical="center"/>
    </xf>
    <xf numFmtId="164" fontId="40" fillId="4" borderId="149" xfId="0" applyNumberFormat="1" applyFont="1" applyFill="1" applyBorder="1" applyAlignment="1">
      <alignment horizontal="center" vertical="center"/>
    </xf>
    <xf numFmtId="164" fontId="40" fillId="4" borderId="150" xfId="0" applyNumberFormat="1" applyFont="1" applyFill="1" applyBorder="1" applyAlignment="1">
      <alignment horizontal="center" vertical="center"/>
    </xf>
    <xf numFmtId="164" fontId="40" fillId="4" borderId="151" xfId="0" applyNumberFormat="1" applyFont="1" applyFill="1" applyBorder="1" applyAlignment="1">
      <alignment horizontal="center" vertical="center"/>
    </xf>
    <xf numFmtId="164" fontId="40" fillId="4" borderId="152" xfId="0" applyNumberFormat="1" applyFont="1" applyFill="1" applyBorder="1" applyAlignment="1">
      <alignment horizontal="center" vertical="center"/>
    </xf>
    <xf numFmtId="164" fontId="40" fillId="4" borderId="153" xfId="0" applyNumberFormat="1" applyFont="1" applyFill="1" applyBorder="1" applyAlignment="1">
      <alignment horizontal="center" vertical="center"/>
    </xf>
    <xf numFmtId="164" fontId="5" fillId="4" borderId="58" xfId="0" applyNumberFormat="1" applyFont="1" applyFill="1" applyBorder="1" applyAlignment="1">
      <alignment horizontal="right" vertical="center" wrapText="1" indent="1"/>
    </xf>
    <xf numFmtId="164" fontId="5" fillId="4" borderId="1" xfId="0" applyNumberFormat="1" applyFont="1" applyFill="1" applyBorder="1" applyAlignment="1">
      <alignment horizontal="right" vertical="center" wrapText="1" indent="1"/>
    </xf>
    <xf numFmtId="0" fontId="142" fillId="23" borderId="5" xfId="0" applyFont="1" applyFill="1" applyBorder="1" applyAlignment="1" applyProtection="1">
      <alignment horizontal="left" vertical="center" wrapText="1" indent="1"/>
      <protection locked="0"/>
    </xf>
    <xf numFmtId="165" fontId="5" fillId="4" borderId="1" xfId="0" applyNumberFormat="1" applyFont="1" applyFill="1" applyBorder="1" applyAlignment="1">
      <alignment horizontal="right" vertical="center" wrapText="1" indent="1"/>
    </xf>
    <xf numFmtId="3" fontId="49" fillId="24" borderId="91" xfId="0" applyNumberFormat="1" applyFont="1" applyFill="1" applyBorder="1" applyAlignment="1" applyProtection="1">
      <alignment horizontal="left" vertical="center" indent="1"/>
      <protection hidden="1"/>
    </xf>
    <xf numFmtId="164" fontId="40" fillId="25" borderId="195" xfId="0" applyNumberFormat="1" applyFont="1" applyFill="1" applyBorder="1" applyAlignment="1" applyProtection="1">
      <alignment horizontal="center" vertical="center"/>
      <protection locked="0"/>
    </xf>
    <xf numFmtId="164" fontId="40" fillId="25" borderId="196" xfId="0" applyNumberFormat="1" applyFont="1" applyFill="1" applyBorder="1" applyAlignment="1" applyProtection="1">
      <alignment horizontal="center" vertical="center"/>
      <protection locked="0"/>
    </xf>
    <xf numFmtId="164" fontId="40" fillId="25" borderId="197" xfId="0" applyNumberFormat="1" applyFont="1" applyFill="1" applyBorder="1" applyAlignment="1" applyProtection="1">
      <alignment horizontal="center" vertical="center"/>
      <protection locked="0"/>
    </xf>
    <xf numFmtId="164" fontId="40" fillId="25" borderId="199" xfId="0" applyNumberFormat="1" applyFont="1" applyFill="1" applyBorder="1" applyAlignment="1" applyProtection="1">
      <alignment horizontal="center" vertical="center"/>
      <protection locked="0"/>
    </xf>
    <xf numFmtId="164" fontId="40" fillId="25" borderId="200" xfId="0" applyNumberFormat="1" applyFont="1" applyFill="1" applyBorder="1" applyAlignment="1" applyProtection="1">
      <alignment horizontal="center" vertical="center"/>
      <protection locked="0"/>
    </xf>
    <xf numFmtId="164" fontId="40" fillId="25" borderId="201" xfId="0" applyNumberFormat="1" applyFont="1" applyFill="1" applyBorder="1" applyAlignment="1" applyProtection="1">
      <alignment horizontal="center" vertical="center"/>
      <protection locked="0"/>
    </xf>
    <xf numFmtId="164" fontId="40" fillId="31" borderId="204" xfId="0" applyNumberFormat="1" applyFont="1" applyFill="1" applyBorder="1" applyAlignment="1" applyProtection="1">
      <alignment horizontal="center" vertical="center"/>
      <protection locked="0"/>
    </xf>
    <xf numFmtId="164" fontId="40" fillId="31" borderId="205" xfId="0" applyNumberFormat="1" applyFont="1" applyFill="1" applyBorder="1" applyAlignment="1" applyProtection="1">
      <alignment horizontal="center" vertical="center"/>
      <protection locked="0"/>
    </xf>
    <xf numFmtId="0" fontId="149" fillId="4" borderId="193" xfId="0" applyFont="1" applyFill="1" applyBorder="1" applyAlignment="1" applyProtection="1">
      <alignment horizontal="left" vertical="center"/>
      <protection locked="0"/>
    </xf>
    <xf numFmtId="164" fontId="40" fillId="31" borderId="64" xfId="0" applyNumberFormat="1" applyFont="1" applyFill="1" applyBorder="1" applyAlignment="1" applyProtection="1">
      <alignment horizontal="center" vertical="center"/>
      <protection locked="0"/>
    </xf>
    <xf numFmtId="164" fontId="40" fillId="31" borderId="65" xfId="0" applyNumberFormat="1" applyFont="1" applyFill="1" applyBorder="1" applyAlignment="1" applyProtection="1">
      <alignment horizontal="center" vertical="center"/>
      <protection locked="0"/>
    </xf>
    <xf numFmtId="164" fontId="40" fillId="31" borderId="66" xfId="0" applyNumberFormat="1" applyFont="1" applyFill="1" applyBorder="1" applyAlignment="1" applyProtection="1">
      <alignment horizontal="center" vertical="center"/>
      <protection locked="0"/>
    </xf>
    <xf numFmtId="164" fontId="40" fillId="25" borderId="207" xfId="0" applyNumberFormat="1" applyFont="1" applyFill="1" applyBorder="1" applyAlignment="1" applyProtection="1">
      <alignment horizontal="center" vertical="center"/>
      <protection locked="0"/>
    </xf>
    <xf numFmtId="164" fontId="40" fillId="25" borderId="208" xfId="0" applyNumberFormat="1" applyFont="1" applyFill="1" applyBorder="1" applyAlignment="1" applyProtection="1">
      <alignment horizontal="center" vertical="center"/>
      <protection locked="0"/>
    </xf>
    <xf numFmtId="164" fontId="40" fillId="25" borderId="209" xfId="0" applyNumberFormat="1" applyFont="1" applyFill="1" applyBorder="1" applyAlignment="1" applyProtection="1">
      <alignment horizontal="center" vertical="center"/>
      <protection locked="0"/>
    </xf>
    <xf numFmtId="164" fontId="111" fillId="25" borderId="207" xfId="0" applyNumberFormat="1" applyFont="1" applyFill="1" applyBorder="1" applyAlignment="1" applyProtection="1">
      <alignment horizontal="center" vertical="center"/>
      <protection locked="0"/>
    </xf>
    <xf numFmtId="164" fontId="41" fillId="4" borderId="110" xfId="0" applyNumberFormat="1" applyFont="1" applyFill="1" applyBorder="1" applyAlignment="1">
      <alignment horizontal="center" vertical="center"/>
    </xf>
    <xf numFmtId="164" fontId="41" fillId="4" borderId="111" xfId="0" applyNumberFormat="1" applyFont="1" applyFill="1" applyBorder="1" applyAlignment="1">
      <alignment horizontal="center" vertical="center"/>
    </xf>
    <xf numFmtId="0" fontId="35" fillId="4" borderId="127" xfId="0" applyFont="1" applyFill="1" applyBorder="1" applyAlignment="1" applyProtection="1">
      <alignment horizontal="right" vertical="center" indent="1"/>
      <protection hidden="1"/>
    </xf>
    <xf numFmtId="164" fontId="40" fillId="25" borderId="213" xfId="0" applyNumberFormat="1" applyFont="1" applyFill="1" applyBorder="1" applyAlignment="1" applyProtection="1">
      <alignment horizontal="center" vertical="center"/>
      <protection locked="0"/>
    </xf>
    <xf numFmtId="164" fontId="40" fillId="25" borderId="214" xfId="0" applyNumberFormat="1" applyFont="1" applyFill="1" applyBorder="1" applyAlignment="1" applyProtection="1">
      <alignment horizontal="center" vertical="center"/>
      <protection locked="0"/>
    </xf>
    <xf numFmtId="164" fontId="40" fillId="25" borderId="215" xfId="0" applyNumberFormat="1" applyFont="1" applyFill="1" applyBorder="1" applyAlignment="1" applyProtection="1">
      <alignment horizontal="center" vertical="center"/>
      <protection locked="0"/>
    </xf>
    <xf numFmtId="0" fontId="35" fillId="4" borderId="217" xfId="0" applyFont="1" applyFill="1" applyBorder="1" applyAlignment="1" applyProtection="1">
      <alignment horizontal="right" vertical="center" indent="1"/>
      <protection hidden="1"/>
    </xf>
    <xf numFmtId="164" fontId="41" fillId="4" borderId="218" xfId="0" applyNumberFormat="1" applyFont="1" applyFill="1" applyBorder="1" applyAlignment="1">
      <alignment horizontal="center" vertical="center"/>
    </xf>
    <xf numFmtId="164" fontId="41" fillId="4" borderId="219" xfId="0" applyNumberFormat="1" applyFont="1" applyFill="1" applyBorder="1" applyAlignment="1">
      <alignment horizontal="center" vertical="center"/>
    </xf>
    <xf numFmtId="0" fontId="95" fillId="4" borderId="174" xfId="0" applyFont="1" applyFill="1" applyBorder="1" applyAlignment="1" applyProtection="1">
      <alignment horizontal="center" vertical="center"/>
      <protection hidden="1"/>
    </xf>
    <xf numFmtId="0" fontId="37" fillId="4" borderId="221" xfId="0" applyFont="1" applyFill="1" applyBorder="1" applyAlignment="1" applyProtection="1">
      <alignment horizontal="center" vertical="center"/>
      <protection hidden="1"/>
    </xf>
    <xf numFmtId="0" fontId="37" fillId="4" borderId="176" xfId="0" applyFont="1" applyFill="1" applyBorder="1" applyAlignment="1" applyProtection="1">
      <alignment horizontal="center" vertical="center"/>
      <protection hidden="1"/>
    </xf>
    <xf numFmtId="0" fontId="150" fillId="33" borderId="223" xfId="0" applyFont="1" applyFill="1" applyBorder="1" applyAlignment="1" applyProtection="1">
      <alignment horizontal="right" vertical="center" indent="1"/>
      <protection hidden="1"/>
    </xf>
    <xf numFmtId="164" fontId="151" fillId="33" borderId="224" xfId="0" applyNumberFormat="1" applyFont="1" applyFill="1" applyBorder="1" applyAlignment="1">
      <alignment horizontal="center" vertical="center"/>
    </xf>
    <xf numFmtId="164" fontId="151" fillId="33" borderId="225" xfId="0" applyNumberFormat="1" applyFont="1" applyFill="1" applyBorder="1" applyAlignment="1">
      <alignment horizontal="center" vertical="center"/>
    </xf>
    <xf numFmtId="164" fontId="151" fillId="33" borderId="226" xfId="0" applyNumberFormat="1" applyFont="1" applyFill="1" applyBorder="1" applyAlignment="1">
      <alignment horizontal="center" vertical="center"/>
    </xf>
    <xf numFmtId="0" fontId="150" fillId="33" borderId="46" xfId="0" applyFont="1" applyFill="1" applyBorder="1" applyAlignment="1" applyProtection="1">
      <alignment horizontal="right" vertical="center" indent="1"/>
      <protection hidden="1"/>
    </xf>
    <xf numFmtId="164" fontId="151" fillId="33" borderId="81" xfId="0" applyNumberFormat="1" applyFont="1" applyFill="1" applyBorder="1" applyAlignment="1">
      <alignment horizontal="center" vertical="center"/>
    </xf>
    <xf numFmtId="164" fontId="151" fillId="33" borderId="82" xfId="0" applyNumberFormat="1" applyFont="1" applyFill="1" applyBorder="1" applyAlignment="1">
      <alignment horizontal="center" vertical="center"/>
    </xf>
    <xf numFmtId="164" fontId="151" fillId="33" borderId="83" xfId="0" applyNumberFormat="1" applyFont="1" applyFill="1" applyBorder="1" applyAlignment="1">
      <alignment horizontal="center" vertical="center"/>
    </xf>
    <xf numFmtId="164" fontId="40" fillId="25" borderId="228" xfId="0" applyNumberFormat="1" applyFont="1" applyFill="1" applyBorder="1" applyAlignment="1" applyProtection="1">
      <alignment horizontal="center" vertical="center"/>
      <protection locked="0"/>
    </xf>
    <xf numFmtId="164" fontId="40" fillId="25" borderId="229" xfId="0" applyNumberFormat="1" applyFont="1" applyFill="1" applyBorder="1" applyAlignment="1" applyProtection="1">
      <alignment horizontal="center" vertical="center"/>
      <protection locked="0"/>
    </xf>
    <xf numFmtId="164" fontId="40" fillId="25" borderId="230" xfId="0" applyNumberFormat="1" applyFont="1" applyFill="1" applyBorder="1" applyAlignment="1" applyProtection="1">
      <alignment horizontal="center" vertical="center"/>
      <protection locked="0"/>
    </xf>
    <xf numFmtId="0" fontId="152" fillId="5" borderId="0" xfId="0" applyFont="1" applyFill="1" applyAlignment="1" applyProtection="1">
      <alignment horizontal="left" vertical="center" wrapText="1" indent="9"/>
      <protection hidden="1"/>
    </xf>
    <xf numFmtId="0" fontId="38" fillId="5" borderId="0" xfId="0" applyFont="1" applyFill="1" applyProtection="1">
      <protection hidden="1"/>
    </xf>
    <xf numFmtId="0" fontId="9" fillId="4" borderId="7" xfId="0" applyFont="1" applyFill="1" applyBorder="1" applyAlignment="1" applyProtection="1">
      <alignment horizontal="left" indent="5"/>
      <protection hidden="1"/>
    </xf>
    <xf numFmtId="0" fontId="148" fillId="4" borderId="0" xfId="0" applyFont="1" applyFill="1" applyAlignment="1" applyProtection="1">
      <alignment horizontal="left" vertical="center" wrapText="1" indent="1"/>
      <protection hidden="1"/>
    </xf>
    <xf numFmtId="0" fontId="43" fillId="4" borderId="0" xfId="0" applyFont="1" applyFill="1" applyAlignment="1" applyProtection="1">
      <alignment vertical="center" wrapText="1"/>
      <protection hidden="1"/>
    </xf>
    <xf numFmtId="0" fontId="95" fillId="4" borderId="0" xfId="0" applyFont="1" applyFill="1" applyAlignment="1" applyProtection="1">
      <alignment vertical="center" wrapText="1"/>
      <protection hidden="1"/>
    </xf>
    <xf numFmtId="0" fontId="43" fillId="4" borderId="0" xfId="0" applyFont="1" applyFill="1" applyAlignment="1" applyProtection="1">
      <alignment horizontal="right" vertical="center" wrapText="1" indent="1"/>
      <protection hidden="1"/>
    </xf>
    <xf numFmtId="0" fontId="44" fillId="4" borderId="0" xfId="0" applyFont="1" applyFill="1" applyProtection="1">
      <protection hidden="1"/>
    </xf>
    <xf numFmtId="0" fontId="6" fillId="4" borderId="0" xfId="0" applyFont="1" applyFill="1" applyAlignment="1" applyProtection="1">
      <alignment horizontal="right" vertical="center" wrapText="1" indent="1"/>
      <protection hidden="1"/>
    </xf>
    <xf numFmtId="0" fontId="43" fillId="4" borderId="46" xfId="0" applyFont="1" applyFill="1" applyBorder="1" applyAlignment="1" applyProtection="1">
      <alignment horizontal="right" vertical="center" wrapText="1" indent="1"/>
      <protection hidden="1"/>
    </xf>
    <xf numFmtId="0" fontId="9" fillId="4" borderId="7" xfId="0" applyFont="1" applyFill="1" applyBorder="1" applyAlignment="1" applyProtection="1">
      <alignment horizontal="left" indent="7"/>
      <protection hidden="1"/>
    </xf>
    <xf numFmtId="0" fontId="9" fillId="4" borderId="0" xfId="0" applyFont="1" applyFill="1" applyAlignment="1" applyProtection="1">
      <alignment horizontal="left"/>
      <protection hidden="1"/>
    </xf>
    <xf numFmtId="0" fontId="43" fillId="4" borderId="7" xfId="0" applyFont="1" applyFill="1" applyBorder="1" applyAlignment="1" applyProtection="1">
      <alignment horizontal="left" indent="2"/>
      <protection hidden="1"/>
    </xf>
    <xf numFmtId="0" fontId="9" fillId="4" borderId="0" xfId="0" applyFont="1" applyFill="1" applyAlignment="1" applyProtection="1">
      <alignment horizontal="left" vertical="top" indent="3"/>
      <protection hidden="1"/>
    </xf>
    <xf numFmtId="0" fontId="7" fillId="28" borderId="0" xfId="0" applyFont="1" applyFill="1" applyAlignment="1" applyProtection="1">
      <alignment vertical="center"/>
      <protection hidden="1"/>
    </xf>
    <xf numFmtId="0" fontId="1" fillId="28" borderId="0" xfId="0" applyFont="1" applyFill="1" applyAlignment="1" applyProtection="1">
      <alignment vertical="center"/>
      <protection hidden="1"/>
    </xf>
    <xf numFmtId="0" fontId="0" fillId="28" borderId="0" xfId="0" applyFill="1" applyProtection="1">
      <protection hidden="1"/>
    </xf>
    <xf numFmtId="0" fontId="74" fillId="28" borderId="0" xfId="0" applyFont="1" applyFill="1" applyAlignment="1" applyProtection="1">
      <alignment horizontal="left" vertical="center" indent="1"/>
      <protection hidden="1"/>
    </xf>
    <xf numFmtId="0" fontId="1" fillId="28" borderId="0" xfId="0" applyFont="1" applyFill="1" applyProtection="1">
      <protection hidden="1"/>
    </xf>
    <xf numFmtId="0" fontId="35" fillId="27" borderId="49" xfId="0" applyFont="1" applyFill="1" applyBorder="1" applyAlignment="1" applyProtection="1">
      <alignment horizontal="left" vertical="center"/>
      <protection hidden="1"/>
    </xf>
    <xf numFmtId="0" fontId="36" fillId="27" borderId="50" xfId="0" applyFont="1" applyFill="1" applyBorder="1" applyAlignment="1" applyProtection="1">
      <alignment horizontal="left"/>
      <protection hidden="1"/>
    </xf>
    <xf numFmtId="0" fontId="35" fillId="27" borderId="50" xfId="0" applyFont="1" applyFill="1" applyBorder="1" applyAlignment="1" applyProtection="1">
      <alignment horizontal="left" vertical="center"/>
      <protection hidden="1"/>
    </xf>
    <xf numFmtId="0" fontId="35" fillId="27" borderId="50" xfId="0" applyFont="1" applyFill="1" applyBorder="1" applyAlignment="1" applyProtection="1">
      <alignment vertical="center"/>
      <protection hidden="1"/>
    </xf>
    <xf numFmtId="0" fontId="35" fillId="27" borderId="51" xfId="0" applyFont="1" applyFill="1" applyBorder="1" applyAlignment="1" applyProtection="1">
      <alignment vertical="center"/>
      <protection hidden="1"/>
    </xf>
    <xf numFmtId="0" fontId="35" fillId="27" borderId="52" xfId="0" applyFont="1" applyFill="1" applyBorder="1" applyAlignment="1" applyProtection="1">
      <alignment horizontal="left" vertical="center" indent="2"/>
      <protection hidden="1"/>
    </xf>
    <xf numFmtId="0" fontId="73" fillId="27" borderId="0" xfId="0" applyFont="1" applyFill="1" applyAlignment="1" applyProtection="1">
      <alignment horizontal="left" vertical="center"/>
      <protection hidden="1"/>
    </xf>
    <xf numFmtId="0" fontId="36" fillId="27" borderId="0" xfId="0" applyFont="1" applyFill="1" applyAlignment="1" applyProtection="1">
      <alignment horizontal="left" vertical="center"/>
      <protection hidden="1"/>
    </xf>
    <xf numFmtId="0" fontId="35" fillId="27" borderId="0" xfId="0" applyFont="1" applyFill="1" applyAlignment="1" applyProtection="1">
      <alignment horizontal="left" vertical="center" indent="1"/>
      <protection hidden="1"/>
    </xf>
    <xf numFmtId="0" fontId="0" fillId="27" borderId="0" xfId="0" applyFill="1" applyProtection="1">
      <protection hidden="1"/>
    </xf>
    <xf numFmtId="0" fontId="5" fillId="27" borderId="0" xfId="0" applyFont="1" applyFill="1" applyAlignment="1" applyProtection="1">
      <alignment horizontal="right" vertical="center" indent="1"/>
      <protection hidden="1"/>
    </xf>
    <xf numFmtId="0" fontId="62" fillId="27" borderId="0" xfId="1" applyFont="1" applyFill="1" applyBorder="1" applyAlignment="1" applyProtection="1">
      <alignment horizontal="center" vertical="center"/>
      <protection hidden="1"/>
    </xf>
    <xf numFmtId="0" fontId="0" fillId="27" borderId="53" xfId="0" applyFill="1" applyBorder="1" applyProtection="1">
      <protection hidden="1"/>
    </xf>
    <xf numFmtId="0" fontId="0" fillId="27" borderId="52" xfId="0" applyFill="1" applyBorder="1" applyAlignment="1" applyProtection="1">
      <alignment horizontal="left" indent="1"/>
      <protection hidden="1"/>
    </xf>
    <xf numFmtId="0" fontId="0" fillId="27" borderId="0" xfId="0" applyFill="1" applyAlignment="1" applyProtection="1">
      <alignment horizontal="left" indent="1"/>
      <protection hidden="1"/>
    </xf>
    <xf numFmtId="0" fontId="3" fillId="27" borderId="52" xfId="0" applyFont="1" applyFill="1" applyBorder="1" applyAlignment="1" applyProtection="1">
      <alignment vertical="center" wrapText="1"/>
      <protection hidden="1"/>
    </xf>
    <xf numFmtId="0" fontId="3" fillId="27" borderId="0" xfId="0" applyFont="1" applyFill="1" applyAlignment="1" applyProtection="1">
      <alignment vertical="center" wrapText="1"/>
      <protection hidden="1"/>
    </xf>
    <xf numFmtId="0" fontId="3" fillId="27" borderId="53" xfId="0" applyFont="1" applyFill="1" applyBorder="1" applyAlignment="1" applyProtection="1">
      <alignment vertical="center" wrapText="1"/>
      <protection hidden="1"/>
    </xf>
    <xf numFmtId="0" fontId="0" fillId="27" borderId="55" xfId="0" applyFill="1" applyBorder="1" applyAlignment="1" applyProtection="1">
      <alignment horizontal="left" indent="1"/>
      <protection hidden="1"/>
    </xf>
    <xf numFmtId="0" fontId="0" fillId="27" borderId="56" xfId="0" applyFill="1" applyBorder="1" applyAlignment="1" applyProtection="1">
      <alignment horizontal="left" indent="1"/>
      <protection hidden="1"/>
    </xf>
    <xf numFmtId="0" fontId="0" fillId="27" borderId="56" xfId="0" applyFill="1" applyBorder="1" applyProtection="1">
      <protection hidden="1"/>
    </xf>
    <xf numFmtId="0" fontId="0" fillId="27" borderId="57" xfId="0" applyFill="1" applyBorder="1" applyProtection="1">
      <protection hidden="1"/>
    </xf>
    <xf numFmtId="0" fontId="38" fillId="27" borderId="0" xfId="0" applyFont="1" applyFill="1" applyAlignment="1" applyProtection="1">
      <alignment vertical="top" wrapText="1"/>
      <protection hidden="1"/>
    </xf>
    <xf numFmtId="0" fontId="38" fillId="27" borderId="0" xfId="0" applyFont="1" applyFill="1" applyAlignment="1" applyProtection="1">
      <alignment horizontal="left" vertical="top" wrapText="1"/>
      <protection hidden="1"/>
    </xf>
    <xf numFmtId="0" fontId="0" fillId="27" borderId="0" xfId="0" applyFill="1" applyAlignment="1" applyProtection="1">
      <alignment horizontal="left" indent="8"/>
      <protection hidden="1"/>
    </xf>
    <xf numFmtId="0" fontId="0" fillId="27" borderId="52" xfId="0" applyFill="1" applyBorder="1" applyAlignment="1" applyProtection="1">
      <alignment horizontal="left" vertical="top"/>
      <protection hidden="1"/>
    </xf>
    <xf numFmtId="0" fontId="0" fillId="27" borderId="0" xfId="0" applyFill="1" applyAlignment="1" applyProtection="1">
      <alignment horizontal="left" vertical="top" indent="8"/>
      <protection hidden="1"/>
    </xf>
    <xf numFmtId="0" fontId="0" fillId="27" borderId="0" xfId="0" applyFill="1" applyAlignment="1" applyProtection="1">
      <alignment horizontal="left" vertical="top"/>
      <protection hidden="1"/>
    </xf>
    <xf numFmtId="0" fontId="0" fillId="27" borderId="0" xfId="0" applyFill="1" applyAlignment="1" applyProtection="1">
      <alignment vertical="top"/>
      <protection hidden="1"/>
    </xf>
    <xf numFmtId="0" fontId="0" fillId="27" borderId="53" xfId="0" applyFill="1" applyBorder="1" applyAlignment="1" applyProtection="1">
      <alignment vertical="top"/>
      <protection hidden="1"/>
    </xf>
    <xf numFmtId="0" fontId="38" fillId="27" borderId="0" xfId="0" applyFont="1" applyFill="1" applyAlignment="1" applyProtection="1">
      <alignment horizontal="left" vertical="top" wrapText="1" indent="5"/>
      <protection hidden="1"/>
    </xf>
    <xf numFmtId="0" fontId="38" fillId="27" borderId="56" xfId="0" applyFont="1" applyFill="1" applyBorder="1" applyAlignment="1" applyProtection="1">
      <alignment horizontal="left" vertical="top" wrapText="1" indent="5"/>
      <protection hidden="1"/>
    </xf>
    <xf numFmtId="0" fontId="9" fillId="27" borderId="0" xfId="0" applyFont="1" applyFill="1" applyAlignment="1" applyProtection="1">
      <alignment vertical="top" wrapText="1"/>
      <protection hidden="1"/>
    </xf>
    <xf numFmtId="0" fontId="3" fillId="27" borderId="0" xfId="0" applyFont="1" applyFill="1" applyAlignment="1" applyProtection="1">
      <alignment vertical="center"/>
      <protection hidden="1"/>
    </xf>
    <xf numFmtId="0" fontId="3" fillId="27" borderId="55" xfId="0" applyFont="1" applyFill="1" applyBorder="1" applyAlignment="1" applyProtection="1">
      <alignment vertical="center" wrapText="1"/>
      <protection hidden="1"/>
    </xf>
    <xf numFmtId="0" fontId="38" fillId="27" borderId="48" xfId="0" applyFont="1" applyFill="1" applyBorder="1" applyAlignment="1" applyProtection="1">
      <alignment horizontal="left" vertical="top" wrapText="1"/>
      <protection hidden="1"/>
    </xf>
    <xf numFmtId="0" fontId="38" fillId="27" borderId="46" xfId="0" applyFont="1" applyFill="1" applyBorder="1" applyAlignment="1" applyProtection="1">
      <alignment horizontal="right" vertical="top" indent="1"/>
      <protection hidden="1"/>
    </xf>
    <xf numFmtId="0" fontId="38" fillId="27" borderId="0" xfId="0" applyFont="1" applyFill="1" applyAlignment="1" applyProtection="1">
      <alignment horizontal="right" vertical="top" indent="1"/>
      <protection hidden="1"/>
    </xf>
    <xf numFmtId="0" fontId="9" fillId="27" borderId="46" xfId="0" applyFont="1" applyFill="1" applyBorder="1" applyAlignment="1" applyProtection="1">
      <alignment horizontal="right" vertical="top" indent="1"/>
      <protection hidden="1"/>
    </xf>
    <xf numFmtId="0" fontId="51" fillId="27" borderId="0" xfId="0" applyFont="1" applyFill="1" applyAlignment="1" applyProtection="1">
      <alignment vertical="center" wrapText="1"/>
      <protection hidden="1"/>
    </xf>
    <xf numFmtId="0" fontId="3" fillId="27" borderId="0" xfId="0" applyFont="1" applyFill="1" applyAlignment="1" applyProtection="1">
      <alignment horizontal="center" vertical="top" wrapText="1"/>
      <protection hidden="1"/>
    </xf>
    <xf numFmtId="0" fontId="3" fillId="27" borderId="0" xfId="0" applyFont="1" applyFill="1" applyAlignment="1" applyProtection="1">
      <alignment horizontal="center" vertical="center" wrapText="1"/>
      <protection hidden="1"/>
    </xf>
    <xf numFmtId="0" fontId="38" fillId="27" borderId="0" xfId="0" applyFont="1" applyFill="1" applyAlignment="1" applyProtection="1">
      <alignment horizontal="center" vertical="center" wrapText="1"/>
      <protection hidden="1"/>
    </xf>
    <xf numFmtId="0" fontId="113" fillId="27" borderId="0" xfId="0" applyFont="1" applyFill="1" applyAlignment="1" applyProtection="1">
      <alignment horizontal="right" vertical="center" wrapText="1"/>
      <protection hidden="1"/>
    </xf>
    <xf numFmtId="0" fontId="38" fillId="27" borderId="0" xfId="0" applyFont="1" applyFill="1" applyAlignment="1" applyProtection="1">
      <alignment horizontal="right" vertical="top" wrapText="1"/>
      <protection hidden="1"/>
    </xf>
    <xf numFmtId="0" fontId="120" fillId="27" borderId="0" xfId="0" applyFont="1" applyFill="1" applyAlignment="1" applyProtection="1">
      <alignment horizontal="right" vertical="center" wrapText="1"/>
      <protection hidden="1"/>
    </xf>
    <xf numFmtId="0" fontId="66" fillId="27" borderId="0" xfId="0" applyFont="1" applyFill="1" applyAlignment="1" applyProtection="1">
      <alignment horizontal="right" vertical="top" wrapText="1"/>
      <protection hidden="1"/>
    </xf>
    <xf numFmtId="0" fontId="116" fillId="27" borderId="0" xfId="0" applyFont="1" applyFill="1" applyAlignment="1" applyProtection="1">
      <alignment horizontal="right" vertical="center" wrapText="1"/>
      <protection hidden="1"/>
    </xf>
    <xf numFmtId="0" fontId="91" fillId="27" borderId="0" xfId="0" applyFont="1" applyFill="1" applyAlignment="1" applyProtection="1">
      <alignment horizontal="right" vertical="top" wrapText="1"/>
      <protection hidden="1"/>
    </xf>
    <xf numFmtId="0" fontId="3" fillId="27" borderId="56" xfId="0" applyFont="1" applyFill="1" applyBorder="1" applyAlignment="1" applyProtection="1">
      <alignment vertical="center"/>
      <protection hidden="1"/>
    </xf>
    <xf numFmtId="0" fontId="5" fillId="27" borderId="56" xfId="0" applyFont="1" applyFill="1" applyBorder="1" applyAlignment="1" applyProtection="1">
      <alignment vertical="center" wrapText="1"/>
      <protection hidden="1"/>
    </xf>
    <xf numFmtId="0" fontId="3" fillId="27" borderId="56" xfId="0" applyFont="1" applyFill="1" applyBorder="1" applyAlignment="1" applyProtection="1">
      <alignment vertical="center" wrapText="1"/>
      <protection hidden="1"/>
    </xf>
    <xf numFmtId="0" fontId="3" fillId="27" borderId="57" xfId="0" applyFont="1" applyFill="1" applyBorder="1" applyAlignment="1" applyProtection="1">
      <alignment vertical="center" wrapText="1"/>
      <protection hidden="1"/>
    </xf>
    <xf numFmtId="0" fontId="38" fillId="27" borderId="0" xfId="0" applyFont="1" applyFill="1" applyAlignment="1" applyProtection="1">
      <alignment horizontal="left" vertical="center" wrapText="1" indent="6"/>
      <protection hidden="1"/>
    </xf>
    <xf numFmtId="0" fontId="38" fillId="27" borderId="0" xfId="0" applyFont="1" applyFill="1" applyAlignment="1" applyProtection="1">
      <alignment vertical="center" wrapText="1"/>
      <protection hidden="1"/>
    </xf>
    <xf numFmtId="0" fontId="114" fillId="27" borderId="52" xfId="0" applyFont="1" applyFill="1" applyBorder="1" applyAlignment="1" applyProtection="1">
      <alignment horizontal="center" vertical="center" wrapText="1"/>
      <protection hidden="1"/>
    </xf>
    <xf numFmtId="0" fontId="135" fillId="27" borderId="0" xfId="0" applyFont="1" applyFill="1" applyAlignment="1" applyProtection="1">
      <alignment horizontal="left" vertical="center"/>
      <protection hidden="1"/>
    </xf>
    <xf numFmtId="0" fontId="93" fillId="27" borderId="0" xfId="0" applyFont="1" applyFill="1" applyAlignment="1" applyProtection="1">
      <alignment horizontal="left" vertical="center" indent="1"/>
      <protection hidden="1"/>
    </xf>
    <xf numFmtId="0" fontId="61" fillId="27" borderId="0" xfId="0" applyFont="1" applyFill="1" applyProtection="1">
      <protection hidden="1"/>
    </xf>
    <xf numFmtId="0" fontId="8" fillId="27" borderId="0" xfId="0" applyFont="1" applyFill="1" applyAlignment="1" applyProtection="1">
      <alignment horizontal="right" vertical="center" indent="1"/>
      <protection hidden="1"/>
    </xf>
    <xf numFmtId="0" fontId="61" fillId="27" borderId="0" xfId="0" applyFont="1" applyFill="1" applyAlignment="1" applyProtection="1">
      <alignment horizontal="left" indent="1"/>
      <protection hidden="1"/>
    </xf>
    <xf numFmtId="0" fontId="5" fillId="4" borderId="8" xfId="0" applyFont="1" applyFill="1" applyBorder="1" applyAlignment="1" applyProtection="1">
      <alignment vertical="center" wrapText="1"/>
      <protection hidden="1"/>
    </xf>
    <xf numFmtId="0" fontId="155" fillId="27" borderId="0" xfId="0" applyFont="1" applyFill="1" applyAlignment="1" applyProtection="1">
      <alignment horizontal="left" vertical="center"/>
      <protection hidden="1"/>
    </xf>
    <xf numFmtId="0" fontId="156" fillId="34" borderId="0" xfId="0" applyFont="1" applyFill="1"/>
    <xf numFmtId="0" fontId="40" fillId="4" borderId="0" xfId="0" applyFont="1" applyFill="1" applyAlignment="1" applyProtection="1">
      <alignment vertical="top" wrapText="1"/>
      <protection hidden="1"/>
    </xf>
    <xf numFmtId="0" fontId="5" fillId="4" borderId="0" xfId="0" applyFont="1" applyFill="1" applyAlignment="1" applyProtection="1">
      <alignment vertical="top"/>
      <protection hidden="1"/>
    </xf>
    <xf numFmtId="0" fontId="0" fillId="4" borderId="233" xfId="0" applyFill="1" applyBorder="1" applyAlignment="1">
      <alignment horizontal="left" vertical="center" indent="1"/>
    </xf>
    <xf numFmtId="0" fontId="7" fillId="28" borderId="0" xfId="0" applyFont="1" applyFill="1" applyAlignment="1" applyProtection="1">
      <alignment horizontal="left" vertical="center"/>
      <protection hidden="1"/>
    </xf>
    <xf numFmtId="0" fontId="1" fillId="28" borderId="0" xfId="0" applyFont="1" applyFill="1" applyAlignment="1" applyProtection="1">
      <alignment horizontal="left" vertical="center"/>
      <protection hidden="1"/>
    </xf>
    <xf numFmtId="0" fontId="2" fillId="28" borderId="0" xfId="0" applyFont="1" applyFill="1" applyAlignment="1" applyProtection="1">
      <alignment horizontal="left" vertical="center"/>
      <protection hidden="1"/>
    </xf>
    <xf numFmtId="0" fontId="3" fillId="27" borderId="49" xfId="0" applyFont="1" applyFill="1" applyBorder="1" applyAlignment="1" applyProtection="1">
      <alignment vertical="center" wrapText="1"/>
      <protection hidden="1"/>
    </xf>
    <xf numFmtId="0" fontId="38" fillId="27" borderId="50" xfId="0" applyFont="1" applyFill="1" applyBorder="1" applyAlignment="1" applyProtection="1">
      <alignment horizontal="left" vertical="top" wrapText="1"/>
      <protection hidden="1"/>
    </xf>
    <xf numFmtId="0" fontId="3" fillId="27" borderId="50" xfId="0" applyFont="1" applyFill="1" applyBorder="1" applyAlignment="1" applyProtection="1">
      <alignment vertical="center" wrapText="1"/>
      <protection hidden="1"/>
    </xf>
    <xf numFmtId="0" fontId="3" fillId="27" borderId="51" xfId="0" applyFont="1" applyFill="1" applyBorder="1" applyAlignment="1" applyProtection="1">
      <alignment vertical="center" wrapText="1"/>
      <protection hidden="1"/>
    </xf>
    <xf numFmtId="0" fontId="35" fillId="27" borderId="52" xfId="0" applyFont="1" applyFill="1" applyBorder="1" applyAlignment="1" applyProtection="1">
      <alignment horizontal="left" vertical="center" indent="1"/>
      <protection hidden="1"/>
    </xf>
    <xf numFmtId="0" fontId="77" fillId="27" borderId="0" xfId="0" applyFont="1" applyFill="1" applyAlignment="1" applyProtection="1">
      <alignment horizontal="left"/>
      <protection hidden="1"/>
    </xf>
    <xf numFmtId="0" fontId="129" fillId="27" borderId="0" xfId="0" applyFont="1" applyFill="1" applyAlignment="1" applyProtection="1">
      <alignment horizontal="left" vertical="top"/>
      <protection hidden="1"/>
    </xf>
    <xf numFmtId="0" fontId="121" fillId="27" borderId="0" xfId="0" applyFont="1" applyFill="1" applyAlignment="1" applyProtection="1">
      <alignment horizontal="center" vertical="top"/>
      <protection hidden="1"/>
    </xf>
    <xf numFmtId="0" fontId="9" fillId="27" borderId="56" xfId="0" applyFont="1" applyFill="1" applyBorder="1" applyAlignment="1" applyProtection="1">
      <alignment vertical="top" wrapText="1"/>
      <protection hidden="1"/>
    </xf>
    <xf numFmtId="0" fontId="38" fillId="27" borderId="56" xfId="0" applyFont="1" applyFill="1" applyBorder="1" applyAlignment="1" applyProtection="1">
      <alignment horizontal="left" vertical="top" wrapText="1"/>
      <protection hidden="1"/>
    </xf>
    <xf numFmtId="0" fontId="0" fillId="27" borderId="234" xfId="0" applyFill="1" applyBorder="1" applyAlignment="1" applyProtection="1">
      <alignment horizontal="left" vertical="center"/>
      <protection hidden="1"/>
    </xf>
    <xf numFmtId="0" fontId="122" fillId="27" borderId="234" xfId="0" applyFont="1" applyFill="1" applyBorder="1" applyAlignment="1" applyProtection="1">
      <alignment vertical="center" wrapText="1"/>
      <protection hidden="1"/>
    </xf>
    <xf numFmtId="0" fontId="0" fillId="27" borderId="234" xfId="0" applyFill="1" applyBorder="1" applyAlignment="1" applyProtection="1">
      <alignment vertical="center"/>
      <protection hidden="1"/>
    </xf>
    <xf numFmtId="0" fontId="9" fillId="27" borderId="234" xfId="0" applyFont="1" applyFill="1" applyBorder="1" applyAlignment="1" applyProtection="1">
      <alignment vertical="center" wrapText="1"/>
      <protection hidden="1"/>
    </xf>
    <xf numFmtId="0" fontId="119" fillId="27" borderId="234" xfId="0" applyFont="1" applyFill="1" applyBorder="1" applyAlignment="1" applyProtection="1">
      <alignment horizontal="left" vertical="center" wrapText="1"/>
      <protection hidden="1"/>
    </xf>
    <xf numFmtId="0" fontId="122" fillId="27" borderId="234" xfId="0" applyFont="1" applyFill="1" applyBorder="1" applyAlignment="1" applyProtection="1">
      <alignment vertical="center"/>
      <protection hidden="1"/>
    </xf>
    <xf numFmtId="0" fontId="0" fillId="27" borderId="235" xfId="0" applyFill="1" applyBorder="1" applyAlignment="1" applyProtection="1">
      <alignment horizontal="left" vertical="center"/>
      <protection hidden="1"/>
    </xf>
    <xf numFmtId="0" fontId="122" fillId="27" borderId="235" xfId="0" applyFont="1" applyFill="1" applyBorder="1" applyAlignment="1" applyProtection="1">
      <alignment vertical="center" wrapText="1"/>
      <protection hidden="1"/>
    </xf>
    <xf numFmtId="0" fontId="77" fillId="27" borderId="235" xfId="0" applyFont="1" applyFill="1" applyBorder="1" applyAlignment="1" applyProtection="1">
      <alignment horizontal="left" vertical="center"/>
      <protection hidden="1"/>
    </xf>
    <xf numFmtId="0" fontId="76" fillId="27" borderId="235" xfId="0" applyFont="1" applyFill="1" applyBorder="1" applyAlignment="1" applyProtection="1">
      <alignment vertical="center"/>
      <protection hidden="1"/>
    </xf>
    <xf numFmtId="0" fontId="0" fillId="27" borderId="236" xfId="0" applyFill="1" applyBorder="1" applyAlignment="1" applyProtection="1">
      <alignment horizontal="left" vertical="center"/>
      <protection hidden="1"/>
    </xf>
    <xf numFmtId="0" fontId="122" fillId="27" borderId="236" xfId="0" applyFont="1" applyFill="1" applyBorder="1" applyAlignment="1" applyProtection="1">
      <alignment vertical="center" wrapText="1"/>
      <protection hidden="1"/>
    </xf>
    <xf numFmtId="0" fontId="9" fillId="27" borderId="236" xfId="0" applyFont="1" applyFill="1" applyBorder="1" applyAlignment="1" applyProtection="1">
      <alignment vertical="center" wrapText="1"/>
      <protection hidden="1"/>
    </xf>
    <xf numFmtId="0" fontId="76" fillId="27" borderId="0" xfId="0" applyFont="1" applyFill="1" applyAlignment="1" applyProtection="1">
      <alignment vertical="center"/>
      <protection hidden="1"/>
    </xf>
    <xf numFmtId="0" fontId="0" fillId="27" borderId="0" xfId="0" applyFill="1" applyAlignment="1" applyProtection="1">
      <alignment vertical="center"/>
      <protection hidden="1"/>
    </xf>
    <xf numFmtId="0" fontId="0" fillId="27" borderId="55" xfId="0" applyFill="1" applyBorder="1" applyProtection="1">
      <protection hidden="1"/>
    </xf>
    <xf numFmtId="0" fontId="119" fillId="27" borderId="236" xfId="0" applyFont="1" applyFill="1" applyBorder="1" applyAlignment="1" applyProtection="1">
      <alignment horizontal="left" vertical="center" wrapText="1"/>
      <protection hidden="1"/>
    </xf>
    <xf numFmtId="0" fontId="5" fillId="4" borderId="54" xfId="0" applyFont="1" applyFill="1" applyBorder="1" applyAlignment="1" applyProtection="1">
      <alignment vertical="center" wrapText="1"/>
      <protection hidden="1"/>
    </xf>
    <xf numFmtId="0" fontId="0" fillId="4" borderId="7" xfId="0" applyFill="1" applyBorder="1" applyAlignment="1" applyProtection="1">
      <alignment horizontal="left" indent="6"/>
      <protection hidden="1"/>
    </xf>
    <xf numFmtId="0" fontId="0" fillId="4" borderId="7" xfId="0" applyFill="1" applyBorder="1" applyAlignment="1" applyProtection="1">
      <alignment horizontal="left" indent="9"/>
      <protection hidden="1"/>
    </xf>
    <xf numFmtId="0" fontId="0" fillId="4" borderId="46" xfId="0" applyFill="1" applyBorder="1" applyAlignment="1" applyProtection="1">
      <alignment horizontal="left" vertical="center" wrapText="1" indent="2"/>
      <protection hidden="1"/>
    </xf>
    <xf numFmtId="0" fontId="5" fillId="27" borderId="0" xfId="0" applyFont="1" applyFill="1" applyAlignment="1" applyProtection="1">
      <alignment vertical="center" wrapText="1"/>
      <protection hidden="1"/>
    </xf>
    <xf numFmtId="0" fontId="6" fillId="4" borderId="7" xfId="0" applyFont="1" applyFill="1" applyBorder="1" applyAlignment="1" applyProtection="1">
      <alignment horizontal="right" vertical="center" wrapText="1" indent="1"/>
      <protection hidden="1"/>
    </xf>
    <xf numFmtId="0" fontId="6" fillId="4" borderId="0" xfId="0" applyFont="1" applyFill="1" applyAlignment="1" applyProtection="1">
      <alignment horizontal="right" vertical="center" indent="1"/>
      <protection hidden="1"/>
    </xf>
    <xf numFmtId="0" fontId="6" fillId="4" borderId="0" xfId="1" applyFont="1" applyFill="1" applyBorder="1" applyAlignment="1" applyProtection="1">
      <alignment horizontal="right" vertical="center" wrapText="1" indent="1"/>
      <protection hidden="1"/>
    </xf>
    <xf numFmtId="0" fontId="6" fillId="4" borderId="0" xfId="0" applyFont="1" applyFill="1" applyAlignment="1" applyProtection="1">
      <alignment horizontal="center" vertical="center" wrapText="1"/>
      <protection hidden="1"/>
    </xf>
    <xf numFmtId="0" fontId="6" fillId="4" borderId="0" xfId="0" applyFont="1" applyFill="1" applyAlignment="1" applyProtection="1">
      <alignment horizontal="left" vertical="center" wrapText="1" indent="1"/>
      <protection hidden="1"/>
    </xf>
    <xf numFmtId="0" fontId="0" fillId="0" borderId="48" xfId="0" applyBorder="1" applyProtection="1">
      <protection hidden="1"/>
    </xf>
    <xf numFmtId="0" fontId="35" fillId="27" borderId="0" xfId="0" applyFont="1" applyFill="1" applyAlignment="1" applyProtection="1">
      <alignment horizontal="left" vertical="center" wrapText="1" indent="1"/>
      <protection hidden="1"/>
    </xf>
    <xf numFmtId="0" fontId="5" fillId="27" borderId="0" xfId="0" applyFont="1" applyFill="1" applyAlignment="1" applyProtection="1">
      <alignment horizontal="right" vertical="center" wrapText="1" indent="1"/>
      <protection hidden="1"/>
    </xf>
    <xf numFmtId="0" fontId="3" fillId="27" borderId="0" xfId="0" applyFont="1" applyFill="1" applyAlignment="1" applyProtection="1">
      <alignment horizontal="right" vertical="center" wrapText="1" indent="1"/>
      <protection hidden="1"/>
    </xf>
    <xf numFmtId="0" fontId="0" fillId="4" borderId="3" xfId="0" applyFill="1" applyBorder="1" applyAlignment="1" applyProtection="1">
      <alignment horizontal="left" vertical="top" indent="8"/>
      <protection hidden="1"/>
    </xf>
    <xf numFmtId="0" fontId="0" fillId="4" borderId="2" xfId="0" applyFill="1" applyBorder="1" applyAlignment="1" applyProtection="1">
      <alignment horizontal="left" vertical="top"/>
      <protection hidden="1"/>
    </xf>
    <xf numFmtId="0" fontId="0" fillId="4" borderId="2" xfId="0" applyFill="1" applyBorder="1" applyAlignment="1" applyProtection="1">
      <alignment vertical="top"/>
      <protection hidden="1"/>
    </xf>
    <xf numFmtId="0" fontId="44" fillId="4" borderId="0" xfId="0" applyFont="1" applyFill="1" applyAlignment="1" applyProtection="1">
      <alignment horizontal="left" vertical="top"/>
      <protection hidden="1"/>
    </xf>
    <xf numFmtId="0" fontId="61" fillId="4" borderId="7" xfId="0" applyFont="1" applyFill="1" applyBorder="1" applyAlignment="1" applyProtection="1">
      <alignment horizontal="left" vertical="top" indent="6"/>
      <protection hidden="1"/>
    </xf>
    <xf numFmtId="0" fontId="0" fillId="4" borderId="0" xfId="0" applyFill="1" applyAlignment="1" applyProtection="1">
      <alignment horizontal="right" vertical="top" indent="1"/>
      <protection hidden="1"/>
    </xf>
    <xf numFmtId="0" fontId="0" fillId="4" borderId="4" xfId="0" applyFill="1" applyBorder="1" applyAlignment="1" applyProtection="1">
      <alignment horizontal="left" vertical="top" indent="8"/>
      <protection hidden="1"/>
    </xf>
    <xf numFmtId="0" fontId="0" fillId="4" borderId="8" xfId="0" applyFill="1" applyBorder="1" applyAlignment="1" applyProtection="1">
      <alignment horizontal="left" vertical="top"/>
      <protection hidden="1"/>
    </xf>
    <xf numFmtId="0" fontId="0" fillId="4" borderId="8" xfId="0" applyFill="1" applyBorder="1" applyAlignment="1" applyProtection="1">
      <alignment vertical="top"/>
      <protection hidden="1"/>
    </xf>
    <xf numFmtId="0" fontId="0" fillId="4" borderId="54" xfId="0" applyFill="1" applyBorder="1" applyAlignment="1" applyProtection="1">
      <alignment vertical="top"/>
      <protection hidden="1"/>
    </xf>
    <xf numFmtId="0" fontId="44" fillId="4" borderId="0" xfId="0" applyFont="1" applyFill="1" applyAlignment="1" applyProtection="1">
      <alignment horizontal="left" vertical="center" indent="1"/>
      <protection hidden="1"/>
    </xf>
    <xf numFmtId="0" fontId="0" fillId="4" borderId="46" xfId="0" applyFill="1" applyBorder="1" applyAlignment="1" applyProtection="1">
      <alignment vertical="top"/>
      <protection hidden="1"/>
    </xf>
    <xf numFmtId="0" fontId="0" fillId="4" borderId="5" xfId="0" applyFill="1" applyBorder="1" applyAlignment="1" applyProtection="1">
      <alignment vertical="top"/>
      <protection hidden="1"/>
    </xf>
    <xf numFmtId="0" fontId="161" fillId="27" borderId="0" xfId="0" applyFont="1" applyFill="1" applyAlignment="1" applyProtection="1">
      <alignment vertical="center"/>
      <protection hidden="1"/>
    </xf>
    <xf numFmtId="0" fontId="138" fillId="27" borderId="0" xfId="0" applyFont="1" applyFill="1" applyAlignment="1" applyProtection="1">
      <alignment horizontal="left" vertical="top"/>
      <protection hidden="1"/>
    </xf>
    <xf numFmtId="0" fontId="9" fillId="27" borderId="0" xfId="0" applyFont="1" applyFill="1" applyAlignment="1" applyProtection="1">
      <alignment horizontal="left" vertical="top" wrapText="1"/>
      <protection hidden="1"/>
    </xf>
    <xf numFmtId="0" fontId="162" fillId="4" borderId="7" xfId="1" applyFont="1" applyFill="1" applyBorder="1" applyAlignment="1" applyProtection="1">
      <alignment horizontal="right" vertical="center" wrapText="1" indent="1"/>
      <protection hidden="1"/>
    </xf>
    <xf numFmtId="0" fontId="162" fillId="4" borderId="7" xfId="0" applyFont="1" applyFill="1" applyBorder="1" applyAlignment="1" applyProtection="1">
      <alignment horizontal="right" vertical="center" indent="1"/>
      <protection hidden="1"/>
    </xf>
    <xf numFmtId="0" fontId="0" fillId="0" borderId="0" xfId="0" applyAlignment="1" applyProtection="1">
      <alignment horizontal="left"/>
      <protection hidden="1"/>
    </xf>
    <xf numFmtId="0" fontId="0" fillId="0" borderId="0" xfId="0" applyAlignment="1" applyProtection="1">
      <alignment horizontal="left" indent="1"/>
      <protection hidden="1"/>
    </xf>
    <xf numFmtId="0" fontId="163" fillId="0" borderId="0" xfId="0" applyFont="1" applyProtection="1">
      <protection hidden="1"/>
    </xf>
    <xf numFmtId="0" fontId="162" fillId="4" borderId="0" xfId="1" applyFont="1" applyFill="1" applyBorder="1" applyAlignment="1" applyProtection="1">
      <protection hidden="1"/>
    </xf>
    <xf numFmtId="0" fontId="163" fillId="4" borderId="0" xfId="0" applyFont="1" applyFill="1" applyAlignment="1" applyProtection="1">
      <alignment wrapText="1"/>
      <protection hidden="1"/>
    </xf>
    <xf numFmtId="0" fontId="163" fillId="4" borderId="7" xfId="0" applyFont="1" applyFill="1" applyBorder="1" applyAlignment="1" applyProtection="1">
      <alignment horizontal="right"/>
      <protection hidden="1"/>
    </xf>
    <xf numFmtId="0" fontId="162" fillId="4" borderId="7" xfId="0" applyFont="1" applyFill="1" applyBorder="1" applyAlignment="1" applyProtection="1">
      <alignment horizontal="left" vertical="top" indent="12"/>
      <protection hidden="1"/>
    </xf>
    <xf numFmtId="0" fontId="44" fillId="4" borderId="0" xfId="0" applyFont="1" applyFill="1" applyAlignment="1" applyProtection="1">
      <alignment horizontal="right" vertical="center" indent="1"/>
      <protection hidden="1"/>
    </xf>
    <xf numFmtId="0" fontId="0" fillId="27" borderId="237" xfId="0" applyFill="1" applyBorder="1" applyAlignment="1" applyProtection="1">
      <alignment horizontal="left" vertical="center"/>
      <protection hidden="1"/>
    </xf>
    <xf numFmtId="0" fontId="122" fillId="27" borderId="237" xfId="0" applyFont="1" applyFill="1" applyBorder="1" applyAlignment="1" applyProtection="1">
      <alignment vertical="center" wrapText="1"/>
      <protection hidden="1"/>
    </xf>
    <xf numFmtId="0" fontId="122" fillId="27" borderId="237" xfId="0" applyFont="1" applyFill="1" applyBorder="1" applyAlignment="1" applyProtection="1">
      <alignment vertical="center"/>
      <protection hidden="1"/>
    </xf>
    <xf numFmtId="0" fontId="9" fillId="27" borderId="237" xfId="0" applyFont="1" applyFill="1" applyBorder="1" applyAlignment="1" applyProtection="1">
      <alignment vertical="center" wrapText="1"/>
      <protection hidden="1"/>
    </xf>
    <xf numFmtId="0" fontId="119" fillId="27" borderId="237" xfId="0" applyFont="1" applyFill="1" applyBorder="1" applyAlignment="1" applyProtection="1">
      <alignment horizontal="left" vertical="center" wrapText="1"/>
      <protection hidden="1"/>
    </xf>
    <xf numFmtId="0" fontId="165" fillId="4" borderId="7" xfId="0" applyFont="1" applyFill="1" applyBorder="1" applyAlignment="1" applyProtection="1">
      <alignment horizontal="left" indent="5"/>
      <protection hidden="1"/>
    </xf>
    <xf numFmtId="0" fontId="9" fillId="4" borderId="7" xfId="0" applyFont="1" applyFill="1" applyBorder="1" applyAlignment="1" applyProtection="1">
      <alignment horizontal="left" vertical="top" indent="7"/>
      <protection hidden="1"/>
    </xf>
    <xf numFmtId="0" fontId="9" fillId="4" borderId="7" xfId="0" applyFont="1" applyFill="1" applyBorder="1" applyAlignment="1" applyProtection="1">
      <alignment horizontal="left" vertical="center" indent="5"/>
      <protection hidden="1"/>
    </xf>
    <xf numFmtId="0" fontId="163" fillId="4" borderId="7" xfId="0" applyFont="1" applyFill="1" applyBorder="1" applyProtection="1">
      <protection hidden="1"/>
    </xf>
    <xf numFmtId="0" fontId="163" fillId="4" borderId="0" xfId="0" applyFont="1" applyFill="1" applyAlignment="1" applyProtection="1">
      <alignment horizontal="left" indent="1"/>
      <protection hidden="1"/>
    </xf>
    <xf numFmtId="0" fontId="163" fillId="4" borderId="0" xfId="0" applyFont="1" applyFill="1" applyAlignment="1" applyProtection="1">
      <alignment horizontal="left" vertical="center" wrapText="1" indent="1"/>
      <protection hidden="1"/>
    </xf>
    <xf numFmtId="0" fontId="163" fillId="4" borderId="7" xfId="0" applyFont="1" applyFill="1" applyBorder="1" applyAlignment="1" applyProtection="1">
      <alignment horizontal="left" indent="8"/>
      <protection hidden="1"/>
    </xf>
    <xf numFmtId="0" fontId="166" fillId="4" borderId="0" xfId="1" applyFont="1" applyFill="1" applyBorder="1" applyAlignment="1" applyProtection="1">
      <alignment horizontal="left" vertical="center" wrapText="1" indent="1"/>
      <protection locked="0"/>
    </xf>
    <xf numFmtId="0" fontId="162" fillId="4" borderId="0" xfId="1" applyFont="1" applyFill="1" applyBorder="1" applyAlignment="1" applyProtection="1">
      <alignment vertical="center"/>
      <protection hidden="1"/>
    </xf>
    <xf numFmtId="0" fontId="163" fillId="4" borderId="63" xfId="0" applyFont="1" applyFill="1" applyBorder="1" applyAlignment="1" applyProtection="1">
      <alignment horizontal="right" vertical="center" indent="1"/>
      <protection hidden="1"/>
    </xf>
    <xf numFmtId="0" fontId="163" fillId="4" borderId="7" xfId="0" applyFont="1" applyFill="1" applyBorder="1" applyAlignment="1" applyProtection="1">
      <alignment horizontal="left" vertical="center"/>
      <protection hidden="1"/>
    </xf>
    <xf numFmtId="0" fontId="5" fillId="4" borderId="63" xfId="0" applyFont="1" applyFill="1" applyBorder="1" applyAlignment="1" applyProtection="1">
      <alignment horizontal="right" vertical="center" indent="1"/>
      <protection hidden="1"/>
    </xf>
    <xf numFmtId="0" fontId="164" fillId="4" borderId="7" xfId="0" applyFont="1" applyFill="1" applyBorder="1" applyAlignment="1" applyProtection="1">
      <alignment vertical="center"/>
      <protection hidden="1"/>
    </xf>
    <xf numFmtId="0" fontId="164" fillId="4" borderId="0" xfId="0" applyFont="1" applyFill="1" applyAlignment="1" applyProtection="1">
      <alignment vertical="center"/>
      <protection hidden="1"/>
    </xf>
    <xf numFmtId="0" fontId="163" fillId="0" borderId="46" xfId="0" applyFont="1" applyBorder="1" applyAlignment="1" applyProtection="1">
      <alignment horizontal="left"/>
      <protection hidden="1"/>
    </xf>
    <xf numFmtId="0" fontId="167" fillId="0" borderId="46" xfId="0" applyFont="1" applyBorder="1" applyAlignment="1" applyProtection="1">
      <alignment horizontal="left"/>
      <protection hidden="1"/>
    </xf>
    <xf numFmtId="0" fontId="167" fillId="4" borderId="0" xfId="0" applyFont="1" applyFill="1" applyAlignment="1" applyProtection="1">
      <alignment horizontal="left"/>
      <protection hidden="1"/>
    </xf>
    <xf numFmtId="0" fontId="0" fillId="27" borderId="0" xfId="0" applyFill="1" applyAlignment="1" applyProtection="1">
      <alignment horizontal="left"/>
      <protection hidden="1"/>
    </xf>
    <xf numFmtId="0" fontId="154" fillId="27" borderId="0" xfId="0" applyFont="1" applyFill="1" applyAlignment="1" applyProtection="1">
      <alignment vertical="center"/>
      <protection hidden="1"/>
    </xf>
    <xf numFmtId="0" fontId="0" fillId="27" borderId="0" xfId="0" applyFill="1" applyAlignment="1" applyProtection="1">
      <alignment horizontal="left" vertical="center" wrapText="1" indent="2"/>
      <protection hidden="1"/>
    </xf>
    <xf numFmtId="0" fontId="38" fillId="27" borderId="0" xfId="0" applyFont="1" applyFill="1" applyAlignment="1" applyProtection="1">
      <alignment horizontal="left" indent="3"/>
      <protection hidden="1"/>
    </xf>
    <xf numFmtId="0" fontId="9" fillId="27" borderId="0" xfId="0" applyFont="1" applyFill="1" applyAlignment="1" applyProtection="1">
      <alignment horizontal="left" vertical="center" indent="3"/>
      <protection hidden="1"/>
    </xf>
    <xf numFmtId="0" fontId="7" fillId="28" borderId="0" xfId="0" applyFont="1" applyFill="1" applyAlignment="1" applyProtection="1">
      <alignment horizontal="left" vertical="center" indent="1"/>
      <protection hidden="1"/>
    </xf>
    <xf numFmtId="0" fontId="110" fillId="27" borderId="0" xfId="0" applyFont="1" applyFill="1" applyAlignment="1" applyProtection="1">
      <alignment horizontal="left" vertical="top" wrapText="1" indent="5"/>
      <protection hidden="1"/>
    </xf>
    <xf numFmtId="0" fontId="169" fillId="35" borderId="238" xfId="0" applyFont="1" applyFill="1" applyBorder="1" applyAlignment="1" applyProtection="1">
      <alignment horizontal="left" vertical="center" indent="1"/>
      <protection hidden="1"/>
    </xf>
    <xf numFmtId="0" fontId="138" fillId="35" borderId="239" xfId="0" applyFont="1" applyFill="1" applyBorder="1" applyAlignment="1" applyProtection="1">
      <alignment horizontal="left" vertical="top"/>
      <protection hidden="1"/>
    </xf>
    <xf numFmtId="0" fontId="0" fillId="35" borderId="240" xfId="0" applyFill="1" applyBorder="1" applyProtection="1">
      <protection hidden="1"/>
    </xf>
    <xf numFmtId="0" fontId="169" fillId="35" borderId="239" xfId="0" applyFont="1" applyFill="1" applyBorder="1" applyAlignment="1" applyProtection="1">
      <alignment horizontal="left" vertical="center" indent="1"/>
      <protection hidden="1"/>
    </xf>
    <xf numFmtId="0" fontId="169" fillId="35" borderId="240" xfId="0" applyFont="1" applyFill="1" applyBorder="1" applyAlignment="1" applyProtection="1">
      <alignment horizontal="left" vertical="center" indent="1"/>
      <protection hidden="1"/>
    </xf>
    <xf numFmtId="0" fontId="10" fillId="27" borderId="0" xfId="0" applyFont="1" applyFill="1" applyAlignment="1" applyProtection="1">
      <alignment horizontal="center" vertical="center"/>
      <protection hidden="1"/>
    </xf>
    <xf numFmtId="0" fontId="9" fillId="27" borderId="0" xfId="0" applyFont="1" applyFill="1" applyAlignment="1" applyProtection="1">
      <alignment horizontal="left" vertical="top" indent="2"/>
      <protection hidden="1"/>
    </xf>
    <xf numFmtId="0" fontId="9" fillId="27" borderId="0" xfId="0" applyFont="1" applyFill="1" applyAlignment="1" applyProtection="1">
      <alignment horizontal="left" vertical="top"/>
      <protection hidden="1"/>
    </xf>
    <xf numFmtId="0" fontId="38" fillId="27" borderId="0" xfId="0" applyFont="1" applyFill="1" applyAlignment="1" applyProtection="1">
      <alignment horizontal="left" vertical="top"/>
      <protection hidden="1"/>
    </xf>
    <xf numFmtId="0" fontId="38" fillId="27" borderId="0" xfId="0" applyFont="1" applyFill="1" applyAlignment="1" applyProtection="1">
      <alignment horizontal="left" vertical="top" indent="2"/>
      <protection hidden="1"/>
    </xf>
    <xf numFmtId="0" fontId="37" fillId="4" borderId="7" xfId="0" applyFont="1" applyFill="1" applyBorder="1" applyAlignment="1" applyProtection="1">
      <alignment horizontal="left" indent="2"/>
      <protection hidden="1"/>
    </xf>
    <xf numFmtId="0" fontId="37" fillId="4" borderId="0" xfId="0" applyFont="1" applyFill="1" applyAlignment="1" applyProtection="1">
      <alignment horizontal="left" indent="2"/>
      <protection hidden="1"/>
    </xf>
    <xf numFmtId="0" fontId="0" fillId="0" borderId="0" xfId="0" applyAlignment="1" applyProtection="1">
      <alignment horizontal="left" indent="2"/>
      <protection hidden="1"/>
    </xf>
    <xf numFmtId="0" fontId="35" fillId="4" borderId="7" xfId="0" applyFont="1" applyFill="1" applyBorder="1" applyAlignment="1" applyProtection="1">
      <alignment horizontal="left" vertical="center" indent="2"/>
      <protection hidden="1"/>
    </xf>
    <xf numFmtId="0" fontId="35" fillId="4" borderId="0" xfId="0" applyFont="1" applyFill="1" applyAlignment="1" applyProtection="1">
      <alignment horizontal="left" vertical="center" indent="2"/>
      <protection hidden="1"/>
    </xf>
    <xf numFmtId="0" fontId="0" fillId="27" borderId="8" xfId="0" applyFill="1" applyBorder="1" applyProtection="1">
      <protection hidden="1"/>
    </xf>
    <xf numFmtId="0" fontId="0" fillId="27" borderId="241" xfId="0" applyFill="1" applyBorder="1" applyProtection="1">
      <protection hidden="1"/>
    </xf>
    <xf numFmtId="0" fontId="162" fillId="4" borderId="7" xfId="0" applyFont="1" applyFill="1" applyBorder="1" applyAlignment="1" applyProtection="1">
      <alignment horizontal="right" vertical="center" wrapText="1" indent="1"/>
      <protection hidden="1"/>
    </xf>
    <xf numFmtId="0" fontId="162" fillId="4" borderId="0" xfId="0" applyFont="1" applyFill="1" applyAlignment="1" applyProtection="1">
      <alignment horizontal="right" vertical="center" indent="2"/>
      <protection hidden="1"/>
    </xf>
    <xf numFmtId="0" fontId="44" fillId="27" borderId="0" xfId="0" applyFont="1" applyFill="1" applyAlignment="1" applyProtection="1">
      <alignment horizontal="left"/>
      <protection hidden="1"/>
    </xf>
    <xf numFmtId="0" fontId="136" fillId="0" borderId="0" xfId="0" applyFont="1" applyAlignment="1" applyProtection="1">
      <alignment horizontal="left" vertical="center" indent="7"/>
      <protection hidden="1"/>
    </xf>
    <xf numFmtId="0" fontId="5" fillId="27" borderId="0" xfId="0" applyFont="1" applyFill="1" applyAlignment="1" applyProtection="1">
      <alignment vertical="top"/>
      <protection hidden="1"/>
    </xf>
    <xf numFmtId="0" fontId="73" fillId="27" borderId="52" xfId="0" applyFont="1" applyFill="1" applyBorder="1" applyAlignment="1" applyProtection="1">
      <alignment horizontal="left" vertical="center" indent="2"/>
      <protection hidden="1"/>
    </xf>
    <xf numFmtId="0" fontId="61" fillId="0" borderId="0" xfId="0" applyFont="1" applyAlignment="1" applyProtection="1">
      <alignment vertical="center"/>
      <protection hidden="1"/>
    </xf>
    <xf numFmtId="0" fontId="162" fillId="4" borderId="7" xfId="0" applyFont="1" applyFill="1" applyBorder="1" applyAlignment="1" applyProtection="1">
      <alignment vertical="center" wrapText="1"/>
      <protection hidden="1"/>
    </xf>
    <xf numFmtId="0" fontId="144" fillId="4" borderId="48" xfId="0" applyFont="1" applyFill="1" applyBorder="1" applyAlignment="1" applyProtection="1">
      <alignment horizontal="left" vertical="center" wrapText="1" indent="1"/>
      <protection locked="0"/>
    </xf>
    <xf numFmtId="0" fontId="144" fillId="4" borderId="1" xfId="0" applyFont="1" applyFill="1" applyBorder="1" applyAlignment="1" applyProtection="1">
      <alignment horizontal="left" vertical="center" wrapText="1" indent="1"/>
      <protection hidden="1"/>
    </xf>
    <xf numFmtId="0" fontId="6" fillId="4" borderId="1" xfId="0" applyFont="1" applyFill="1" applyBorder="1" applyAlignment="1" applyProtection="1">
      <alignment horizontal="left" vertical="center" indent="1"/>
      <protection hidden="1"/>
    </xf>
    <xf numFmtId="0" fontId="144" fillId="4" borderId="0" xfId="0" applyFont="1" applyFill="1" applyAlignment="1" applyProtection="1">
      <alignment vertical="center" wrapText="1"/>
      <protection locked="0"/>
    </xf>
    <xf numFmtId="0" fontId="176" fillId="5" borderId="52" xfId="0" applyFont="1" applyFill="1" applyBorder="1" applyAlignment="1" applyProtection="1">
      <alignment horizontal="left" vertical="center" indent="2"/>
      <protection hidden="1"/>
    </xf>
    <xf numFmtId="0" fontId="177" fillId="5" borderId="0" xfId="0" applyFont="1" applyFill="1" applyAlignment="1" applyProtection="1">
      <alignment horizontal="left" vertical="top"/>
      <protection hidden="1"/>
    </xf>
    <xf numFmtId="0" fontId="44" fillId="5" borderId="0" xfId="0" applyFont="1" applyFill="1" applyAlignment="1" applyProtection="1">
      <alignment horizontal="left" vertical="center" indent="6"/>
      <protection hidden="1"/>
    </xf>
    <xf numFmtId="0" fontId="9" fillId="5" borderId="0" xfId="0" applyFont="1" applyFill="1" applyAlignment="1" applyProtection="1">
      <alignment horizontal="left" indent="6"/>
      <protection hidden="1"/>
    </xf>
    <xf numFmtId="164" fontId="40" fillId="31" borderId="251" xfId="0" applyNumberFormat="1" applyFont="1" applyFill="1" applyBorder="1" applyAlignment="1" applyProtection="1">
      <alignment horizontal="center" vertical="center"/>
      <protection locked="0"/>
    </xf>
    <xf numFmtId="0" fontId="149" fillId="4" borderId="252" xfId="0" applyFont="1" applyFill="1" applyBorder="1" applyAlignment="1" applyProtection="1">
      <alignment horizontal="left" vertical="center"/>
      <protection locked="0"/>
    </xf>
    <xf numFmtId="0" fontId="179" fillId="4" borderId="48" xfId="0" applyFont="1" applyFill="1" applyBorder="1" applyAlignment="1" applyProtection="1">
      <alignment horizontal="right" vertical="center" wrapText="1"/>
      <protection hidden="1"/>
    </xf>
    <xf numFmtId="0" fontId="179" fillId="4" borderId="0" xfId="0" applyFont="1" applyFill="1" applyAlignment="1" applyProtection="1">
      <alignment horizontal="right" vertical="center" wrapText="1"/>
      <protection hidden="1"/>
    </xf>
    <xf numFmtId="0" fontId="0" fillId="0" borderId="63" xfId="0" applyBorder="1"/>
    <xf numFmtId="0" fontId="31" fillId="4" borderId="23" xfId="0" applyFont="1" applyFill="1" applyBorder="1" applyAlignment="1" applyProtection="1">
      <alignment horizontal="left" indent="1"/>
      <protection hidden="1"/>
    </xf>
    <xf numFmtId="0" fontId="31" fillId="4" borderId="38" xfId="0" applyFont="1" applyFill="1" applyBorder="1" applyAlignment="1" applyProtection="1">
      <alignment horizontal="left" vertical="top"/>
      <protection hidden="1"/>
    </xf>
    <xf numFmtId="0" fontId="0" fillId="4" borderId="38" xfId="0" applyFill="1" applyBorder="1" applyProtection="1">
      <protection hidden="1"/>
    </xf>
    <xf numFmtId="0" fontId="0" fillId="4" borderId="38" xfId="0" applyFill="1" applyBorder="1" applyAlignment="1" applyProtection="1">
      <alignment vertical="center"/>
      <protection hidden="1"/>
    </xf>
    <xf numFmtId="0" fontId="14" fillId="4" borderId="38" xfId="0" applyFont="1" applyFill="1" applyBorder="1" applyAlignment="1" applyProtection="1">
      <alignment vertical="center"/>
      <protection hidden="1"/>
    </xf>
    <xf numFmtId="0" fontId="31" fillId="5" borderId="253" xfId="0" applyFont="1" applyFill="1" applyBorder="1" applyAlignment="1" applyProtection="1">
      <alignment horizontal="left" indent="1"/>
      <protection hidden="1"/>
    </xf>
    <xf numFmtId="0" fontId="0" fillId="5" borderId="253" xfId="0" applyFill="1" applyBorder="1" applyAlignment="1" applyProtection="1">
      <alignment vertical="center"/>
      <protection hidden="1"/>
    </xf>
    <xf numFmtId="0" fontId="5" fillId="5" borderId="253" xfId="0" applyFont="1" applyFill="1" applyBorder="1" applyAlignment="1" applyProtection="1">
      <alignment vertical="center"/>
      <protection hidden="1"/>
    </xf>
    <xf numFmtId="0" fontId="12" fillId="5" borderId="253" xfId="0" applyFont="1" applyFill="1" applyBorder="1" applyAlignment="1" applyProtection="1">
      <alignment vertical="center"/>
      <protection hidden="1"/>
    </xf>
    <xf numFmtId="0" fontId="12" fillId="5" borderId="253" xfId="0" applyFont="1" applyFill="1" applyBorder="1" applyProtection="1">
      <protection hidden="1"/>
    </xf>
    <xf numFmtId="164" fontId="4" fillId="0" borderId="104" xfId="0" applyNumberFormat="1" applyFont="1" applyBorder="1" applyAlignment="1">
      <alignment vertical="top"/>
    </xf>
    <xf numFmtId="0" fontId="31" fillId="4" borderId="19" xfId="0" applyFont="1" applyFill="1" applyBorder="1" applyAlignment="1" applyProtection="1">
      <alignment horizontal="left" vertical="top"/>
      <protection hidden="1"/>
    </xf>
    <xf numFmtId="0" fontId="10" fillId="4" borderId="20" xfId="0" applyFont="1" applyFill="1" applyBorder="1" applyProtection="1">
      <protection hidden="1"/>
    </xf>
    <xf numFmtId="0" fontId="31" fillId="4" borderId="20" xfId="0" applyFont="1" applyFill="1" applyBorder="1" applyAlignment="1" applyProtection="1">
      <alignment horizontal="left" indent="1"/>
      <protection hidden="1"/>
    </xf>
    <xf numFmtId="0" fontId="1" fillId="4" borderId="20" xfId="0" applyFont="1" applyFill="1" applyBorder="1" applyProtection="1">
      <protection hidden="1"/>
    </xf>
    <xf numFmtId="0" fontId="28" fillId="4" borderId="20" xfId="0" applyFont="1" applyFill="1" applyBorder="1" applyAlignment="1" applyProtection="1">
      <alignment horizontal="left" vertical="center" indent="1"/>
      <protection hidden="1"/>
    </xf>
    <xf numFmtId="0" fontId="31" fillId="4" borderId="20" xfId="0" applyFont="1" applyFill="1" applyBorder="1" applyAlignment="1" applyProtection="1">
      <alignment horizontal="left" vertical="top"/>
      <protection hidden="1"/>
    </xf>
    <xf numFmtId="0" fontId="31" fillId="4" borderId="20" xfId="0" applyFont="1" applyFill="1" applyBorder="1" applyAlignment="1" applyProtection="1">
      <alignment horizontal="left" vertical="center"/>
      <protection hidden="1"/>
    </xf>
    <xf numFmtId="0" fontId="31" fillId="4" borderId="21" xfId="0" applyFont="1" applyFill="1" applyBorder="1" applyAlignment="1" applyProtection="1">
      <alignment horizontal="center" vertical="center"/>
      <protection hidden="1"/>
    </xf>
    <xf numFmtId="0" fontId="0" fillId="0" borderId="23" xfId="0" applyBorder="1" applyAlignment="1" applyProtection="1">
      <alignment vertical="center"/>
      <protection hidden="1"/>
    </xf>
    <xf numFmtId="0" fontId="17" fillId="4" borderId="23" xfId="0" applyFont="1" applyFill="1" applyBorder="1" applyAlignment="1" applyProtection="1">
      <alignment horizontal="left" vertical="center" indent="1"/>
      <protection hidden="1"/>
    </xf>
    <xf numFmtId="0" fontId="47" fillId="4" borderId="22" xfId="0" applyFont="1" applyFill="1" applyBorder="1" applyAlignment="1" applyProtection="1">
      <alignment horizontal="left"/>
      <protection hidden="1"/>
    </xf>
    <xf numFmtId="3" fontId="19" fillId="4" borderId="0" xfId="0" applyNumberFormat="1" applyFont="1" applyFill="1" applyAlignment="1" applyProtection="1">
      <alignment vertical="center"/>
      <protection hidden="1"/>
    </xf>
    <xf numFmtId="0" fontId="17" fillId="4" borderId="22" xfId="0" applyFont="1" applyFill="1" applyBorder="1" applyAlignment="1" applyProtection="1">
      <alignment horizontal="left" vertical="center" indent="1"/>
      <protection hidden="1"/>
    </xf>
    <xf numFmtId="3" fontId="19" fillId="4" borderId="22" xfId="0" applyNumberFormat="1" applyFont="1" applyFill="1" applyBorder="1" applyAlignment="1" applyProtection="1">
      <alignment vertical="center"/>
      <protection hidden="1"/>
    </xf>
    <xf numFmtId="0" fontId="14" fillId="4" borderId="23" xfId="0" applyFont="1" applyFill="1" applyBorder="1" applyAlignment="1" applyProtection="1">
      <alignment horizontal="right" vertical="center"/>
      <protection hidden="1"/>
    </xf>
    <xf numFmtId="0" fontId="10" fillId="37" borderId="44" xfId="0" applyFont="1" applyFill="1" applyBorder="1" applyProtection="1">
      <protection hidden="1"/>
    </xf>
    <xf numFmtId="0" fontId="31" fillId="37" borderId="44" xfId="0" applyFont="1" applyFill="1" applyBorder="1" applyAlignment="1" applyProtection="1">
      <alignment horizontal="left" indent="1"/>
      <protection hidden="1"/>
    </xf>
    <xf numFmtId="0" fontId="1" fillId="37" borderId="44" xfId="0" applyFont="1" applyFill="1" applyBorder="1" applyProtection="1">
      <protection hidden="1"/>
    </xf>
    <xf numFmtId="0" fontId="12" fillId="37" borderId="44" xfId="0" applyFont="1" applyFill="1" applyBorder="1" applyProtection="1">
      <protection hidden="1"/>
    </xf>
    <xf numFmtId="0" fontId="28" fillId="37" borderId="44" xfId="0" applyFont="1" applyFill="1" applyBorder="1" applyAlignment="1" applyProtection="1">
      <alignment horizontal="left" vertical="center" indent="1"/>
      <protection hidden="1"/>
    </xf>
    <xf numFmtId="0" fontId="31" fillId="37" borderId="44" xfId="0" applyFont="1" applyFill="1" applyBorder="1" applyAlignment="1" applyProtection="1">
      <alignment horizontal="left" vertical="top"/>
      <protection hidden="1"/>
    </xf>
    <xf numFmtId="0" fontId="31" fillId="37" borderId="44" xfId="0" applyFont="1" applyFill="1" applyBorder="1" applyAlignment="1" applyProtection="1">
      <alignment horizontal="left" vertical="center"/>
      <protection hidden="1"/>
    </xf>
    <xf numFmtId="0" fontId="0" fillId="37" borderId="43" xfId="0" applyFill="1" applyBorder="1" applyProtection="1">
      <protection hidden="1"/>
    </xf>
    <xf numFmtId="0" fontId="28" fillId="37" borderId="44" xfId="0" applyFont="1" applyFill="1" applyBorder="1" applyAlignment="1" applyProtection="1">
      <alignment horizontal="left" vertical="top" indent="3"/>
      <protection hidden="1"/>
    </xf>
    <xf numFmtId="0" fontId="31" fillId="37" borderId="44" xfId="0" applyFont="1" applyFill="1" applyBorder="1" applyAlignment="1" applyProtection="1">
      <alignment horizontal="center" vertical="center"/>
      <protection hidden="1"/>
    </xf>
    <xf numFmtId="0" fontId="10" fillId="37" borderId="43" xfId="0" applyFont="1" applyFill="1" applyBorder="1" applyProtection="1">
      <protection hidden="1"/>
    </xf>
    <xf numFmtId="0" fontId="1" fillId="10" borderId="0" xfId="0" applyFont="1" applyFill="1" applyAlignment="1" applyProtection="1">
      <alignment vertical="center"/>
      <protection hidden="1"/>
    </xf>
    <xf numFmtId="0" fontId="0" fillId="4" borderId="233" xfId="0" applyFill="1" applyBorder="1"/>
    <xf numFmtId="0" fontId="140" fillId="9" borderId="0" xfId="0" applyFont="1" applyFill="1" applyProtection="1">
      <protection hidden="1"/>
    </xf>
    <xf numFmtId="0" fontId="191" fillId="9" borderId="0" xfId="0" applyFont="1" applyFill="1" applyAlignment="1" applyProtection="1">
      <alignment horizontal="right" vertical="center"/>
      <protection hidden="1"/>
    </xf>
    <xf numFmtId="0" fontId="140" fillId="9" borderId="0" xfId="0" applyFont="1" applyFill="1" applyAlignment="1" applyProtection="1">
      <alignment horizontal="right"/>
      <protection hidden="1"/>
    </xf>
    <xf numFmtId="0" fontId="192" fillId="9" borderId="0" xfId="0" applyFont="1" applyFill="1" applyAlignment="1" applyProtection="1">
      <alignment vertical="top"/>
      <protection hidden="1"/>
    </xf>
    <xf numFmtId="0" fontId="193" fillId="9" borderId="0" xfId="0" applyFont="1" applyFill="1" applyAlignment="1" applyProtection="1">
      <alignment horizontal="right" vertical="top"/>
      <protection hidden="1"/>
    </xf>
    <xf numFmtId="0" fontId="194" fillId="37" borderId="42" xfId="0" applyFont="1" applyFill="1" applyBorder="1" applyAlignment="1" applyProtection="1">
      <alignment horizontal="left" vertical="center" indent="1"/>
      <protection hidden="1"/>
    </xf>
    <xf numFmtId="0" fontId="51" fillId="23" borderId="5" xfId="0" applyFont="1" applyFill="1" applyBorder="1" applyAlignment="1" applyProtection="1">
      <alignment horizontal="left" vertical="center" wrapText="1" indent="1"/>
      <protection locked="0"/>
    </xf>
    <xf numFmtId="0" fontId="196" fillId="37" borderId="44" xfId="0" applyFont="1" applyFill="1" applyBorder="1" applyProtection="1">
      <protection hidden="1"/>
    </xf>
    <xf numFmtId="0" fontId="196" fillId="37" borderId="44" xfId="0" applyFont="1" applyFill="1" applyBorder="1" applyAlignment="1" applyProtection="1">
      <alignment horizontal="left" vertical="top"/>
      <protection hidden="1"/>
    </xf>
    <xf numFmtId="0" fontId="196" fillId="37" borderId="44" xfId="0" applyFont="1" applyFill="1" applyBorder="1" applyAlignment="1" applyProtection="1">
      <alignment horizontal="left" vertical="center"/>
      <protection hidden="1"/>
    </xf>
    <xf numFmtId="0" fontId="196" fillId="37" borderId="44" xfId="0" applyFont="1" applyFill="1" applyBorder="1" applyAlignment="1" applyProtection="1">
      <alignment horizontal="center" vertical="center"/>
      <protection hidden="1"/>
    </xf>
    <xf numFmtId="0" fontId="196" fillId="37" borderId="44" xfId="0" applyFont="1" applyFill="1" applyBorder="1" applyAlignment="1" applyProtection="1">
      <alignment horizontal="left" indent="1"/>
      <protection hidden="1"/>
    </xf>
    <xf numFmtId="0" fontId="194" fillId="37" borderId="44" xfId="0" applyFont="1" applyFill="1" applyBorder="1" applyProtection="1">
      <protection hidden="1"/>
    </xf>
    <xf numFmtId="0" fontId="194" fillId="37" borderId="44" xfId="0" applyFont="1" applyFill="1" applyBorder="1" applyAlignment="1" applyProtection="1">
      <alignment horizontal="left" vertical="top" indent="3"/>
      <protection hidden="1"/>
    </xf>
    <xf numFmtId="0" fontId="194" fillId="37" borderId="43" xfId="0" applyFont="1" applyFill="1" applyBorder="1" applyAlignment="1" applyProtection="1">
      <alignment horizontal="left" vertical="top" indent="3"/>
      <protection hidden="1"/>
    </xf>
    <xf numFmtId="0" fontId="10" fillId="0" borderId="0" xfId="0" applyFont="1" applyProtection="1">
      <protection hidden="1"/>
    </xf>
    <xf numFmtId="0" fontId="126" fillId="4" borderId="0" xfId="0" applyFont="1" applyFill="1" applyAlignment="1" applyProtection="1">
      <alignment horizontal="left" vertical="center"/>
      <protection hidden="1"/>
    </xf>
    <xf numFmtId="0" fontId="126" fillId="4" borderId="22" xfId="0" applyFont="1" applyFill="1" applyBorder="1" applyAlignment="1" applyProtection="1">
      <alignment horizontal="left" vertical="center" indent="1"/>
      <protection hidden="1"/>
    </xf>
    <xf numFmtId="0" fontId="64" fillId="4" borderId="0" xfId="0" applyFont="1" applyFill="1" applyAlignment="1" applyProtection="1">
      <alignment vertical="center" wrapText="1"/>
      <protection hidden="1"/>
    </xf>
    <xf numFmtId="0" fontId="130" fillId="0" borderId="173" xfId="0" applyFont="1" applyBorder="1" applyAlignment="1" applyProtection="1">
      <alignment vertical="center"/>
      <protection hidden="1"/>
    </xf>
    <xf numFmtId="0" fontId="130" fillId="0" borderId="145" xfId="0" applyFont="1" applyBorder="1" applyAlignment="1" applyProtection="1">
      <alignment vertical="center"/>
      <protection hidden="1"/>
    </xf>
    <xf numFmtId="0" fontId="14" fillId="4" borderId="255" xfId="0" applyFont="1" applyFill="1" applyBorder="1" applyAlignment="1" applyProtection="1">
      <alignment horizontal="right" wrapText="1"/>
      <protection hidden="1"/>
    </xf>
    <xf numFmtId="0" fontId="0" fillId="0" borderId="254" xfId="0" applyBorder="1" applyProtection="1">
      <protection hidden="1"/>
    </xf>
    <xf numFmtId="0" fontId="131" fillId="0" borderId="256" xfId="0" applyFont="1" applyBorder="1" applyProtection="1">
      <protection hidden="1"/>
    </xf>
    <xf numFmtId="0" fontId="131" fillId="0" borderId="257" xfId="0" applyFont="1" applyBorder="1" applyProtection="1">
      <protection hidden="1"/>
    </xf>
    <xf numFmtId="0" fontId="16" fillId="4" borderId="0" xfId="0" applyFont="1" applyFill="1" applyAlignment="1" applyProtection="1">
      <alignment horizontal="left" vertical="center"/>
      <protection hidden="1"/>
    </xf>
    <xf numFmtId="0" fontId="15" fillId="4" borderId="173" xfId="0" applyFont="1" applyFill="1" applyBorder="1" applyAlignment="1" applyProtection="1">
      <alignment horizontal="left" vertical="center" indent="1"/>
      <protection hidden="1"/>
    </xf>
    <xf numFmtId="0" fontId="15" fillId="4" borderId="145" xfId="0" applyFont="1" applyFill="1" applyBorder="1" applyAlignment="1" applyProtection="1">
      <alignment horizontal="left" vertical="center" indent="1"/>
      <protection hidden="1"/>
    </xf>
    <xf numFmtId="0" fontId="24" fillId="4" borderId="23" xfId="0" applyFont="1" applyFill="1" applyBorder="1" applyAlignment="1" applyProtection="1">
      <alignment horizontal="left" vertical="center" wrapText="1" indent="3"/>
      <protection hidden="1"/>
    </xf>
    <xf numFmtId="0" fontId="15" fillId="4" borderId="23" xfId="0" applyFont="1" applyFill="1" applyBorder="1" applyAlignment="1" applyProtection="1">
      <alignment horizontal="left" indent="4"/>
      <protection hidden="1"/>
    </xf>
    <xf numFmtId="0" fontId="48" fillId="4" borderId="22" xfId="0" applyFont="1" applyFill="1" applyBorder="1" applyAlignment="1" applyProtection="1">
      <alignment vertical="center" wrapText="1"/>
      <protection hidden="1"/>
    </xf>
    <xf numFmtId="0" fontId="14" fillId="4" borderId="22" xfId="0" applyFont="1" applyFill="1" applyBorder="1" applyAlignment="1" applyProtection="1">
      <alignment wrapText="1"/>
      <protection hidden="1"/>
    </xf>
    <xf numFmtId="0" fontId="5" fillId="0" borderId="22" xfId="0" applyFont="1" applyBorder="1" applyProtection="1">
      <protection hidden="1"/>
    </xf>
    <xf numFmtId="0" fontId="5" fillId="0" borderId="22" xfId="0" applyFont="1" applyBorder="1" applyAlignment="1" applyProtection="1">
      <alignment vertical="center"/>
      <protection hidden="1"/>
    </xf>
    <xf numFmtId="0" fontId="24" fillId="4" borderId="131" xfId="0" applyFont="1" applyFill="1" applyBorder="1" applyAlignment="1" applyProtection="1">
      <alignment horizontal="left" vertical="center" wrapText="1" indent="1"/>
      <protection hidden="1"/>
    </xf>
    <xf numFmtId="0" fontId="24" fillId="4" borderId="258" xfId="0" applyFont="1" applyFill="1" applyBorder="1" applyAlignment="1" applyProtection="1">
      <alignment horizontal="left" vertical="center" wrapText="1" indent="1"/>
      <protection hidden="1"/>
    </xf>
    <xf numFmtId="0" fontId="29" fillId="5" borderId="27" xfId="0" applyFont="1" applyFill="1" applyBorder="1" applyAlignment="1" applyProtection="1">
      <alignment horizontal="left" vertical="top" indent="1"/>
      <protection hidden="1"/>
    </xf>
    <xf numFmtId="0" fontId="14" fillId="5" borderId="27" xfId="0" applyFont="1" applyFill="1" applyBorder="1" applyAlignment="1" applyProtection="1">
      <alignment wrapText="1"/>
      <protection hidden="1"/>
    </xf>
    <xf numFmtId="0" fontId="48" fillId="0" borderId="0" xfId="0" applyFont="1" applyAlignment="1" applyProtection="1">
      <alignment vertical="center" wrapText="1"/>
      <protection hidden="1"/>
    </xf>
    <xf numFmtId="0" fontId="0" fillId="4" borderId="131" xfId="0" applyFill="1" applyBorder="1" applyProtection="1">
      <protection hidden="1"/>
    </xf>
    <xf numFmtId="0" fontId="13" fillId="4" borderId="0" xfId="0" applyFont="1" applyFill="1" applyAlignment="1" applyProtection="1">
      <alignment vertical="top"/>
      <protection hidden="1"/>
    </xf>
    <xf numFmtId="0" fontId="133" fillId="4" borderId="0" xfId="0" applyFont="1" applyFill="1" applyAlignment="1" applyProtection="1">
      <alignment vertical="center"/>
      <protection hidden="1"/>
    </xf>
    <xf numFmtId="0" fontId="144" fillId="23" borderId="182" xfId="0" applyFont="1" applyFill="1" applyBorder="1" applyAlignment="1" applyProtection="1">
      <alignment horizontal="left" vertical="top" wrapText="1" indent="1"/>
      <protection locked="0"/>
    </xf>
    <xf numFmtId="0" fontId="14" fillId="4" borderId="259" xfId="0" applyFont="1" applyFill="1" applyBorder="1" applyProtection="1">
      <protection hidden="1"/>
    </xf>
    <xf numFmtId="0" fontId="14" fillId="4" borderId="260" xfId="0" applyFont="1" applyFill="1" applyBorder="1" applyProtection="1">
      <protection hidden="1"/>
    </xf>
    <xf numFmtId="0" fontId="70" fillId="4" borderId="261" xfId="0" applyFont="1" applyFill="1" applyBorder="1" applyAlignment="1" applyProtection="1">
      <alignment vertical="center"/>
      <protection hidden="1"/>
    </xf>
    <xf numFmtId="0" fontId="80" fillId="4" borderId="0" xfId="0" applyFont="1" applyFill="1" applyAlignment="1" applyProtection="1">
      <alignment vertical="center"/>
      <protection hidden="1"/>
    </xf>
    <xf numFmtId="0" fontId="0" fillId="0" borderId="261" xfId="0" applyBorder="1" applyAlignment="1" applyProtection="1">
      <alignment vertical="center"/>
      <protection hidden="1"/>
    </xf>
    <xf numFmtId="0" fontId="199" fillId="0" borderId="0" xfId="0" applyFont="1" applyAlignment="1" applyProtection="1">
      <alignment horizontal="right" vertical="center"/>
      <protection hidden="1"/>
    </xf>
    <xf numFmtId="0" fontId="26" fillId="4" borderId="20" xfId="0" applyFont="1" applyFill="1" applyBorder="1" applyProtection="1">
      <protection hidden="1"/>
    </xf>
    <xf numFmtId="0" fontId="84" fillId="0" borderId="0" xfId="0" applyFont="1" applyProtection="1">
      <protection hidden="1"/>
    </xf>
    <xf numFmtId="0" fontId="76" fillId="0" borderId="0" xfId="0" applyFont="1" applyProtection="1">
      <protection hidden="1"/>
    </xf>
    <xf numFmtId="0" fontId="84" fillId="0" borderId="0" xfId="0" applyFont="1" applyAlignment="1" applyProtection="1">
      <alignment horizontal="left" vertical="top" indent="1"/>
      <protection hidden="1"/>
    </xf>
    <xf numFmtId="0" fontId="84" fillId="0" borderId="0" xfId="0" applyFont="1" applyAlignment="1" applyProtection="1">
      <alignment vertical="center"/>
      <protection hidden="1"/>
    </xf>
    <xf numFmtId="0" fontId="26" fillId="4" borderId="19" xfId="0" applyFont="1" applyFill="1" applyBorder="1" applyProtection="1">
      <protection hidden="1"/>
    </xf>
    <xf numFmtId="0" fontId="76" fillId="0" borderId="0" xfId="0" applyFont="1" applyAlignment="1" applyProtection="1">
      <alignment horizontal="center"/>
      <protection hidden="1"/>
    </xf>
    <xf numFmtId="0" fontId="84" fillId="4" borderId="22" xfId="0" applyFont="1" applyFill="1" applyBorder="1" applyAlignment="1" applyProtection="1">
      <alignment horizontal="left" vertical="center"/>
      <protection hidden="1"/>
    </xf>
    <xf numFmtId="0" fontId="84" fillId="0" borderId="22" xfId="0" applyFont="1" applyBorder="1" applyAlignment="1" applyProtection="1">
      <alignment horizontal="left" vertical="top" indent="2"/>
      <protection hidden="1"/>
    </xf>
    <xf numFmtId="0" fontId="200" fillId="5" borderId="0" xfId="0" applyFont="1" applyFill="1" applyAlignment="1" applyProtection="1">
      <alignment vertical="center" wrapText="1"/>
      <protection hidden="1"/>
    </xf>
    <xf numFmtId="0" fontId="1" fillId="5" borderId="0" xfId="0" applyFont="1" applyFill="1" applyAlignment="1" applyProtection="1">
      <alignment horizontal="right" vertical="center" wrapText="1"/>
      <protection hidden="1"/>
    </xf>
    <xf numFmtId="0" fontId="3" fillId="33" borderId="56" xfId="0" applyFont="1" applyFill="1" applyBorder="1" applyAlignment="1" applyProtection="1">
      <alignment vertical="center" wrapText="1"/>
      <protection hidden="1"/>
    </xf>
    <xf numFmtId="0" fontId="3" fillId="33" borderId="55" xfId="0" applyFont="1" applyFill="1" applyBorder="1" applyAlignment="1" applyProtection="1">
      <alignment vertical="center" wrapText="1"/>
      <protection hidden="1"/>
    </xf>
    <xf numFmtId="0" fontId="3" fillId="33" borderId="57" xfId="0" applyFont="1" applyFill="1" applyBorder="1" applyAlignment="1" applyProtection="1">
      <alignment vertical="center" wrapText="1"/>
      <protection hidden="1"/>
    </xf>
    <xf numFmtId="0" fontId="150" fillId="33" borderId="270" xfId="0" applyFont="1" applyFill="1" applyBorder="1" applyAlignment="1" applyProtection="1">
      <alignment horizontal="left" vertical="center" indent="1"/>
      <protection hidden="1"/>
    </xf>
    <xf numFmtId="0" fontId="35" fillId="4" borderId="272" xfId="0" applyFont="1" applyFill="1" applyBorder="1" applyAlignment="1" applyProtection="1">
      <alignment horizontal="left" vertical="center" indent="1"/>
      <protection hidden="1"/>
    </xf>
    <xf numFmtId="0" fontId="5" fillId="4" borderId="276" xfId="0" applyFont="1" applyFill="1" applyBorder="1" applyAlignment="1" applyProtection="1">
      <alignment horizontal="left" vertical="center" indent="1"/>
      <protection hidden="1"/>
    </xf>
    <xf numFmtId="0" fontId="35" fillId="4" borderId="283" xfId="0" applyFont="1" applyFill="1" applyBorder="1" applyAlignment="1" applyProtection="1">
      <alignment horizontal="left" vertical="center" indent="1"/>
      <protection hidden="1"/>
    </xf>
    <xf numFmtId="0" fontId="150" fillId="33" borderId="52" xfId="0" applyFont="1" applyFill="1" applyBorder="1" applyAlignment="1" applyProtection="1">
      <alignment horizontal="left" vertical="center" indent="1"/>
      <protection hidden="1"/>
    </xf>
    <xf numFmtId="164" fontId="151" fillId="33" borderId="289" xfId="0" applyNumberFormat="1" applyFont="1" applyFill="1" applyBorder="1" applyAlignment="1">
      <alignment horizontal="center" vertical="center"/>
    </xf>
    <xf numFmtId="164" fontId="151" fillId="33" borderId="290" xfId="0" applyNumberFormat="1" applyFont="1" applyFill="1" applyBorder="1" applyAlignment="1">
      <alignment horizontal="center" vertical="center"/>
    </xf>
    <xf numFmtId="164" fontId="151" fillId="33" borderId="291" xfId="0" applyNumberFormat="1" applyFont="1" applyFill="1" applyBorder="1" applyAlignment="1">
      <alignment horizontal="center" vertical="center"/>
    </xf>
    <xf numFmtId="0" fontId="0" fillId="0" borderId="8" xfId="0" applyBorder="1" applyAlignment="1">
      <alignment horizontal="left"/>
    </xf>
    <xf numFmtId="164" fontId="4" fillId="0" borderId="8" xfId="0" applyNumberFormat="1" applyFont="1" applyBorder="1"/>
    <xf numFmtId="164" fontId="5" fillId="0" borderId="8" xfId="0" applyNumberFormat="1" applyFont="1" applyBorder="1"/>
    <xf numFmtId="164" fontId="0" fillId="0" borderId="8" xfId="0" applyNumberFormat="1" applyBorder="1"/>
    <xf numFmtId="0" fontId="0" fillId="0" borderId="2" xfId="0" applyBorder="1" applyAlignment="1">
      <alignment horizontal="left"/>
    </xf>
    <xf numFmtId="164" fontId="5" fillId="0" borderId="2" xfId="0" applyNumberFormat="1" applyFont="1" applyBorder="1"/>
    <xf numFmtId="164" fontId="0" fillId="0" borderId="2" xfId="0" applyNumberFormat="1" applyBorder="1"/>
    <xf numFmtId="0" fontId="0" fillId="0" borderId="48" xfId="0" applyBorder="1" applyAlignment="1">
      <alignment vertical="center"/>
    </xf>
    <xf numFmtId="164" fontId="40" fillId="31" borderId="148" xfId="0" applyNumberFormat="1" applyFont="1" applyFill="1" applyBorder="1" applyAlignment="1" applyProtection="1">
      <alignment horizontal="center" vertical="center"/>
      <protection locked="0"/>
    </xf>
    <xf numFmtId="164" fontId="40" fillId="31" borderId="149" xfId="0" applyNumberFormat="1" applyFont="1" applyFill="1" applyBorder="1" applyAlignment="1" applyProtection="1">
      <alignment horizontal="center" vertical="center"/>
      <protection locked="0"/>
    </xf>
    <xf numFmtId="164" fontId="40" fillId="31" borderId="150" xfId="0" applyNumberFormat="1" applyFont="1" applyFill="1" applyBorder="1" applyAlignment="1" applyProtection="1">
      <alignment horizontal="center" vertical="center"/>
      <protection locked="0"/>
    </xf>
    <xf numFmtId="164" fontId="40" fillId="31" borderId="294" xfId="0" applyNumberFormat="1" applyFont="1" applyFill="1" applyBorder="1" applyAlignment="1" applyProtection="1">
      <alignment horizontal="center" vertical="center"/>
      <protection locked="0"/>
    </xf>
    <xf numFmtId="164" fontId="40" fillId="31" borderId="295" xfId="0" applyNumberFormat="1" applyFont="1" applyFill="1" applyBorder="1" applyAlignment="1" applyProtection="1">
      <alignment horizontal="center" vertical="center"/>
      <protection locked="0"/>
    </xf>
    <xf numFmtId="164" fontId="40" fillId="31" borderId="296" xfId="0" applyNumberFormat="1" applyFont="1" applyFill="1" applyBorder="1" applyAlignment="1" applyProtection="1">
      <alignment horizontal="center" vertical="center"/>
      <protection locked="0"/>
    </xf>
    <xf numFmtId="164" fontId="40" fillId="31" borderId="297" xfId="0" applyNumberFormat="1" applyFont="1" applyFill="1" applyBorder="1" applyAlignment="1" applyProtection="1">
      <alignment horizontal="center" vertical="center"/>
      <protection locked="0"/>
    </xf>
    <xf numFmtId="164" fontId="80" fillId="4" borderId="32" xfId="0" applyNumberFormat="1" applyFont="1" applyFill="1" applyBorder="1" applyAlignment="1" applyProtection="1">
      <alignment vertical="center"/>
      <protection hidden="1"/>
    </xf>
    <xf numFmtId="164" fontId="80" fillId="4" borderId="31" xfId="0" applyNumberFormat="1" applyFont="1" applyFill="1" applyBorder="1" applyAlignment="1" applyProtection="1">
      <alignment vertical="center"/>
      <protection hidden="1"/>
    </xf>
    <xf numFmtId="164" fontId="80" fillId="4" borderId="30" xfId="0" applyNumberFormat="1" applyFont="1" applyFill="1" applyBorder="1" applyAlignment="1" applyProtection="1">
      <alignment vertical="center"/>
      <protection hidden="1"/>
    </xf>
    <xf numFmtId="164" fontId="80" fillId="4" borderId="28" xfId="0" applyNumberFormat="1" applyFont="1" applyFill="1" applyBorder="1" applyAlignment="1" applyProtection="1">
      <alignment vertical="center"/>
      <protection hidden="1"/>
    </xf>
    <xf numFmtId="164" fontId="80" fillId="4" borderId="29" xfId="0" applyNumberFormat="1" applyFont="1" applyFill="1" applyBorder="1" applyAlignment="1" applyProtection="1">
      <alignment vertical="center"/>
      <protection hidden="1"/>
    </xf>
    <xf numFmtId="164" fontId="80" fillId="4" borderId="33" xfId="0" applyNumberFormat="1" applyFont="1" applyFill="1" applyBorder="1" applyAlignment="1" applyProtection="1">
      <alignment vertical="center"/>
      <protection hidden="1"/>
    </xf>
    <xf numFmtId="164" fontId="75" fillId="4" borderId="0" xfId="0" applyNumberFormat="1" applyFont="1" applyFill="1" applyAlignment="1" applyProtection="1">
      <alignment horizontal="right"/>
      <protection hidden="1"/>
    </xf>
    <xf numFmtId="0" fontId="75" fillId="4" borderId="0" xfId="0" applyFont="1" applyFill="1" applyAlignment="1" applyProtection="1">
      <alignment horizontal="right"/>
      <protection hidden="1"/>
    </xf>
    <xf numFmtId="0" fontId="0" fillId="0" borderId="0" xfId="0" applyAlignment="1" applyProtection="1">
      <alignment horizontal="right"/>
      <protection hidden="1"/>
    </xf>
    <xf numFmtId="0" fontId="0" fillId="0" borderId="0" xfId="0" applyAlignment="1" applyProtection="1">
      <alignment horizontal="right" indent="1"/>
      <protection hidden="1"/>
    </xf>
    <xf numFmtId="0" fontId="75" fillId="4" borderId="0" xfId="0" applyFont="1" applyFill="1" applyAlignment="1" applyProtection="1">
      <alignment horizontal="right" indent="2"/>
      <protection hidden="1"/>
    </xf>
    <xf numFmtId="164" fontId="75" fillId="4" borderId="0" xfId="0" applyNumberFormat="1" applyFont="1" applyFill="1" applyAlignment="1" applyProtection="1">
      <alignment horizontal="right" indent="2"/>
      <protection hidden="1"/>
    </xf>
    <xf numFmtId="164" fontId="75" fillId="4" borderId="0" xfId="0" applyNumberFormat="1" applyFont="1" applyFill="1" applyAlignment="1" applyProtection="1">
      <alignment horizontal="right" vertical="center" indent="2"/>
      <protection hidden="1"/>
    </xf>
    <xf numFmtId="164" fontId="75" fillId="4" borderId="0" xfId="0" applyNumberFormat="1" applyFont="1" applyFill="1" applyAlignment="1" applyProtection="1">
      <alignment horizontal="right" vertical="center"/>
      <protection hidden="1"/>
    </xf>
    <xf numFmtId="0" fontId="211" fillId="0" borderId="0" xfId="0" applyFont="1" applyProtection="1">
      <protection hidden="1"/>
    </xf>
    <xf numFmtId="0" fontId="210" fillId="4" borderId="0" xfId="0" applyFont="1" applyFill="1" applyAlignment="1" applyProtection="1">
      <alignment horizontal="right" indent="1"/>
      <protection hidden="1"/>
    </xf>
    <xf numFmtId="0" fontId="210" fillId="4" borderId="0" xfId="0" applyFont="1" applyFill="1" applyAlignment="1" applyProtection="1">
      <alignment horizontal="right"/>
      <protection hidden="1"/>
    </xf>
    <xf numFmtId="0" fontId="210" fillId="4" borderId="0" xfId="0" applyFont="1" applyFill="1" applyProtection="1">
      <protection hidden="1"/>
    </xf>
    <xf numFmtId="0" fontId="57" fillId="4" borderId="0" xfId="0" applyFont="1" applyFill="1" applyAlignment="1" applyProtection="1">
      <alignment horizontal="left" vertical="center" indent="1"/>
      <protection hidden="1"/>
    </xf>
    <xf numFmtId="0" fontId="32" fillId="4" borderId="32" xfId="0" applyFont="1" applyFill="1" applyBorder="1" applyAlignment="1" applyProtection="1">
      <alignment horizontal="left" vertical="top"/>
      <protection hidden="1"/>
    </xf>
    <xf numFmtId="0" fontId="32" fillId="4" borderId="31" xfId="0" applyFont="1" applyFill="1" applyBorder="1" applyAlignment="1" applyProtection="1">
      <alignment horizontal="left" vertical="top"/>
      <protection hidden="1"/>
    </xf>
    <xf numFmtId="164" fontId="57" fillId="4" borderId="0" xfId="0" applyNumberFormat="1" applyFont="1" applyFill="1" applyAlignment="1" applyProtection="1">
      <alignment horizontal="left" vertical="top" indent="1"/>
      <protection hidden="1"/>
    </xf>
    <xf numFmtId="0" fontId="32" fillId="4" borderId="30" xfId="0" applyFont="1" applyFill="1" applyBorder="1" applyAlignment="1" applyProtection="1">
      <alignment horizontal="left" vertical="top"/>
      <protection hidden="1"/>
    </xf>
    <xf numFmtId="0" fontId="32" fillId="4" borderId="28" xfId="0" applyFont="1" applyFill="1" applyBorder="1" applyAlignment="1" applyProtection="1">
      <alignment horizontal="left" vertical="top"/>
      <protection hidden="1"/>
    </xf>
    <xf numFmtId="0" fontId="32" fillId="4" borderId="29" xfId="0" applyFont="1" applyFill="1" applyBorder="1" applyAlignment="1" applyProtection="1">
      <alignment horizontal="left" vertical="top"/>
      <protection hidden="1"/>
    </xf>
    <xf numFmtId="164" fontId="57" fillId="4" borderId="0" xfId="0" applyNumberFormat="1" applyFont="1" applyFill="1" applyAlignment="1" applyProtection="1">
      <alignment horizontal="left" vertical="top"/>
      <protection hidden="1"/>
    </xf>
    <xf numFmtId="0" fontId="32" fillId="4" borderId="131" xfId="0" applyFont="1" applyFill="1" applyBorder="1" applyAlignment="1" applyProtection="1">
      <alignment horizontal="left" vertical="top"/>
      <protection hidden="1"/>
    </xf>
    <xf numFmtId="0" fontId="57" fillId="4" borderId="0" xfId="0" applyFont="1" applyFill="1" applyAlignment="1" applyProtection="1">
      <alignment horizontal="left" vertical="top"/>
      <protection hidden="1"/>
    </xf>
    <xf numFmtId="0" fontId="14" fillId="4" borderId="259" xfId="0" applyFont="1" applyFill="1" applyBorder="1" applyAlignment="1" applyProtection="1">
      <alignment horizontal="right" wrapText="1"/>
      <protection hidden="1"/>
    </xf>
    <xf numFmtId="0" fontId="14" fillId="4" borderId="254" xfId="0" applyFont="1" applyFill="1" applyBorder="1" applyProtection="1">
      <protection hidden="1"/>
    </xf>
    <xf numFmtId="0" fontId="130" fillId="0" borderId="256" xfId="0" applyFont="1" applyBorder="1" applyAlignment="1" applyProtection="1">
      <alignment horizontal="left" vertical="center" indent="2"/>
      <protection hidden="1"/>
    </xf>
    <xf numFmtId="0" fontId="130" fillId="0" borderId="257" xfId="0" applyFont="1" applyBorder="1" applyAlignment="1" applyProtection="1">
      <alignment horizontal="left" vertical="center" indent="2"/>
      <protection hidden="1"/>
    </xf>
    <xf numFmtId="0" fontId="130" fillId="0" borderId="298" xfId="0" applyFont="1" applyBorder="1" applyAlignment="1" applyProtection="1">
      <alignment horizontal="left" vertical="center" indent="3"/>
      <protection hidden="1"/>
    </xf>
    <xf numFmtId="0" fontId="130" fillId="0" borderId="299" xfId="0" applyFont="1" applyBorder="1" applyAlignment="1" applyProtection="1">
      <alignment horizontal="left" vertical="center" indent="3"/>
      <protection hidden="1"/>
    </xf>
    <xf numFmtId="0" fontId="0" fillId="0" borderId="8" xfId="0" applyBorder="1"/>
    <xf numFmtId="0" fontId="14" fillId="4" borderId="94" xfId="0" applyFont="1" applyFill="1" applyBorder="1" applyProtection="1">
      <protection hidden="1"/>
    </xf>
    <xf numFmtId="0" fontId="64" fillId="4" borderId="7" xfId="0" applyFont="1" applyFill="1" applyBorder="1" applyAlignment="1" applyProtection="1">
      <alignment horizontal="left" vertical="center" indent="1"/>
      <protection hidden="1"/>
    </xf>
    <xf numFmtId="164" fontId="4" fillId="0" borderId="8" xfId="0" applyNumberFormat="1" applyFont="1" applyBorder="1" applyAlignment="1">
      <alignment horizontal="right"/>
    </xf>
    <xf numFmtId="164" fontId="182" fillId="4" borderId="22" xfId="0" applyNumberFormat="1" applyFont="1" applyFill="1" applyBorder="1" applyAlignment="1" applyProtection="1">
      <alignment horizontal="left" indent="2"/>
      <protection hidden="1"/>
    </xf>
    <xf numFmtId="0" fontId="29" fillId="4" borderId="0" xfId="0" applyFont="1" applyFill="1" applyAlignment="1" applyProtection="1">
      <alignment vertical="center"/>
      <protection hidden="1"/>
    </xf>
    <xf numFmtId="0" fontId="29" fillId="4" borderId="0" xfId="0" applyFont="1" applyFill="1" applyAlignment="1" applyProtection="1">
      <alignment horizontal="left" vertical="center" indent="1"/>
      <protection hidden="1"/>
    </xf>
    <xf numFmtId="0" fontId="29" fillId="4" borderId="22" xfId="0" applyFont="1" applyFill="1" applyBorder="1" applyAlignment="1" applyProtection="1">
      <alignment horizontal="left" vertical="center" indent="1"/>
      <protection hidden="1"/>
    </xf>
    <xf numFmtId="165" fontId="87" fillId="0" borderId="0" xfId="0" applyNumberFormat="1" applyFont="1" applyAlignment="1" applyProtection="1">
      <alignment horizontal="left"/>
      <protection hidden="1"/>
    </xf>
    <xf numFmtId="0" fontId="13" fillId="4" borderId="22" xfId="0" applyFont="1" applyFill="1" applyBorder="1" applyAlignment="1" applyProtection="1">
      <alignment vertical="top"/>
      <protection hidden="1"/>
    </xf>
    <xf numFmtId="0" fontId="17" fillId="4" borderId="0" xfId="0" applyFont="1" applyFill="1" applyAlignment="1" applyProtection="1">
      <alignment horizontal="left" vertical="center"/>
      <protection hidden="1"/>
    </xf>
    <xf numFmtId="0" fontId="14" fillId="4" borderId="0" xfId="0" applyFont="1" applyFill="1" applyAlignment="1" applyProtection="1">
      <alignment horizontal="left" vertical="center" indent="1"/>
      <protection hidden="1"/>
    </xf>
    <xf numFmtId="0" fontId="0" fillId="0" borderId="262" xfId="0" applyBorder="1" applyProtection="1">
      <protection hidden="1"/>
    </xf>
    <xf numFmtId="0" fontId="14" fillId="4" borderId="262" xfId="0" applyFont="1" applyFill="1" applyBorder="1" applyAlignment="1" applyProtection="1">
      <alignment horizontal="left"/>
      <protection hidden="1"/>
    </xf>
    <xf numFmtId="0" fontId="70" fillId="4" borderId="262" xfId="0" applyFont="1" applyFill="1" applyBorder="1" applyAlignment="1" applyProtection="1">
      <alignment horizontal="left"/>
      <protection hidden="1"/>
    </xf>
    <xf numFmtId="0" fontId="130" fillId="0" borderId="262" xfId="0" applyFont="1" applyBorder="1" applyProtection="1">
      <protection hidden="1"/>
    </xf>
    <xf numFmtId="0" fontId="131" fillId="0" borderId="263" xfId="0" applyFont="1" applyBorder="1" applyProtection="1">
      <protection hidden="1"/>
    </xf>
    <xf numFmtId="0" fontId="130" fillId="0" borderId="263" xfId="0" applyFont="1" applyBorder="1" applyAlignment="1" applyProtection="1">
      <alignment horizontal="left"/>
      <protection hidden="1"/>
    </xf>
    <xf numFmtId="0" fontId="48" fillId="4" borderId="262" xfId="0" applyFont="1" applyFill="1" applyBorder="1" applyAlignment="1" applyProtection="1">
      <alignment horizontal="left" indent="1"/>
      <protection hidden="1"/>
    </xf>
    <xf numFmtId="0" fontId="130" fillId="0" borderId="300" xfId="0" applyFont="1" applyBorder="1" applyAlignment="1" applyProtection="1">
      <alignment horizontal="right"/>
      <protection hidden="1"/>
    </xf>
    <xf numFmtId="0" fontId="5" fillId="4" borderId="274" xfId="0" applyFont="1" applyFill="1" applyBorder="1" applyAlignment="1" applyProtection="1">
      <alignment horizontal="left" vertical="center" indent="1"/>
      <protection hidden="1"/>
    </xf>
    <xf numFmtId="0" fontId="5" fillId="4" borderId="118" xfId="0" applyFont="1" applyFill="1" applyBorder="1" applyAlignment="1" applyProtection="1">
      <alignment horizontal="left" vertical="center" indent="1"/>
      <protection hidden="1"/>
    </xf>
    <xf numFmtId="0" fontId="5" fillId="4" borderId="272" xfId="0" applyFont="1" applyFill="1" applyBorder="1" applyAlignment="1" applyProtection="1">
      <alignment horizontal="left" vertical="center" indent="1"/>
      <protection hidden="1"/>
    </xf>
    <xf numFmtId="0" fontId="218" fillId="0" borderId="0" xfId="0" applyFont="1" applyAlignment="1" applyProtection="1">
      <alignment horizontal="right"/>
      <protection hidden="1"/>
    </xf>
    <xf numFmtId="0" fontId="218" fillId="0" borderId="0" xfId="0" applyFont="1" applyAlignment="1" applyProtection="1">
      <alignment horizontal="right" indent="2"/>
      <protection hidden="1"/>
    </xf>
    <xf numFmtId="0" fontId="150" fillId="33" borderId="55" xfId="0" applyFont="1" applyFill="1" applyBorder="1" applyAlignment="1" applyProtection="1">
      <alignment horizontal="left" vertical="center" indent="1"/>
      <protection hidden="1"/>
    </xf>
    <xf numFmtId="0" fontId="150" fillId="33" borderId="249" xfId="0" applyFont="1" applyFill="1" applyBorder="1" applyAlignment="1" applyProtection="1">
      <alignment horizontal="right" vertical="center" indent="1"/>
      <protection hidden="1"/>
    </xf>
    <xf numFmtId="0" fontId="5" fillId="4" borderId="310" xfId="0" applyFont="1" applyFill="1" applyBorder="1" applyAlignment="1" applyProtection="1">
      <alignment horizontal="left" vertical="center" indent="1"/>
      <protection hidden="1"/>
    </xf>
    <xf numFmtId="0" fontId="5" fillId="4" borderId="52" xfId="0" applyFont="1" applyFill="1" applyBorder="1" applyAlignment="1" applyProtection="1">
      <alignment horizontal="left" vertical="center" indent="1"/>
      <protection hidden="1"/>
    </xf>
    <xf numFmtId="164" fontId="221" fillId="33" borderId="289" xfId="0" applyNumberFormat="1" applyFont="1" applyFill="1" applyBorder="1" applyAlignment="1">
      <alignment horizontal="center" vertical="center"/>
    </xf>
    <xf numFmtId="164" fontId="221" fillId="33" borderId="290" xfId="0" applyNumberFormat="1" applyFont="1" applyFill="1" applyBorder="1" applyAlignment="1">
      <alignment horizontal="center" vertical="center"/>
    </xf>
    <xf numFmtId="164" fontId="221" fillId="33" borderId="291" xfId="0" applyNumberFormat="1" applyFont="1" applyFill="1" applyBorder="1" applyAlignment="1">
      <alignment horizontal="center" vertical="center"/>
    </xf>
    <xf numFmtId="0" fontId="37" fillId="4" borderId="175" xfId="0" applyFont="1" applyFill="1" applyBorder="1" applyAlignment="1" applyProtection="1">
      <alignment horizontal="center" vertical="center"/>
      <protection hidden="1"/>
    </xf>
    <xf numFmtId="0" fontId="150" fillId="33" borderId="183" xfId="0" applyFont="1" applyFill="1" applyBorder="1" applyAlignment="1" applyProtection="1">
      <alignment horizontal="left" vertical="center" indent="1"/>
      <protection hidden="1"/>
    </xf>
    <xf numFmtId="0" fontId="150" fillId="33" borderId="285" xfId="0" applyFont="1" applyFill="1" applyBorder="1" applyAlignment="1" applyProtection="1">
      <alignment horizontal="left" vertical="center" indent="1"/>
      <protection hidden="1"/>
    </xf>
    <xf numFmtId="0" fontId="6" fillId="4" borderId="248" xfId="0" applyFont="1" applyFill="1" applyBorder="1" applyAlignment="1" applyProtection="1">
      <alignment horizontal="left" vertical="center" indent="1"/>
      <protection hidden="1"/>
    </xf>
    <xf numFmtId="0" fontId="150" fillId="33" borderId="56" xfId="0" applyFont="1" applyFill="1" applyBorder="1" applyAlignment="1" applyProtection="1">
      <alignment horizontal="left" vertical="center" indent="1"/>
      <protection hidden="1"/>
    </xf>
    <xf numFmtId="0" fontId="150" fillId="33" borderId="57" xfId="0" applyFont="1" applyFill="1" applyBorder="1" applyAlignment="1" applyProtection="1">
      <alignment horizontal="left" vertical="center" indent="1"/>
      <protection hidden="1"/>
    </xf>
    <xf numFmtId="0" fontId="95" fillId="4" borderId="321" xfId="0" applyFont="1" applyFill="1" applyBorder="1" applyAlignment="1" applyProtection="1">
      <alignment horizontal="center" vertical="center"/>
      <protection hidden="1"/>
    </xf>
    <xf numFmtId="0" fontId="37" fillId="4" borderId="322" xfId="0" applyFont="1" applyFill="1" applyBorder="1" applyAlignment="1" applyProtection="1">
      <alignment horizontal="center" vertical="center"/>
      <protection hidden="1"/>
    </xf>
    <xf numFmtId="0" fontId="37" fillId="4" borderId="323" xfId="0" applyFont="1" applyFill="1" applyBorder="1" applyAlignment="1" applyProtection="1">
      <alignment horizontal="center" vertical="center"/>
      <protection hidden="1"/>
    </xf>
    <xf numFmtId="164" fontId="40" fillId="4" borderId="174" xfId="0" applyNumberFormat="1" applyFont="1" applyFill="1" applyBorder="1" applyAlignment="1">
      <alignment horizontal="center" vertical="center"/>
    </xf>
    <xf numFmtId="164" fontId="40" fillId="4" borderId="221" xfId="0" applyNumberFormat="1" applyFont="1" applyFill="1" applyBorder="1" applyAlignment="1">
      <alignment horizontal="center" vertical="center"/>
    </xf>
    <xf numFmtId="0" fontId="6" fillId="4" borderId="326" xfId="0" applyFont="1" applyFill="1" applyBorder="1" applyAlignment="1" applyProtection="1">
      <alignment horizontal="left" vertical="center" indent="1"/>
      <protection hidden="1"/>
    </xf>
    <xf numFmtId="165" fontId="196" fillId="0" borderId="23" xfId="0" applyNumberFormat="1" applyFont="1" applyBorder="1" applyProtection="1">
      <protection hidden="1"/>
    </xf>
    <xf numFmtId="0" fontId="137" fillId="4" borderId="0" xfId="0" applyFont="1" applyFill="1" applyAlignment="1" applyProtection="1">
      <alignment horizontal="left"/>
      <protection hidden="1"/>
    </xf>
    <xf numFmtId="165" fontId="196" fillId="0" borderId="0" xfId="0" applyNumberFormat="1" applyFont="1" applyProtection="1">
      <protection hidden="1"/>
    </xf>
    <xf numFmtId="165" fontId="196" fillId="0" borderId="0" xfId="0" applyNumberFormat="1" applyFont="1" applyAlignment="1" applyProtection="1">
      <alignment horizontal="left"/>
      <protection hidden="1"/>
    </xf>
    <xf numFmtId="0" fontId="0" fillId="0" borderId="23" xfId="0" applyBorder="1" applyProtection="1">
      <protection hidden="1"/>
    </xf>
    <xf numFmtId="0" fontId="194" fillId="37" borderId="43" xfId="0" applyFont="1" applyFill="1" applyBorder="1" applyAlignment="1" applyProtection="1">
      <alignment horizontal="left" vertical="center" indent="1"/>
      <protection hidden="1"/>
    </xf>
    <xf numFmtId="0" fontId="194" fillId="37" borderId="44" xfId="0" applyFont="1" applyFill="1" applyBorder="1" applyAlignment="1" applyProtection="1">
      <alignment horizontal="left" vertical="center" indent="1"/>
      <protection hidden="1"/>
    </xf>
    <xf numFmtId="0" fontId="194" fillId="37" borderId="42" xfId="0" applyFont="1" applyFill="1" applyBorder="1" applyAlignment="1" applyProtection="1">
      <alignment horizontal="left" vertical="center"/>
      <protection hidden="1"/>
    </xf>
    <xf numFmtId="0" fontId="194" fillId="4" borderId="22" xfId="0" applyFont="1" applyFill="1" applyBorder="1" applyAlignment="1" applyProtection="1">
      <alignment horizontal="left" vertical="center" indent="1"/>
      <protection hidden="1"/>
    </xf>
    <xf numFmtId="0" fontId="6" fillId="0" borderId="0" xfId="0" applyFont="1" applyAlignment="1" applyProtection="1">
      <alignment horizontal="right" vertical="center"/>
      <protection hidden="1"/>
    </xf>
    <xf numFmtId="0" fontId="52" fillId="0" borderId="10" xfId="0" applyFont="1" applyBorder="1" applyAlignment="1" applyProtection="1">
      <alignment horizontal="center"/>
      <protection hidden="1"/>
    </xf>
    <xf numFmtId="0" fontId="105" fillId="0" borderId="144" xfId="0" applyFont="1" applyBorder="1" applyAlignment="1" applyProtection="1">
      <alignment horizontal="center"/>
      <protection hidden="1"/>
    </xf>
    <xf numFmtId="0" fontId="43" fillId="18" borderId="0" xfId="0" applyFont="1" applyFill="1" applyAlignment="1" applyProtection="1">
      <alignment horizontal="left" vertical="center" wrapText="1" indent="1"/>
      <protection hidden="1"/>
    </xf>
    <xf numFmtId="0" fontId="43" fillId="17" borderId="0" xfId="0" applyFont="1" applyFill="1" applyAlignment="1" applyProtection="1">
      <alignment horizontal="left" vertical="center" wrapText="1" indent="1"/>
      <protection hidden="1"/>
    </xf>
    <xf numFmtId="0" fontId="43" fillId="16" borderId="0" xfId="0" applyFont="1" applyFill="1" applyAlignment="1" applyProtection="1">
      <alignment horizontal="left" vertical="center" wrapText="1" indent="1"/>
      <protection hidden="1"/>
    </xf>
    <xf numFmtId="0" fontId="43" fillId="15" borderId="0" xfId="0" applyFont="1" applyFill="1" applyAlignment="1" applyProtection="1">
      <alignment horizontal="left" vertical="center" wrapText="1" indent="1"/>
      <protection hidden="1"/>
    </xf>
    <xf numFmtId="0" fontId="5" fillId="27" borderId="0" xfId="0" applyFont="1" applyFill="1" applyAlignment="1" applyProtection="1">
      <alignment horizontal="center" vertical="top"/>
      <protection hidden="1"/>
    </xf>
    <xf numFmtId="0" fontId="38" fillId="27" borderId="0" xfId="0" applyFont="1" applyFill="1" applyAlignment="1" applyProtection="1">
      <alignment horizontal="left" vertical="top" wrapText="1" indent="2"/>
      <protection hidden="1"/>
    </xf>
    <xf numFmtId="0" fontId="9" fillId="27" borderId="0" xfId="0" applyFont="1" applyFill="1" applyAlignment="1" applyProtection="1">
      <alignment horizontal="left" vertical="top" wrapText="1" indent="2"/>
      <protection hidden="1"/>
    </xf>
    <xf numFmtId="0" fontId="135" fillId="0" borderId="0" xfId="0" applyFont="1" applyAlignment="1" applyProtection="1">
      <alignment horizontal="right" vertical="center" indent="1"/>
      <protection hidden="1"/>
    </xf>
    <xf numFmtId="0" fontId="0" fillId="27" borderId="0" xfId="0" applyFill="1" applyAlignment="1" applyProtection="1">
      <alignment horizontal="left" vertical="top" wrapText="1"/>
      <protection hidden="1"/>
    </xf>
    <xf numFmtId="0" fontId="166" fillId="4" borderId="0" xfId="0" applyFont="1" applyFill="1" applyAlignment="1" applyProtection="1">
      <alignment horizontal="left" vertical="center" wrapText="1" indent="1"/>
      <protection hidden="1"/>
    </xf>
    <xf numFmtId="0" fontId="166" fillId="4" borderId="0" xfId="1" applyFont="1" applyFill="1" applyBorder="1" applyAlignment="1" applyProtection="1">
      <alignment horizontal="left" vertical="center" wrapText="1" indent="1"/>
      <protection hidden="1"/>
    </xf>
    <xf numFmtId="0" fontId="0" fillId="27" borderId="0" xfId="0" applyFill="1" applyAlignment="1" applyProtection="1">
      <alignment horizontal="right" vertical="top" indent="1"/>
      <protection locked="0"/>
    </xf>
    <xf numFmtId="0" fontId="123" fillId="27" borderId="235" xfId="3" applyFill="1" applyBorder="1" applyAlignment="1" applyProtection="1">
      <alignment horizontal="right" vertical="center" wrapText="1" indent="1"/>
      <protection locked="0"/>
    </xf>
    <xf numFmtId="0" fontId="123" fillId="27" borderId="234" xfId="3" applyFill="1" applyBorder="1" applyAlignment="1" applyProtection="1">
      <alignment horizontal="right" vertical="center" wrapText="1" indent="1"/>
      <protection locked="0"/>
    </xf>
    <xf numFmtId="0" fontId="123" fillId="27" borderId="237" xfId="3" applyFill="1" applyBorder="1" applyAlignment="1" applyProtection="1">
      <alignment horizontal="right" vertical="center" wrapText="1" indent="1"/>
      <protection locked="0"/>
    </xf>
    <xf numFmtId="0" fontId="123" fillId="27" borderId="236" xfId="3" applyFill="1" applyBorder="1" applyAlignment="1" applyProtection="1">
      <alignment horizontal="right" vertical="center" wrapText="1" indent="1"/>
      <protection locked="0"/>
    </xf>
    <xf numFmtId="0" fontId="0" fillId="0" borderId="0" xfId="0" applyProtection="1">
      <protection locked="0"/>
    </xf>
    <xf numFmtId="0" fontId="51" fillId="15" borderId="59" xfId="0" applyFont="1" applyFill="1" applyBorder="1" applyAlignment="1" applyProtection="1">
      <alignment vertical="center" wrapText="1"/>
      <protection hidden="1"/>
    </xf>
    <xf numFmtId="0" fontId="90" fillId="15" borderId="1" xfId="2" applyFont="1" applyFill="1" applyBorder="1" applyAlignment="1" applyProtection="1">
      <alignment horizontal="center" vertical="center" wrapText="1"/>
      <protection hidden="1"/>
    </xf>
    <xf numFmtId="0" fontId="227" fillId="27" borderId="0" xfId="0" applyFont="1" applyFill="1" applyAlignment="1" applyProtection="1">
      <alignment horizontal="right" vertical="top" wrapText="1"/>
      <protection hidden="1"/>
    </xf>
    <xf numFmtId="0" fontId="171" fillId="0" borderId="0" xfId="0" applyFont="1" applyAlignment="1" applyProtection="1">
      <alignment horizontal="center" vertical="top"/>
      <protection hidden="1"/>
    </xf>
    <xf numFmtId="0" fontId="175" fillId="0" borderId="0" xfId="0" applyFont="1" applyAlignment="1" applyProtection="1">
      <alignment horizontal="left"/>
      <protection hidden="1"/>
    </xf>
    <xf numFmtId="0" fontId="172" fillId="0" borderId="0" xfId="0" applyFont="1" applyAlignment="1" applyProtection="1">
      <alignment vertical="center"/>
      <protection hidden="1"/>
    </xf>
    <xf numFmtId="0" fontId="74" fillId="0" borderId="0" xfId="0" applyFont="1" applyAlignment="1" applyProtection="1">
      <alignment horizontal="center" vertical="center"/>
      <protection hidden="1"/>
    </xf>
    <xf numFmtId="0" fontId="0" fillId="4" borderId="0" xfId="0" applyFill="1" applyAlignment="1" applyProtection="1">
      <alignment vertical="top" wrapText="1"/>
      <protection hidden="1"/>
    </xf>
    <xf numFmtId="0" fontId="10" fillId="27" borderId="49" xfId="0" applyFont="1" applyFill="1" applyBorder="1" applyProtection="1">
      <protection hidden="1"/>
    </xf>
    <xf numFmtId="0" fontId="10" fillId="27" borderId="50" xfId="0" applyFont="1" applyFill="1" applyBorder="1" applyProtection="1">
      <protection hidden="1"/>
    </xf>
    <xf numFmtId="0" fontId="10" fillId="27" borderId="51" xfId="0" applyFont="1" applyFill="1" applyBorder="1" applyProtection="1">
      <protection hidden="1"/>
    </xf>
    <xf numFmtId="0" fontId="0" fillId="27" borderId="52" xfId="0" applyFill="1" applyBorder="1" applyProtection="1">
      <protection hidden="1"/>
    </xf>
    <xf numFmtId="0" fontId="155" fillId="27" borderId="52" xfId="0" applyFont="1" applyFill="1" applyBorder="1" applyAlignment="1" applyProtection="1">
      <alignment vertical="center"/>
      <protection hidden="1"/>
    </xf>
    <xf numFmtId="0" fontId="10" fillId="27" borderId="52" xfId="0" applyFont="1" applyFill="1" applyBorder="1" applyProtection="1">
      <protection hidden="1"/>
    </xf>
    <xf numFmtId="0" fontId="10" fillId="4" borderId="49" xfId="0" applyFont="1" applyFill="1" applyBorder="1" applyProtection="1">
      <protection hidden="1"/>
    </xf>
    <xf numFmtId="0" fontId="10" fillId="4" borderId="50" xfId="0" applyFont="1" applyFill="1" applyBorder="1" applyProtection="1">
      <protection hidden="1"/>
    </xf>
    <xf numFmtId="0" fontId="44" fillId="4" borderId="50" xfId="0" applyFont="1" applyFill="1" applyBorder="1" applyAlignment="1" applyProtection="1">
      <alignment vertical="top" wrapText="1"/>
      <protection hidden="1"/>
    </xf>
    <xf numFmtId="0" fontId="44" fillId="4" borderId="250" xfId="0" applyFont="1" applyFill="1" applyBorder="1" applyAlignment="1" applyProtection="1">
      <alignment vertical="top" wrapText="1"/>
      <protection hidden="1"/>
    </xf>
    <xf numFmtId="0" fontId="44" fillId="4" borderId="246" xfId="0" applyFont="1" applyFill="1" applyBorder="1" applyAlignment="1" applyProtection="1">
      <alignment vertical="top" wrapText="1"/>
      <protection hidden="1"/>
    </xf>
    <xf numFmtId="0" fontId="44" fillId="4" borderId="51" xfId="0" applyFont="1" applyFill="1" applyBorder="1" applyAlignment="1" applyProtection="1">
      <alignment vertical="top"/>
      <protection hidden="1"/>
    </xf>
    <xf numFmtId="0" fontId="10" fillId="4" borderId="52" xfId="0" applyFont="1" applyFill="1" applyBorder="1" applyProtection="1">
      <protection hidden="1"/>
    </xf>
    <xf numFmtId="0" fontId="44" fillId="4" borderId="46" xfId="0" applyFont="1" applyFill="1" applyBorder="1" applyAlignment="1" applyProtection="1">
      <alignment vertical="top" wrapText="1"/>
      <protection hidden="1"/>
    </xf>
    <xf numFmtId="0" fontId="10" fillId="4" borderId="244" xfId="0" applyFont="1" applyFill="1" applyBorder="1" applyProtection="1">
      <protection hidden="1"/>
    </xf>
    <xf numFmtId="0" fontId="10" fillId="4" borderId="2" xfId="0" applyFont="1" applyFill="1" applyBorder="1" applyProtection="1">
      <protection hidden="1"/>
    </xf>
    <xf numFmtId="0" fontId="0" fillId="4" borderId="3" xfId="0" applyFill="1" applyBorder="1" applyProtection="1">
      <protection hidden="1"/>
    </xf>
    <xf numFmtId="0" fontId="44" fillId="4" borderId="2" xfId="0" applyFont="1" applyFill="1" applyBorder="1" applyAlignment="1" applyProtection="1">
      <alignment vertical="top" wrapText="1"/>
      <protection hidden="1"/>
    </xf>
    <xf numFmtId="0" fontId="44" fillId="4" borderId="54" xfId="0" applyFont="1" applyFill="1" applyBorder="1" applyAlignment="1" applyProtection="1">
      <alignment vertical="top" wrapText="1"/>
      <protection hidden="1"/>
    </xf>
    <xf numFmtId="0" fontId="44" fillId="4" borderId="3" xfId="0" applyFont="1" applyFill="1" applyBorder="1" applyAlignment="1" applyProtection="1">
      <alignment horizontal="left" vertical="top" wrapText="1" indent="1"/>
      <protection hidden="1"/>
    </xf>
    <xf numFmtId="0" fontId="44" fillId="4" borderId="54" xfId="0" applyFont="1" applyFill="1" applyBorder="1" applyAlignment="1" applyProtection="1">
      <alignment horizontal="left" vertical="top" wrapText="1" indent="1"/>
      <protection hidden="1"/>
    </xf>
    <xf numFmtId="0" fontId="44" fillId="4" borderId="243" xfId="0" applyFont="1" applyFill="1" applyBorder="1" applyAlignment="1" applyProtection="1">
      <alignment horizontal="left" vertical="top" indent="1"/>
      <protection hidden="1"/>
    </xf>
    <xf numFmtId="0" fontId="10" fillId="4" borderId="248" xfId="0" applyFont="1" applyFill="1" applyBorder="1" applyProtection="1">
      <protection hidden="1"/>
    </xf>
    <xf numFmtId="0" fontId="10" fillId="4" borderId="8" xfId="0" applyFont="1" applyFill="1" applyBorder="1" applyProtection="1">
      <protection hidden="1"/>
    </xf>
    <xf numFmtId="0" fontId="44" fillId="4" borderId="5" xfId="0" applyFont="1" applyFill="1" applyBorder="1" applyAlignment="1" applyProtection="1">
      <alignment vertical="top" wrapText="1"/>
      <protection hidden="1"/>
    </xf>
    <xf numFmtId="0" fontId="44" fillId="4" borderId="0" xfId="0" applyFont="1" applyFill="1" applyAlignment="1" applyProtection="1">
      <alignment vertical="top" wrapText="1"/>
      <protection hidden="1"/>
    </xf>
    <xf numFmtId="0" fontId="44" fillId="4" borderId="7" xfId="0" applyFont="1" applyFill="1" applyBorder="1" applyAlignment="1" applyProtection="1">
      <alignment horizontal="left" vertical="top" wrapText="1" indent="1"/>
      <protection hidden="1"/>
    </xf>
    <xf numFmtId="0" fontId="44" fillId="4" borderId="46" xfId="0" applyFont="1" applyFill="1" applyBorder="1" applyAlignment="1" applyProtection="1">
      <alignment horizontal="left" vertical="top" wrapText="1" indent="1"/>
      <protection hidden="1"/>
    </xf>
    <xf numFmtId="0" fontId="44" fillId="4" borderId="53" xfId="0" applyFont="1" applyFill="1" applyBorder="1" applyAlignment="1" applyProtection="1">
      <alignment horizontal="left" vertical="top" indent="1"/>
      <protection hidden="1"/>
    </xf>
    <xf numFmtId="0" fontId="10" fillId="4" borderId="55" xfId="0" applyFont="1" applyFill="1" applyBorder="1" applyProtection="1">
      <protection hidden="1"/>
    </xf>
    <xf numFmtId="0" fontId="10" fillId="4" borderId="56" xfId="0" applyFont="1" applyFill="1" applyBorder="1" applyProtection="1">
      <protection hidden="1"/>
    </xf>
    <xf numFmtId="0" fontId="44" fillId="4" borderId="249" xfId="0" applyFont="1" applyFill="1" applyBorder="1" applyAlignment="1" applyProtection="1">
      <alignment vertical="top" wrapText="1"/>
      <protection hidden="1"/>
    </xf>
    <xf numFmtId="0" fontId="10" fillId="27" borderId="55" xfId="0" applyFont="1" applyFill="1" applyBorder="1" applyProtection="1">
      <protection hidden="1"/>
    </xf>
    <xf numFmtId="0" fontId="10" fillId="27" borderId="56" xfId="0" applyFont="1" applyFill="1" applyBorder="1" applyProtection="1">
      <protection hidden="1"/>
    </xf>
    <xf numFmtId="0" fontId="168" fillId="27" borderId="56" xfId="0" applyFont="1" applyFill="1" applyBorder="1" applyAlignment="1" applyProtection="1">
      <alignment horizontal="left" vertical="center" wrapText="1" indent="1"/>
      <protection hidden="1"/>
    </xf>
    <xf numFmtId="0" fontId="44" fillId="27" borderId="56" xfId="0" applyFont="1" applyFill="1" applyBorder="1" applyAlignment="1" applyProtection="1">
      <alignment horizontal="left" vertical="top" wrapText="1" indent="1"/>
      <protection hidden="1"/>
    </xf>
    <xf numFmtId="0" fontId="44" fillId="27" borderId="56" xfId="0" applyFont="1" applyFill="1" applyBorder="1" applyAlignment="1" applyProtection="1">
      <alignment vertical="top" wrapText="1"/>
      <protection hidden="1"/>
    </xf>
    <xf numFmtId="0" fontId="13" fillId="4" borderId="0" xfId="0" applyFont="1" applyFill="1" applyAlignment="1" applyProtection="1">
      <alignment horizontal="right" vertical="top"/>
      <protection hidden="1"/>
    </xf>
    <xf numFmtId="0" fontId="13" fillId="4" borderId="0" xfId="0" applyFont="1" applyFill="1" applyAlignment="1" applyProtection="1">
      <alignment horizontal="center"/>
      <protection hidden="1"/>
    </xf>
    <xf numFmtId="0" fontId="80" fillId="4" borderId="0" xfId="0" applyFont="1" applyFill="1" applyAlignment="1" applyProtection="1">
      <alignment horizontal="left" vertical="top" wrapText="1" indent="1"/>
      <protection hidden="1"/>
    </xf>
    <xf numFmtId="0" fontId="137" fillId="4" borderId="0" xfId="0" applyFont="1" applyFill="1" applyAlignment="1" applyProtection="1">
      <alignment horizontal="center"/>
      <protection hidden="1"/>
    </xf>
    <xf numFmtId="0" fontId="137" fillId="4" borderId="0" xfId="0" applyFont="1" applyFill="1" applyAlignment="1" applyProtection="1">
      <alignment horizontal="center" vertical="center"/>
      <protection hidden="1"/>
    </xf>
    <xf numFmtId="0" fontId="7" fillId="9" borderId="0" xfId="0" applyFont="1" applyFill="1" applyAlignment="1" applyProtection="1">
      <alignment horizontal="center" vertical="center"/>
      <protection hidden="1"/>
    </xf>
    <xf numFmtId="0" fontId="13" fillId="4" borderId="0" xfId="0" applyFont="1" applyFill="1" applyAlignment="1" applyProtection="1">
      <alignment horizontal="center" vertical="top"/>
      <protection hidden="1"/>
    </xf>
    <xf numFmtId="0" fontId="3" fillId="5" borderId="52" xfId="0" applyFont="1" applyFill="1" applyBorder="1" applyAlignment="1" applyProtection="1">
      <alignment vertical="center" wrapText="1"/>
      <protection locked="0"/>
    </xf>
    <xf numFmtId="0" fontId="159" fillId="4" borderId="232" xfId="0" applyFont="1" applyFill="1" applyBorder="1" applyAlignment="1" applyProtection="1">
      <alignment horizontal="left" vertical="center" indent="1"/>
      <protection hidden="1"/>
    </xf>
    <xf numFmtId="0" fontId="159" fillId="4" borderId="233" xfId="0" applyFont="1" applyFill="1" applyBorder="1" applyAlignment="1" applyProtection="1">
      <alignment horizontal="left" vertical="center" indent="1"/>
      <protection hidden="1"/>
    </xf>
    <xf numFmtId="0" fontId="0" fillId="4" borderId="233" xfId="0" applyFill="1" applyBorder="1" applyAlignment="1" applyProtection="1">
      <alignment horizontal="left" vertical="center" indent="1"/>
      <protection hidden="1"/>
    </xf>
    <xf numFmtId="0" fontId="0" fillId="4" borderId="233" xfId="0" applyFill="1" applyBorder="1" applyProtection="1">
      <protection hidden="1"/>
    </xf>
    <xf numFmtId="0" fontId="157" fillId="34" borderId="0" xfId="0" applyFont="1" applyFill="1" applyProtection="1">
      <protection hidden="1"/>
    </xf>
    <xf numFmtId="0" fontId="10" fillId="34" borderId="0" xfId="0" applyFont="1" applyFill="1" applyProtection="1">
      <protection hidden="1"/>
    </xf>
    <xf numFmtId="0" fontId="156" fillId="34" borderId="0" xfId="0" applyFont="1" applyFill="1" applyProtection="1">
      <protection hidden="1"/>
    </xf>
    <xf numFmtId="0" fontId="0" fillId="4" borderId="58" xfId="0" applyFill="1" applyBorder="1" applyProtection="1">
      <protection hidden="1"/>
    </xf>
    <xf numFmtId="0" fontId="0" fillId="4" borderId="59" xfId="0" applyFill="1" applyBorder="1" applyProtection="1">
      <protection hidden="1"/>
    </xf>
    <xf numFmtId="0" fontId="0" fillId="4" borderId="58" xfId="0" applyFill="1" applyBorder="1" applyAlignment="1" applyProtection="1">
      <alignment horizontal="left"/>
      <protection hidden="1"/>
    </xf>
    <xf numFmtId="0" fontId="0" fillId="4" borderId="48" xfId="0" applyFill="1" applyBorder="1" applyProtection="1">
      <protection hidden="1"/>
    </xf>
    <xf numFmtId="0" fontId="0" fillId="4" borderId="58" xfId="0" applyFill="1" applyBorder="1" applyAlignment="1" applyProtection="1">
      <alignment horizontal="left" wrapText="1"/>
      <protection hidden="1"/>
    </xf>
    <xf numFmtId="0" fontId="0" fillId="4" borderId="6" xfId="0" applyFill="1" applyBorder="1" applyProtection="1">
      <protection hidden="1"/>
    </xf>
    <xf numFmtId="0" fontId="0" fillId="4" borderId="6" xfId="0" applyFill="1" applyBorder="1" applyAlignment="1" applyProtection="1">
      <alignment horizontal="left"/>
      <protection hidden="1"/>
    </xf>
    <xf numFmtId="169" fontId="0" fillId="4" borderId="58" xfId="0" applyNumberFormat="1" applyFill="1" applyBorder="1" applyAlignment="1" applyProtection="1">
      <alignment horizontal="left" wrapText="1"/>
      <protection hidden="1"/>
    </xf>
    <xf numFmtId="0" fontId="156" fillId="0" borderId="0" xfId="0" applyFont="1" applyProtection="1">
      <protection hidden="1"/>
    </xf>
    <xf numFmtId="0" fontId="0" fillId="0" borderId="58" xfId="0" applyBorder="1" applyAlignment="1" applyProtection="1">
      <alignment vertical="center"/>
      <protection hidden="1"/>
    </xf>
    <xf numFmtId="0" fontId="0" fillId="0" borderId="48" xfId="0" applyBorder="1" applyAlignment="1" applyProtection="1">
      <alignment vertical="center"/>
      <protection hidden="1"/>
    </xf>
    <xf numFmtId="0" fontId="0" fillId="0" borderId="59" xfId="0" applyBorder="1" applyAlignment="1" applyProtection="1">
      <alignment vertical="center"/>
      <protection hidden="1"/>
    </xf>
    <xf numFmtId="0" fontId="0" fillId="0" borderId="58" xfId="0" applyBorder="1" applyAlignment="1" applyProtection="1">
      <alignment vertical="center" wrapText="1"/>
      <protection hidden="1"/>
    </xf>
    <xf numFmtId="0" fontId="0" fillId="0" borderId="1" xfId="0" applyBorder="1" applyAlignment="1" applyProtection="1">
      <alignment vertical="center"/>
      <protection hidden="1"/>
    </xf>
    <xf numFmtId="0" fontId="5" fillId="0" borderId="58" xfId="0" applyFont="1" applyBorder="1" applyAlignment="1" applyProtection="1">
      <alignment vertical="center"/>
      <protection hidden="1"/>
    </xf>
    <xf numFmtId="0" fontId="0" fillId="0" borderId="1" xfId="0" applyBorder="1" applyAlignment="1" applyProtection="1">
      <alignment vertical="center" wrapText="1"/>
      <protection hidden="1"/>
    </xf>
    <xf numFmtId="0" fontId="0" fillId="0" borderId="102" xfId="0" applyBorder="1" applyProtection="1">
      <protection hidden="1"/>
    </xf>
    <xf numFmtId="0" fontId="0" fillId="0" borderId="302" xfId="0" applyBorder="1" applyProtection="1">
      <protection hidden="1"/>
    </xf>
    <xf numFmtId="0" fontId="4" fillId="0" borderId="103" xfId="0" applyFont="1" applyBorder="1" applyAlignment="1" applyProtection="1">
      <alignment horizontal="right"/>
      <protection hidden="1"/>
    </xf>
    <xf numFmtId="164" fontId="4" fillId="0" borderId="102" xfId="0" applyNumberFormat="1" applyFont="1" applyBorder="1" applyProtection="1">
      <protection hidden="1"/>
    </xf>
    <xf numFmtId="167" fontId="4" fillId="0" borderId="128" xfId="0" applyNumberFormat="1" applyFont="1" applyBorder="1" applyAlignment="1" applyProtection="1">
      <alignment horizontal="left"/>
      <protection hidden="1"/>
    </xf>
    <xf numFmtId="167" fontId="4" fillId="0" borderId="7" xfId="0" applyNumberFormat="1" applyFont="1" applyBorder="1" applyProtection="1">
      <protection hidden="1"/>
    </xf>
    <xf numFmtId="0" fontId="0" fillId="0" borderId="46" xfId="0" applyBorder="1" applyProtection="1">
      <protection hidden="1"/>
    </xf>
    <xf numFmtId="165" fontId="4" fillId="0" borderId="63" xfId="0" applyNumberFormat="1" applyFont="1" applyBorder="1" applyProtection="1">
      <protection hidden="1"/>
    </xf>
    <xf numFmtId="167" fontId="99" fillId="4" borderId="0" xfId="0" applyNumberFormat="1" applyFont="1" applyFill="1" applyAlignment="1" applyProtection="1">
      <alignment vertical="top"/>
      <protection hidden="1"/>
    </xf>
    <xf numFmtId="167" fontId="0" fillId="4" borderId="0" xfId="0" applyNumberFormat="1" applyFill="1" applyProtection="1">
      <protection hidden="1"/>
    </xf>
    <xf numFmtId="0" fontId="0" fillId="0" borderId="104" xfId="0" applyBorder="1" applyAlignment="1" applyProtection="1">
      <alignment vertical="top"/>
      <protection hidden="1"/>
    </xf>
    <xf numFmtId="0" fontId="0" fillId="0" borderId="45" xfId="0" applyBorder="1" applyAlignment="1" applyProtection="1">
      <alignment vertical="top"/>
      <protection hidden="1"/>
    </xf>
    <xf numFmtId="0" fontId="4" fillId="0" borderId="105" xfId="0" applyFont="1" applyBorder="1" applyAlignment="1" applyProtection="1">
      <alignment horizontal="right" vertical="top"/>
      <protection hidden="1"/>
    </xf>
    <xf numFmtId="164" fontId="4" fillId="0" borderId="104" xfId="0" applyNumberFormat="1" applyFont="1" applyBorder="1" applyAlignment="1" applyProtection="1">
      <alignment vertical="top"/>
      <protection hidden="1"/>
    </xf>
    <xf numFmtId="168" fontId="4" fillId="0" borderId="129" xfId="0" applyNumberFormat="1" applyFont="1" applyBorder="1" applyAlignment="1" applyProtection="1">
      <alignment horizontal="left" vertical="top"/>
      <protection hidden="1"/>
    </xf>
    <xf numFmtId="168" fontId="4" fillId="0" borderId="7" xfId="0" applyNumberFormat="1" applyFont="1" applyBorder="1" applyAlignment="1" applyProtection="1">
      <alignment vertical="top"/>
      <protection hidden="1"/>
    </xf>
    <xf numFmtId="165" fontId="4" fillId="0" borderId="63" xfId="0" applyNumberFormat="1" applyFont="1" applyBorder="1" applyAlignment="1" applyProtection="1">
      <alignment vertical="top"/>
      <protection hidden="1"/>
    </xf>
    <xf numFmtId="0" fontId="0" fillId="0" borderId="63" xfId="0" applyBorder="1" applyAlignment="1" applyProtection="1">
      <alignment vertical="top"/>
      <protection hidden="1"/>
    </xf>
    <xf numFmtId="168" fontId="0" fillId="4" borderId="0" xfId="0" applyNumberFormat="1" applyFill="1" applyProtection="1">
      <protection hidden="1"/>
    </xf>
    <xf numFmtId="0" fontId="0" fillId="0" borderId="106" xfId="0" applyBorder="1" applyProtection="1">
      <protection hidden="1"/>
    </xf>
    <xf numFmtId="0" fontId="0" fillId="0" borderId="135" xfId="0" applyBorder="1" applyProtection="1">
      <protection hidden="1"/>
    </xf>
    <xf numFmtId="0" fontId="124" fillId="0" borderId="107" xfId="0" applyFont="1" applyBorder="1" applyAlignment="1" applyProtection="1">
      <alignment horizontal="right"/>
      <protection hidden="1"/>
    </xf>
    <xf numFmtId="164" fontId="4" fillId="0" borderId="106" xfId="0" applyNumberFormat="1" applyFont="1" applyBorder="1" applyProtection="1">
      <protection hidden="1"/>
    </xf>
    <xf numFmtId="168" fontId="4" fillId="0" borderId="130" xfId="0" applyNumberFormat="1" applyFont="1" applyBorder="1" applyAlignment="1" applyProtection="1">
      <alignment horizontal="left"/>
      <protection hidden="1"/>
    </xf>
    <xf numFmtId="0" fontId="124" fillId="0" borderId="103" xfId="0" applyFont="1" applyBorder="1" applyAlignment="1" applyProtection="1">
      <alignment horizontal="right"/>
      <protection hidden="1"/>
    </xf>
    <xf numFmtId="0" fontId="0" fillId="0" borderId="142" xfId="0" applyBorder="1" applyAlignment="1" applyProtection="1">
      <alignment vertical="top"/>
      <protection hidden="1"/>
    </xf>
    <xf numFmtId="0" fontId="0" fillId="0" borderId="303" xfId="0" applyBorder="1" applyAlignment="1" applyProtection="1">
      <alignment vertical="top"/>
      <protection hidden="1"/>
    </xf>
    <xf numFmtId="0" fontId="124" fillId="0" borderId="143" xfId="0" applyFont="1" applyBorder="1" applyAlignment="1" applyProtection="1">
      <alignment horizontal="right" vertical="top"/>
      <protection hidden="1"/>
    </xf>
    <xf numFmtId="164" fontId="4" fillId="0" borderId="142" xfId="0" applyNumberFormat="1" applyFont="1" applyBorder="1" applyAlignment="1" applyProtection="1">
      <alignment vertical="top"/>
      <protection hidden="1"/>
    </xf>
    <xf numFmtId="168" fontId="4" fillId="0" borderId="138" xfId="0" applyNumberFormat="1" applyFont="1" applyBorder="1" applyAlignment="1" applyProtection="1">
      <alignment horizontal="left" vertical="top"/>
      <protection hidden="1"/>
    </xf>
    <xf numFmtId="0" fontId="0" fillId="0" borderId="46" xfId="0" applyBorder="1" applyAlignment="1" applyProtection="1">
      <alignment vertical="top"/>
      <protection hidden="1"/>
    </xf>
    <xf numFmtId="0" fontId="0" fillId="0" borderId="4" xfId="0" applyBorder="1" applyProtection="1">
      <protection hidden="1"/>
    </xf>
    <xf numFmtId="164" fontId="4" fillId="0" borderId="79" xfId="0" applyNumberFormat="1" applyFont="1" applyBorder="1" applyProtection="1">
      <protection hidden="1"/>
    </xf>
    <xf numFmtId="167" fontId="4" fillId="0" borderId="4" xfId="0" applyNumberFormat="1" applyFont="1" applyBorder="1" applyProtection="1">
      <protection hidden="1"/>
    </xf>
    <xf numFmtId="168" fontId="4" fillId="0" borderId="107" xfId="0" applyNumberFormat="1" applyFont="1" applyBorder="1" applyProtection="1">
      <protection hidden="1"/>
    </xf>
    <xf numFmtId="165" fontId="4" fillId="0" borderId="79" xfId="0" applyNumberFormat="1" applyFont="1" applyBorder="1" applyProtection="1">
      <protection hidden="1"/>
    </xf>
    <xf numFmtId="0" fontId="124" fillId="0" borderId="0" xfId="0" applyFont="1" applyAlignment="1" applyProtection="1">
      <alignment horizontal="right"/>
      <protection hidden="1"/>
    </xf>
    <xf numFmtId="0" fontId="100" fillId="4" borderId="0" xfId="0" applyFont="1" applyFill="1" applyProtection="1">
      <protection hidden="1"/>
    </xf>
    <xf numFmtId="168" fontId="100" fillId="4" borderId="0" xfId="0" applyNumberFormat="1" applyFont="1" applyFill="1" applyProtection="1">
      <protection hidden="1"/>
    </xf>
    <xf numFmtId="167" fontId="4" fillId="0" borderId="0" xfId="0" applyNumberFormat="1" applyFont="1" applyProtection="1">
      <protection hidden="1"/>
    </xf>
    <xf numFmtId="168" fontId="4" fillId="0" borderId="0" xfId="0" applyNumberFormat="1" applyFont="1" applyProtection="1">
      <protection hidden="1"/>
    </xf>
    <xf numFmtId="0" fontId="5" fillId="0" borderId="6" xfId="0" applyFont="1" applyBorder="1" applyAlignment="1" applyProtection="1">
      <alignment vertical="center" wrapText="1"/>
      <protection hidden="1"/>
    </xf>
    <xf numFmtId="0" fontId="0" fillId="0" borderId="79" xfId="0" applyBorder="1" applyProtection="1">
      <protection hidden="1"/>
    </xf>
    <xf numFmtId="168" fontId="0" fillId="0" borderId="0" xfId="0" applyNumberFormat="1" applyProtection="1">
      <protection hidden="1"/>
    </xf>
    <xf numFmtId="168" fontId="61" fillId="0" borderId="0" xfId="0" applyNumberFormat="1" applyFont="1" applyAlignment="1" applyProtection="1">
      <alignment horizontal="right" indent="1"/>
      <protection hidden="1"/>
    </xf>
    <xf numFmtId="168" fontId="61" fillId="0" borderId="0" xfId="0" applyNumberFormat="1" applyFont="1" applyProtection="1">
      <protection hidden="1"/>
    </xf>
    <xf numFmtId="164" fontId="4" fillId="0" borderId="0" xfId="0" applyNumberFormat="1" applyFont="1" applyProtection="1">
      <protection hidden="1"/>
    </xf>
    <xf numFmtId="0" fontId="171" fillId="4" borderId="0" xfId="0" applyFont="1" applyFill="1" applyProtection="1">
      <protection hidden="1"/>
    </xf>
    <xf numFmtId="0" fontId="38" fillId="0" borderId="0" xfId="0" applyFont="1" applyAlignment="1" applyProtection="1">
      <alignment horizontal="right"/>
      <protection hidden="1"/>
    </xf>
    <xf numFmtId="0" fontId="197" fillId="36" borderId="0" xfId="0" applyFont="1" applyFill="1" applyAlignment="1" applyProtection="1">
      <alignment horizontal="left" vertical="center" indent="13"/>
      <protection hidden="1"/>
    </xf>
    <xf numFmtId="0" fontId="0" fillId="36" borderId="0" xfId="0" applyFill="1" applyAlignment="1" applyProtection="1">
      <alignment horizontal="left" indent="6"/>
      <protection hidden="1"/>
    </xf>
    <xf numFmtId="0" fontId="180" fillId="36" borderId="0" xfId="0" applyFont="1" applyFill="1" applyProtection="1">
      <protection hidden="1"/>
    </xf>
    <xf numFmtId="0" fontId="182" fillId="36" borderId="0" xfId="0" applyFont="1" applyFill="1" applyAlignment="1" applyProtection="1">
      <alignment vertical="center"/>
      <protection hidden="1"/>
    </xf>
    <xf numFmtId="0" fontId="127" fillId="36" borderId="0" xfId="0" applyFont="1" applyFill="1" applyAlignment="1" applyProtection="1">
      <alignment vertical="center"/>
      <protection hidden="1"/>
    </xf>
    <xf numFmtId="0" fontId="127" fillId="0" borderId="0" xfId="0" applyFont="1" applyAlignment="1" applyProtection="1">
      <alignment vertical="center"/>
      <protection hidden="1"/>
    </xf>
    <xf numFmtId="0" fontId="189" fillId="36" borderId="0" xfId="0" applyFont="1" applyFill="1" applyAlignment="1" applyProtection="1">
      <alignment vertical="center"/>
      <protection hidden="1"/>
    </xf>
    <xf numFmtId="0" fontId="189" fillId="36" borderId="0" xfId="0" applyFont="1" applyFill="1" applyAlignment="1" applyProtection="1">
      <alignment horizontal="right" vertical="center" indent="1"/>
      <protection hidden="1"/>
    </xf>
    <xf numFmtId="0" fontId="0" fillId="36" borderId="0" xfId="0" applyFill="1" applyProtection="1">
      <protection hidden="1"/>
    </xf>
    <xf numFmtId="165" fontId="4" fillId="0" borderId="0" xfId="0" applyNumberFormat="1" applyFont="1" applyAlignment="1" applyProtection="1">
      <alignment vertical="top"/>
      <protection hidden="1"/>
    </xf>
    <xf numFmtId="165" fontId="38" fillId="0" borderId="0" xfId="0" applyNumberFormat="1" applyFont="1" applyAlignment="1" applyProtection="1">
      <alignment vertical="top"/>
      <protection hidden="1"/>
    </xf>
    <xf numFmtId="0" fontId="44" fillId="0" borderId="0" xfId="0" applyFont="1" applyAlignment="1" applyProtection="1">
      <alignment vertical="center"/>
      <protection hidden="1"/>
    </xf>
    <xf numFmtId="0" fontId="97" fillId="0" borderId="58" xfId="0" applyFont="1" applyBorder="1" applyAlignment="1" applyProtection="1">
      <alignment horizontal="center" vertical="center"/>
      <protection hidden="1"/>
    </xf>
    <xf numFmtId="0" fontId="97" fillId="0" borderId="59" xfId="0" applyFont="1" applyBorder="1" applyAlignment="1" applyProtection="1">
      <alignment horizontal="center" vertical="center"/>
      <protection hidden="1"/>
    </xf>
    <xf numFmtId="0" fontId="54" fillId="0" borderId="0" xfId="0" applyFont="1" applyAlignment="1" applyProtection="1">
      <alignment horizontal="right" vertical="center"/>
      <protection hidden="1"/>
    </xf>
    <xf numFmtId="0" fontId="5" fillId="0" borderId="0" xfId="0" applyFont="1" applyAlignment="1" applyProtection="1">
      <alignment horizontal="left" vertical="top" wrapText="1"/>
      <protection hidden="1"/>
    </xf>
    <xf numFmtId="0" fontId="0" fillId="0" borderId="5" xfId="0" applyBorder="1" applyAlignment="1" applyProtection="1">
      <alignment vertical="top"/>
      <protection hidden="1"/>
    </xf>
    <xf numFmtId="0" fontId="97" fillId="0" borderId="2" xfId="0" applyFont="1" applyBorder="1" applyAlignment="1" applyProtection="1">
      <alignment horizontal="center" vertical="center" wrapText="1"/>
      <protection hidden="1"/>
    </xf>
    <xf numFmtId="0" fontId="97" fillId="0" borderId="54" xfId="0" applyFont="1" applyBorder="1" applyAlignment="1" applyProtection="1">
      <alignment horizontal="center" vertical="center"/>
      <protection hidden="1"/>
    </xf>
    <xf numFmtId="0" fontId="40" fillId="0" borderId="0" xfId="0" applyFont="1" applyAlignment="1" applyProtection="1">
      <alignment horizontal="right"/>
      <protection hidden="1"/>
    </xf>
    <xf numFmtId="0" fontId="0" fillId="0" borderId="7" xfId="0" applyBorder="1" applyAlignment="1" applyProtection="1">
      <alignment horizontal="right" indent="1"/>
      <protection hidden="1"/>
    </xf>
    <xf numFmtId="0" fontId="4" fillId="0" borderId="3" xfId="0" applyFont="1" applyBorder="1" applyAlignment="1" applyProtection="1">
      <alignment horizontal="center"/>
      <protection hidden="1"/>
    </xf>
    <xf numFmtId="0" fontId="4" fillId="0" borderId="54" xfId="0" applyFont="1" applyBorder="1" applyAlignment="1" applyProtection="1">
      <alignment horizontal="center"/>
      <protection hidden="1"/>
    </xf>
    <xf numFmtId="0" fontId="4" fillId="0" borderId="7" xfId="0" applyFont="1" applyBorder="1" applyAlignment="1" applyProtection="1">
      <alignment horizontal="center"/>
      <protection hidden="1"/>
    </xf>
    <xf numFmtId="0" fontId="4" fillId="0" borderId="46" xfId="0" applyFont="1" applyBorder="1" applyAlignment="1" applyProtection="1">
      <alignment horizontal="center"/>
      <protection hidden="1"/>
    </xf>
    <xf numFmtId="0" fontId="0" fillId="0" borderId="4" xfId="0" applyBorder="1" applyAlignment="1" applyProtection="1">
      <alignment horizontal="right" indent="1"/>
      <protection hidden="1"/>
    </xf>
    <xf numFmtId="0" fontId="4" fillId="0" borderId="4" xfId="0" applyFont="1" applyBorder="1" applyAlignment="1" applyProtection="1">
      <alignment horizontal="center"/>
      <protection hidden="1"/>
    </xf>
    <xf numFmtId="0" fontId="4" fillId="0" borderId="5" xfId="0" applyFont="1" applyBorder="1" applyAlignment="1" applyProtection="1">
      <alignment horizontal="center"/>
      <protection hidden="1"/>
    </xf>
    <xf numFmtId="0" fontId="5" fillId="0" borderId="0" xfId="0" applyFont="1" applyAlignment="1" applyProtection="1">
      <alignment horizontal="right"/>
      <protection hidden="1"/>
    </xf>
    <xf numFmtId="0" fontId="54" fillId="0" borderId="0" xfId="0" applyFont="1" applyAlignment="1" applyProtection="1">
      <alignment vertical="center"/>
      <protection hidden="1"/>
    </xf>
    <xf numFmtId="0" fontId="0" fillId="0" borderId="7"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46" xfId="0" applyBorder="1" applyAlignment="1" applyProtection="1">
      <alignment horizontal="left"/>
      <protection hidden="1"/>
    </xf>
    <xf numFmtId="0" fontId="0" fillId="0" borderId="4" xfId="0" applyBorder="1" applyAlignment="1" applyProtection="1">
      <alignment horizontal="center" vertical="center"/>
      <protection hidden="1"/>
    </xf>
    <xf numFmtId="0" fontId="0" fillId="0" borderId="5" xfId="0" applyBorder="1" applyProtection="1">
      <protection hidden="1"/>
    </xf>
    <xf numFmtId="0" fontId="0" fillId="0" borderId="8" xfId="0" applyBorder="1" applyAlignment="1" applyProtection="1">
      <alignment horizontal="center" vertical="center"/>
      <protection hidden="1"/>
    </xf>
    <xf numFmtId="0" fontId="0" fillId="0" borderId="5" xfId="0" applyBorder="1" applyAlignment="1" applyProtection="1">
      <alignment horizontal="left"/>
      <protection hidden="1"/>
    </xf>
    <xf numFmtId="0" fontId="0" fillId="0" borderId="3" xfId="0" applyBorder="1" applyAlignment="1" applyProtection="1">
      <alignment horizontal="center" vertical="center"/>
      <protection hidden="1"/>
    </xf>
    <xf numFmtId="0" fontId="0" fillId="0" borderId="54" xfId="0" applyBorder="1" applyProtection="1">
      <protection hidden="1"/>
    </xf>
    <xf numFmtId="0" fontId="0" fillId="0" borderId="54" xfId="0" applyBorder="1" applyAlignment="1" applyProtection="1">
      <alignment horizontal="left"/>
      <protection hidden="1"/>
    </xf>
    <xf numFmtId="0" fontId="97" fillId="0" borderId="8" xfId="0" applyFont="1" applyBorder="1" applyProtection="1">
      <protection hidden="1"/>
    </xf>
    <xf numFmtId="0" fontId="97" fillId="0" borderId="8" xfId="0" applyFont="1" applyBorder="1" applyAlignment="1" applyProtection="1">
      <alignment horizontal="right"/>
      <protection hidden="1"/>
    </xf>
    <xf numFmtId="0" fontId="97" fillId="0" borderId="0" xfId="0" applyFont="1" applyProtection="1">
      <protection hidden="1"/>
    </xf>
    <xf numFmtId="0" fontId="54" fillId="0" borderId="0" xfId="0" applyFont="1" applyAlignment="1" applyProtection="1">
      <alignment horizontal="right"/>
      <protection hidden="1"/>
    </xf>
    <xf numFmtId="0" fontId="5" fillId="0" borderId="0" xfId="0" applyFont="1" applyAlignment="1" applyProtection="1">
      <alignment horizontal="left" indent="1"/>
      <protection hidden="1"/>
    </xf>
    <xf numFmtId="0" fontId="5" fillId="0" borderId="0" xfId="0" applyFont="1" applyAlignment="1" applyProtection="1">
      <alignment horizontal="left"/>
      <protection hidden="1"/>
    </xf>
    <xf numFmtId="0" fontId="5" fillId="0" borderId="1" xfId="0" applyFont="1" applyBorder="1" applyAlignment="1" applyProtection="1">
      <alignment horizontal="left"/>
      <protection hidden="1"/>
    </xf>
    <xf numFmtId="0" fontId="14" fillId="0" borderId="0" xfId="0" applyFont="1" applyAlignment="1" applyProtection="1">
      <alignment horizontal="right" indent="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center" vertical="center"/>
      <protection hidden="1"/>
    </xf>
    <xf numFmtId="0" fontId="81" fillId="4" borderId="23" xfId="0" applyFont="1" applyFill="1" applyBorder="1" applyAlignment="1" applyProtection="1">
      <alignment horizontal="right" indent="1"/>
      <protection hidden="1"/>
    </xf>
    <xf numFmtId="0" fontId="14" fillId="4" borderId="23" xfId="0" applyFont="1" applyFill="1" applyBorder="1" applyAlignment="1" applyProtection="1">
      <alignment horizontal="right" indent="1"/>
      <protection hidden="1"/>
    </xf>
    <xf numFmtId="0" fontId="0" fillId="4" borderId="24" xfId="0" applyFill="1" applyBorder="1" applyProtection="1">
      <protection hidden="1"/>
    </xf>
    <xf numFmtId="0" fontId="81" fillId="4" borderId="0" xfId="0" applyFont="1" applyFill="1" applyAlignment="1" applyProtection="1">
      <alignment horizontal="right" indent="1"/>
      <protection hidden="1"/>
    </xf>
    <xf numFmtId="0" fontId="81" fillId="4" borderId="0" xfId="0" applyFont="1" applyFill="1" applyAlignment="1" applyProtection="1">
      <alignment horizontal="right" vertical="top"/>
      <protection hidden="1"/>
    </xf>
    <xf numFmtId="0" fontId="77" fillId="4" borderId="0" xfId="0" applyFont="1" applyFill="1" applyProtection="1">
      <protection hidden="1"/>
    </xf>
    <xf numFmtId="0" fontId="81" fillId="4" borderId="0" xfId="0" applyFont="1" applyFill="1" applyAlignment="1" applyProtection="1">
      <alignment vertical="top"/>
      <protection hidden="1"/>
    </xf>
    <xf numFmtId="0" fontId="77" fillId="0" borderId="0" xfId="0" applyFont="1" applyProtection="1">
      <protection hidden="1"/>
    </xf>
    <xf numFmtId="0" fontId="5" fillId="0" borderId="1" xfId="0" applyFont="1" applyBorder="1" applyProtection="1">
      <protection hidden="1"/>
    </xf>
    <xf numFmtId="0" fontId="75" fillId="4" borderId="0" xfId="0" applyFont="1" applyFill="1" applyAlignment="1" applyProtection="1">
      <alignment horizontal="right" indent="1"/>
      <protection hidden="1"/>
    </xf>
    <xf numFmtId="0" fontId="75" fillId="4" borderId="23" xfId="0" applyFont="1" applyFill="1" applyBorder="1" applyAlignment="1" applyProtection="1">
      <alignment horizontal="right" indent="1"/>
      <protection hidden="1"/>
    </xf>
    <xf numFmtId="0" fontId="81" fillId="4" borderId="0" xfId="0" applyFont="1" applyFill="1" applyAlignment="1" applyProtection="1">
      <alignment horizontal="right"/>
      <protection hidden="1"/>
    </xf>
    <xf numFmtId="0" fontId="12" fillId="4" borderId="0" xfId="0" applyFont="1" applyFill="1" applyAlignment="1" applyProtection="1">
      <alignment vertical="top"/>
      <protection hidden="1"/>
    </xf>
    <xf numFmtId="0" fontId="195" fillId="4" borderId="0" xfId="0" applyFont="1" applyFill="1" applyAlignment="1" applyProtection="1">
      <alignment horizontal="right" vertical="top"/>
      <protection hidden="1"/>
    </xf>
    <xf numFmtId="0" fontId="81" fillId="4" borderId="0" xfId="0" applyFont="1" applyFill="1" applyAlignment="1" applyProtection="1">
      <alignment horizontal="center" vertical="top"/>
      <protection hidden="1"/>
    </xf>
    <xf numFmtId="0" fontId="56" fillId="0" borderId="0" xfId="0" applyFont="1" applyAlignment="1" applyProtection="1">
      <alignment vertical="top"/>
      <protection hidden="1"/>
    </xf>
    <xf numFmtId="0" fontId="201" fillId="0" borderId="0" xfId="0" applyFont="1" applyAlignment="1" applyProtection="1">
      <alignment horizontal="left"/>
      <protection hidden="1"/>
    </xf>
    <xf numFmtId="0" fontId="0" fillId="0" borderId="2" xfId="0" applyBorder="1" applyProtection="1">
      <protection hidden="1"/>
    </xf>
    <xf numFmtId="0" fontId="0" fillId="0" borderId="2" xfId="0" applyBorder="1" applyAlignment="1" applyProtection="1">
      <alignment horizontal="left" indent="1"/>
      <protection hidden="1"/>
    </xf>
    <xf numFmtId="0" fontId="78" fillId="0" borderId="2" xfId="0" applyFont="1" applyBorder="1" applyAlignment="1" applyProtection="1">
      <alignment horizontal="right"/>
      <protection hidden="1"/>
    </xf>
    <xf numFmtId="164" fontId="79" fillId="0" borderId="2" xfId="0" applyNumberFormat="1" applyFont="1" applyBorder="1" applyProtection="1">
      <protection hidden="1"/>
    </xf>
    <xf numFmtId="164" fontId="202" fillId="0" borderId="2" xfId="0" applyNumberFormat="1" applyFont="1" applyBorder="1" applyProtection="1">
      <protection hidden="1"/>
    </xf>
    <xf numFmtId="0" fontId="0" fillId="0" borderId="8" xfId="0" applyBorder="1" applyAlignment="1" applyProtection="1">
      <alignment horizontal="left"/>
      <protection hidden="1"/>
    </xf>
    <xf numFmtId="164" fontId="4" fillId="0" borderId="8" xfId="0" applyNumberFormat="1" applyFont="1" applyBorder="1" applyProtection="1">
      <protection hidden="1"/>
    </xf>
    <xf numFmtId="0" fontId="54" fillId="0" borderId="0" xfId="0" applyFont="1" applyProtection="1">
      <protection hidden="1"/>
    </xf>
    <xf numFmtId="164" fontId="4" fillId="0" borderId="0" xfId="0" applyNumberFormat="1" applyFont="1" applyAlignment="1" applyProtection="1">
      <alignment horizontal="right"/>
      <protection hidden="1"/>
    </xf>
    <xf numFmtId="0" fontId="4" fillId="0" borderId="0" xfId="0" applyFont="1" applyAlignment="1" applyProtection="1">
      <alignment vertical="center"/>
      <protection hidden="1"/>
    </xf>
    <xf numFmtId="0" fontId="61" fillId="0" borderId="0" xfId="0" applyFont="1" applyAlignment="1" applyProtection="1">
      <alignment horizontal="left" indent="1"/>
      <protection hidden="1"/>
    </xf>
    <xf numFmtId="0" fontId="8" fillId="0" borderId="0" xfId="0" applyFont="1" applyAlignment="1" applyProtection="1">
      <alignment horizontal="left" indent="1"/>
      <protection hidden="1"/>
    </xf>
    <xf numFmtId="0" fontId="4" fillId="0" borderId="0" xfId="0" applyFont="1" applyAlignment="1" applyProtection="1">
      <alignment horizontal="right" vertical="center"/>
      <protection hidden="1"/>
    </xf>
    <xf numFmtId="0" fontId="0" fillId="0" borderId="8" xfId="0" applyBorder="1" applyAlignment="1" applyProtection="1">
      <alignment horizontal="right"/>
      <protection hidden="1"/>
    </xf>
    <xf numFmtId="164" fontId="4" fillId="0" borderId="8" xfId="0" applyNumberFormat="1" applyFont="1" applyBorder="1" applyAlignment="1" applyProtection="1">
      <alignment horizontal="right"/>
      <protection hidden="1"/>
    </xf>
    <xf numFmtId="167" fontId="183" fillId="0" borderId="0" xfId="0" applyNumberFormat="1" applyFont="1" applyAlignment="1" applyProtection="1">
      <alignment vertical="top"/>
      <protection hidden="1"/>
    </xf>
    <xf numFmtId="0" fontId="0" fillId="0" borderId="0" xfId="0" applyAlignment="1" applyProtection="1">
      <alignment horizontal="right" wrapText="1"/>
      <protection hidden="1"/>
    </xf>
    <xf numFmtId="164" fontId="0" fillId="0" borderId="8" xfId="0" applyNumberFormat="1" applyBorder="1" applyAlignment="1" applyProtection="1">
      <alignment horizontal="right" vertical="center"/>
      <protection hidden="1"/>
    </xf>
    <xf numFmtId="0" fontId="0" fillId="0" borderId="2" xfId="0" applyBorder="1" applyAlignment="1" applyProtection="1">
      <alignment horizontal="left"/>
      <protection hidden="1"/>
    </xf>
    <xf numFmtId="164" fontId="5" fillId="0" borderId="2" xfId="0" applyNumberFormat="1" applyFont="1" applyBorder="1" applyProtection="1">
      <protection hidden="1"/>
    </xf>
    <xf numFmtId="164" fontId="0" fillId="0" borderId="2" xfId="0" applyNumberFormat="1" applyBorder="1" applyProtection="1">
      <protection hidden="1"/>
    </xf>
    <xf numFmtId="164" fontId="0" fillId="0" borderId="0" xfId="0" applyNumberFormat="1" applyAlignment="1" applyProtection="1">
      <alignment horizontal="right"/>
      <protection hidden="1"/>
    </xf>
    <xf numFmtId="164" fontId="58" fillId="0" borderId="0" xfId="0" applyNumberFormat="1" applyFont="1" applyAlignment="1" applyProtection="1">
      <alignment horizontal="right"/>
      <protection hidden="1"/>
    </xf>
    <xf numFmtId="164" fontId="5" fillId="0" borderId="0" xfId="0" applyNumberFormat="1" applyFont="1" applyProtection="1">
      <protection hidden="1"/>
    </xf>
    <xf numFmtId="164" fontId="0" fillId="0" borderId="0" xfId="0" applyNumberFormat="1" applyProtection="1">
      <protection hidden="1"/>
    </xf>
    <xf numFmtId="164" fontId="58" fillId="0" borderId="0" xfId="0" applyNumberFormat="1" applyFont="1" applyProtection="1">
      <protection hidden="1"/>
    </xf>
    <xf numFmtId="164" fontId="5" fillId="0" borderId="8" xfId="0" applyNumberFormat="1" applyFont="1" applyBorder="1" applyProtection="1">
      <protection hidden="1"/>
    </xf>
    <xf numFmtId="164" fontId="0" fillId="0" borderId="8" xfId="0" applyNumberFormat="1" applyBorder="1" applyProtection="1">
      <protection hidden="1"/>
    </xf>
    <xf numFmtId="0" fontId="0" fillId="0" borderId="1" xfId="0" applyBorder="1" applyAlignment="1" applyProtection="1">
      <alignment horizontal="left" vertical="center" indent="1"/>
      <protection hidden="1"/>
    </xf>
    <xf numFmtId="0" fontId="0" fillId="0" borderId="0" xfId="0" applyAlignment="1" applyProtection="1">
      <alignment horizontal="left" vertical="center" indent="1"/>
      <protection hidden="1"/>
    </xf>
    <xf numFmtId="0" fontId="0" fillId="0" borderId="48" xfId="0" applyBorder="1" applyAlignment="1" applyProtection="1">
      <alignment horizontal="right" vertical="center"/>
      <protection hidden="1"/>
    </xf>
    <xf numFmtId="0" fontId="35" fillId="0" borderId="48" xfId="0" applyFont="1" applyBorder="1" applyAlignment="1" applyProtection="1">
      <alignment horizontal="left" vertical="center" indent="1"/>
      <protection hidden="1"/>
    </xf>
    <xf numFmtId="0" fontId="78" fillId="0" borderId="0" xfId="0" applyFont="1" applyAlignment="1" applyProtection="1">
      <alignment horizontal="right"/>
      <protection hidden="1"/>
    </xf>
    <xf numFmtId="164" fontId="79" fillId="0" borderId="0" xfId="0" applyNumberFormat="1" applyFont="1" applyAlignment="1" applyProtection="1">
      <alignment horizontal="right"/>
      <protection hidden="1"/>
    </xf>
    <xf numFmtId="164" fontId="79" fillId="0" borderId="0" xfId="0" applyNumberFormat="1" applyFont="1" applyProtection="1">
      <protection hidden="1"/>
    </xf>
    <xf numFmtId="164" fontId="207" fillId="0" borderId="0" xfId="0" applyNumberFormat="1" applyFont="1" applyProtection="1">
      <protection hidden="1"/>
    </xf>
    <xf numFmtId="164" fontId="5" fillId="0" borderId="0" xfId="0" applyNumberFormat="1" applyFont="1" applyAlignment="1" applyProtection="1">
      <alignment horizontal="right"/>
      <protection hidden="1"/>
    </xf>
    <xf numFmtId="164" fontId="37" fillId="0" borderId="0" xfId="0" applyNumberFormat="1" applyFont="1" applyAlignment="1" applyProtection="1">
      <alignment horizontal="right"/>
      <protection hidden="1"/>
    </xf>
    <xf numFmtId="165" fontId="0" fillId="0" borderId="0" xfId="0" applyNumberFormat="1" applyAlignment="1" applyProtection="1">
      <alignment horizontal="left" indent="1"/>
      <protection hidden="1"/>
    </xf>
    <xf numFmtId="0" fontId="0" fillId="0" borderId="48" xfId="0" applyBorder="1" applyAlignment="1" applyProtection="1">
      <alignment horizontal="left"/>
      <protection hidden="1"/>
    </xf>
    <xf numFmtId="164" fontId="5" fillId="0" borderId="48" xfId="0" applyNumberFormat="1" applyFont="1" applyBorder="1" applyAlignment="1" applyProtection="1">
      <alignment horizontal="right"/>
      <protection hidden="1"/>
    </xf>
    <xf numFmtId="164" fontId="37" fillId="0" borderId="48" xfId="0" applyNumberFormat="1" applyFont="1" applyBorder="1" applyAlignment="1" applyProtection="1">
      <alignment horizontal="right"/>
      <protection hidden="1"/>
    </xf>
    <xf numFmtId="165" fontId="0" fillId="0" borderId="0" xfId="0" applyNumberFormat="1" applyAlignment="1" applyProtection="1">
      <alignment horizontal="left" indent="2"/>
      <protection hidden="1"/>
    </xf>
    <xf numFmtId="164" fontId="5" fillId="4" borderId="0" xfId="0" applyNumberFormat="1" applyFont="1" applyFill="1" applyAlignment="1" applyProtection="1">
      <alignment horizontal="right"/>
      <protection hidden="1"/>
    </xf>
    <xf numFmtId="165" fontId="0" fillId="4" borderId="0" xfId="0" applyNumberFormat="1" applyFill="1" applyAlignment="1" applyProtection="1">
      <alignment horizontal="left" indent="2"/>
      <protection hidden="1"/>
    </xf>
    <xf numFmtId="0" fontId="54" fillId="0" borderId="6" xfId="0" applyFont="1" applyBorder="1" applyAlignment="1" applyProtection="1">
      <alignment horizontal="left"/>
      <protection hidden="1"/>
    </xf>
    <xf numFmtId="167" fontId="203" fillId="4" borderId="0" xfId="0" applyNumberFormat="1" applyFont="1" applyFill="1" applyAlignment="1" applyProtection="1">
      <alignment horizontal="right" vertical="top"/>
      <protection hidden="1"/>
    </xf>
    <xf numFmtId="167" fontId="98" fillId="4" borderId="0" xfId="0" applyNumberFormat="1" applyFont="1" applyFill="1" applyAlignment="1" applyProtection="1">
      <alignment vertical="center"/>
      <protection hidden="1"/>
    </xf>
    <xf numFmtId="167" fontId="209" fillId="4" borderId="0" xfId="0" applyNumberFormat="1" applyFont="1" applyFill="1" applyAlignment="1" applyProtection="1">
      <alignment horizontal="right" vertical="top"/>
      <protection hidden="1"/>
    </xf>
    <xf numFmtId="167" fontId="206" fillId="4" borderId="0" xfId="0" applyNumberFormat="1" applyFont="1" applyFill="1" applyAlignment="1" applyProtection="1">
      <alignment horizontal="right" vertical="top"/>
      <protection hidden="1"/>
    </xf>
    <xf numFmtId="167" fontId="204" fillId="4" borderId="0" xfId="0" applyNumberFormat="1" applyFont="1" applyFill="1" applyAlignment="1" applyProtection="1">
      <alignment horizontal="right" vertical="top"/>
      <protection hidden="1"/>
    </xf>
    <xf numFmtId="167" fontId="205" fillId="4" borderId="0" xfId="0" applyNumberFormat="1" applyFont="1" applyFill="1" applyAlignment="1" applyProtection="1">
      <alignment horizontal="right" vertical="top"/>
      <protection hidden="1"/>
    </xf>
    <xf numFmtId="0" fontId="0" fillId="0" borderId="79" xfId="0" applyBorder="1" applyAlignment="1" applyProtection="1">
      <alignment horizontal="left"/>
      <protection hidden="1"/>
    </xf>
    <xf numFmtId="167" fontId="183" fillId="4" borderId="0" xfId="0" applyNumberFormat="1" applyFont="1" applyFill="1" applyAlignment="1" applyProtection="1">
      <alignment vertical="top"/>
      <protection hidden="1"/>
    </xf>
    <xf numFmtId="167" fontId="183" fillId="4" borderId="0" xfId="0" applyNumberFormat="1" applyFont="1" applyFill="1" applyAlignment="1" applyProtection="1">
      <alignment horizontal="right" vertical="top"/>
      <protection hidden="1"/>
    </xf>
    <xf numFmtId="167" fontId="98" fillId="4" borderId="0" xfId="0" applyNumberFormat="1" applyFont="1" applyFill="1" applyAlignment="1" applyProtection="1">
      <alignment horizontal="left" vertical="center" indent="5"/>
      <protection hidden="1"/>
    </xf>
    <xf numFmtId="0" fontId="0" fillId="4" borderId="0" xfId="0" applyFill="1" applyAlignment="1" applyProtection="1">
      <alignment horizontal="right"/>
      <protection hidden="1"/>
    </xf>
    <xf numFmtId="0" fontId="38" fillId="4" borderId="0" xfId="0" applyFont="1" applyFill="1" applyAlignment="1" applyProtection="1">
      <alignment horizontal="right"/>
      <protection hidden="1"/>
    </xf>
    <xf numFmtId="167" fontId="214" fillId="4" borderId="0" xfId="0" applyNumberFormat="1" applyFont="1" applyFill="1" applyAlignment="1" applyProtection="1">
      <alignment horizontal="right" vertical="center"/>
      <protection hidden="1"/>
    </xf>
    <xf numFmtId="0" fontId="0" fillId="4" borderId="0" xfId="0" applyFill="1" applyAlignment="1" applyProtection="1">
      <alignment horizontal="right" vertical="center"/>
      <protection hidden="1"/>
    </xf>
    <xf numFmtId="0" fontId="38" fillId="4" borderId="0" xfId="0" applyFont="1" applyFill="1" applyAlignment="1" applyProtection="1">
      <alignment horizontal="right" vertical="center"/>
      <protection hidden="1"/>
    </xf>
    <xf numFmtId="164" fontId="77" fillId="0" borderId="0" xfId="0" applyNumberFormat="1" applyFont="1" applyProtection="1">
      <protection hidden="1"/>
    </xf>
    <xf numFmtId="165" fontId="0" fillId="0" borderId="0" xfId="0" applyNumberFormat="1" applyAlignment="1" applyProtection="1">
      <alignment vertical="center"/>
      <protection hidden="1"/>
    </xf>
    <xf numFmtId="167" fontId="213" fillId="4" borderId="0" xfId="0" applyNumberFormat="1" applyFont="1" applyFill="1" applyAlignment="1" applyProtection="1">
      <alignment horizontal="right" vertical="center"/>
      <protection hidden="1"/>
    </xf>
    <xf numFmtId="164" fontId="0" fillId="4" borderId="0" xfId="0" applyNumberFormat="1" applyFill="1" applyAlignment="1" applyProtection="1">
      <alignment vertical="center"/>
      <protection hidden="1"/>
    </xf>
    <xf numFmtId="167" fontId="98" fillId="4" borderId="0" xfId="0" applyNumberFormat="1" applyFont="1" applyFill="1" applyAlignment="1" applyProtection="1">
      <alignment vertical="top"/>
      <protection hidden="1"/>
    </xf>
    <xf numFmtId="164" fontId="0" fillId="4" borderId="0" xfId="0" applyNumberFormat="1" applyFill="1" applyProtection="1">
      <protection hidden="1"/>
    </xf>
    <xf numFmtId="167" fontId="184" fillId="4" borderId="0" xfId="0" applyNumberFormat="1" applyFont="1" applyFill="1" applyAlignment="1" applyProtection="1">
      <alignment horizontal="right" vertical="center"/>
      <protection hidden="1"/>
    </xf>
    <xf numFmtId="167" fontId="216" fillId="4" borderId="0" xfId="0" applyNumberFormat="1" applyFont="1" applyFill="1" applyAlignment="1" applyProtection="1">
      <alignment horizontal="right" vertical="center"/>
      <protection hidden="1"/>
    </xf>
    <xf numFmtId="164" fontId="77" fillId="0" borderId="0" xfId="0" applyNumberFormat="1" applyFont="1" applyAlignment="1" applyProtection="1">
      <alignment vertical="center"/>
      <protection hidden="1"/>
    </xf>
    <xf numFmtId="167" fontId="215" fillId="4" borderId="0" xfId="0" applyNumberFormat="1" applyFont="1" applyFill="1" applyAlignment="1" applyProtection="1">
      <alignment horizontal="right" vertical="center"/>
      <protection hidden="1"/>
    </xf>
    <xf numFmtId="165" fontId="0" fillId="0" borderId="0" xfId="0" applyNumberFormat="1" applyProtection="1">
      <protection hidden="1"/>
    </xf>
    <xf numFmtId="164" fontId="12" fillId="4" borderId="0" xfId="0" applyNumberFormat="1" applyFont="1" applyFill="1" applyProtection="1">
      <protection hidden="1"/>
    </xf>
    <xf numFmtId="167" fontId="98" fillId="0" borderId="0" xfId="0" applyNumberFormat="1" applyFont="1" applyAlignment="1" applyProtection="1">
      <alignment vertical="center"/>
      <protection hidden="1"/>
    </xf>
    <xf numFmtId="164" fontId="12" fillId="0" borderId="0" xfId="0" applyNumberFormat="1" applyFont="1" applyProtection="1">
      <protection hidden="1"/>
    </xf>
    <xf numFmtId="0" fontId="0" fillId="0" borderId="58" xfId="0" applyBorder="1" applyAlignment="1" applyProtection="1">
      <alignment horizontal="right" indent="1"/>
      <protection hidden="1"/>
    </xf>
    <xf numFmtId="0" fontId="97" fillId="0" borderId="59" xfId="0" applyFont="1" applyBorder="1" applyAlignment="1" applyProtection="1">
      <alignment horizontal="right" vertical="center" indent="1"/>
      <protection hidden="1"/>
    </xf>
    <xf numFmtId="0" fontId="0" fillId="0" borderId="58" xfId="0" applyBorder="1" applyAlignment="1" applyProtection="1">
      <alignment horizontal="right" vertical="center" indent="1"/>
      <protection hidden="1"/>
    </xf>
    <xf numFmtId="0" fontId="0" fillId="0" borderId="6" xfId="0" applyBorder="1" applyAlignment="1" applyProtection="1">
      <alignment horizontal="right" vertical="center"/>
      <protection hidden="1"/>
    </xf>
    <xf numFmtId="164" fontId="181" fillId="0" borderId="0" xfId="0" applyNumberFormat="1" applyFont="1" applyAlignment="1" applyProtection="1">
      <alignment vertical="center"/>
      <protection hidden="1"/>
    </xf>
    <xf numFmtId="0" fontId="181" fillId="4" borderId="0" xfId="0" applyFont="1" applyFill="1" applyAlignment="1" applyProtection="1">
      <alignment vertical="center"/>
      <protection hidden="1"/>
    </xf>
    <xf numFmtId="0" fontId="0" fillId="0" borderId="58" xfId="0" applyBorder="1" applyAlignment="1" applyProtection="1">
      <alignment horizontal="center" vertical="center"/>
      <protection hidden="1"/>
    </xf>
    <xf numFmtId="0" fontId="0" fillId="0" borderId="48" xfId="0" applyBorder="1" applyAlignment="1" applyProtection="1">
      <alignment horizontal="center" vertical="center"/>
      <protection hidden="1"/>
    </xf>
    <xf numFmtId="167" fontId="98" fillId="4" borderId="0" xfId="0" applyNumberFormat="1" applyFont="1" applyFill="1" applyAlignment="1" applyProtection="1">
      <alignment vertical="top" wrapText="1"/>
      <protection hidden="1"/>
    </xf>
    <xf numFmtId="0" fontId="98" fillId="4" borderId="0" xfId="0" applyFont="1" applyFill="1" applyAlignment="1" applyProtection="1">
      <alignment horizontal="right" vertical="top" indent="2"/>
      <protection hidden="1"/>
    </xf>
    <xf numFmtId="0" fontId="0" fillId="0" borderId="3" xfId="0" applyBorder="1" applyProtection="1">
      <protection hidden="1"/>
    </xf>
    <xf numFmtId="0" fontId="97" fillId="0" borderId="0" xfId="0" applyFont="1" applyAlignment="1" applyProtection="1">
      <alignment horizontal="right" vertical="center" indent="1"/>
      <protection hidden="1"/>
    </xf>
    <xf numFmtId="164" fontId="4" fillId="0" borderId="7" xfId="0" applyNumberFormat="1" applyFont="1" applyBorder="1" applyAlignment="1" applyProtection="1">
      <alignment horizontal="right" vertical="center"/>
      <protection hidden="1"/>
    </xf>
    <xf numFmtId="164" fontId="4" fillId="0" borderId="0" xfId="0" applyNumberFormat="1" applyFont="1" applyAlignment="1" applyProtection="1">
      <alignment horizontal="right" vertical="center"/>
      <protection hidden="1"/>
    </xf>
    <xf numFmtId="164" fontId="4" fillId="0" borderId="46" xfId="0" applyNumberFormat="1" applyFont="1" applyBorder="1" applyAlignment="1" applyProtection="1">
      <alignment horizontal="right" vertical="center"/>
      <protection hidden="1"/>
    </xf>
    <xf numFmtId="0" fontId="0" fillId="0" borderId="63" xfId="0" applyBorder="1" applyAlignment="1" applyProtection="1">
      <alignment horizontal="center" vertical="center"/>
      <protection hidden="1"/>
    </xf>
    <xf numFmtId="0" fontId="0" fillId="39" borderId="304" xfId="0" applyFill="1" applyBorder="1" applyProtection="1">
      <protection hidden="1"/>
    </xf>
    <xf numFmtId="0" fontId="217" fillId="4" borderId="304" xfId="0" applyFont="1" applyFill="1" applyBorder="1" applyAlignment="1" applyProtection="1">
      <alignment horizontal="right" vertical="center" wrapText="1"/>
      <protection hidden="1"/>
    </xf>
    <xf numFmtId="167" fontId="98" fillId="0" borderId="0" xfId="0" applyNumberFormat="1" applyFont="1" applyAlignment="1" applyProtection="1">
      <alignment vertical="center" wrapText="1"/>
      <protection hidden="1"/>
    </xf>
    <xf numFmtId="0" fontId="0" fillId="0" borderId="8" xfId="0" applyBorder="1" applyAlignment="1" applyProtection="1">
      <alignment horizontal="right" indent="1"/>
      <protection hidden="1"/>
    </xf>
    <xf numFmtId="167" fontId="98" fillId="4" borderId="0" xfId="0" applyNumberFormat="1" applyFont="1" applyFill="1" applyAlignment="1" applyProtection="1">
      <alignment horizontal="left" vertical="center" indent="1"/>
      <protection hidden="1"/>
    </xf>
    <xf numFmtId="164" fontId="12" fillId="4" borderId="0" xfId="0" applyNumberFormat="1" applyFont="1" applyFill="1" applyAlignment="1" applyProtection="1">
      <alignment horizontal="right" vertical="center" indent="3"/>
      <protection hidden="1"/>
    </xf>
    <xf numFmtId="164" fontId="0" fillId="4" borderId="0" xfId="0" applyNumberFormat="1" applyFill="1" applyAlignment="1" applyProtection="1">
      <alignment horizontal="right" vertical="center" indent="3"/>
      <protection hidden="1"/>
    </xf>
    <xf numFmtId="167" fontId="98" fillId="4" borderId="0" xfId="0" applyNumberFormat="1" applyFont="1" applyFill="1" applyAlignment="1" applyProtection="1">
      <alignment horizontal="right" vertical="center" indent="1"/>
      <protection hidden="1"/>
    </xf>
    <xf numFmtId="0" fontId="212" fillId="38" borderId="301" xfId="0" applyFont="1" applyFill="1" applyBorder="1" applyProtection="1">
      <protection hidden="1"/>
    </xf>
    <xf numFmtId="0" fontId="0" fillId="4" borderId="301" xfId="0" applyFill="1" applyBorder="1" applyProtection="1">
      <protection hidden="1"/>
    </xf>
    <xf numFmtId="0" fontId="217" fillId="4" borderId="301" xfId="0" applyFont="1" applyFill="1" applyBorder="1" applyAlignment="1" applyProtection="1">
      <alignment horizontal="right" vertical="center" wrapText="1"/>
      <protection hidden="1"/>
    </xf>
    <xf numFmtId="164" fontId="4" fillId="0" borderId="4" xfId="0" applyNumberFormat="1" applyFont="1" applyBorder="1" applyAlignment="1" applyProtection="1">
      <alignment horizontal="right" vertical="center"/>
      <protection hidden="1"/>
    </xf>
    <xf numFmtId="164" fontId="4" fillId="0" borderId="8" xfId="0" applyNumberFormat="1" applyFont="1" applyBorder="1" applyAlignment="1" applyProtection="1">
      <alignment horizontal="right" vertical="center"/>
      <protection hidden="1"/>
    </xf>
    <xf numFmtId="164" fontId="4" fillId="0" borderId="5" xfId="0" applyNumberFormat="1" applyFont="1" applyBorder="1" applyAlignment="1" applyProtection="1">
      <alignment horizontal="right" vertical="center"/>
      <protection hidden="1"/>
    </xf>
    <xf numFmtId="164" fontId="15" fillId="0" borderId="4" xfId="0" applyNumberFormat="1" applyFont="1" applyBorder="1" applyAlignment="1" applyProtection="1">
      <alignment horizontal="right" vertical="center"/>
      <protection hidden="1"/>
    </xf>
    <xf numFmtId="164" fontId="15" fillId="0" borderId="8" xfId="0" applyNumberFormat="1" applyFont="1" applyBorder="1" applyAlignment="1" applyProtection="1">
      <alignment horizontal="right" vertical="center"/>
      <protection hidden="1"/>
    </xf>
    <xf numFmtId="164" fontId="15" fillId="0" borderId="5" xfId="0" applyNumberFormat="1" applyFont="1" applyBorder="1" applyAlignment="1" applyProtection="1">
      <alignment horizontal="right" vertical="center"/>
      <protection hidden="1"/>
    </xf>
    <xf numFmtId="165" fontId="0" fillId="0" borderId="6" xfId="0" applyNumberFormat="1" applyBorder="1" applyProtection="1">
      <protection hidden="1"/>
    </xf>
    <xf numFmtId="165" fontId="0" fillId="0" borderId="79" xfId="0" applyNumberFormat="1" applyBorder="1" applyProtection="1">
      <protection hidden="1"/>
    </xf>
    <xf numFmtId="6" fontId="5" fillId="0" borderId="0" xfId="0" applyNumberFormat="1" applyFont="1" applyProtection="1">
      <protection hidden="1"/>
    </xf>
    <xf numFmtId="0" fontId="0" fillId="0" borderId="1" xfId="0" applyBorder="1" applyProtection="1">
      <protection hidden="1"/>
    </xf>
    <xf numFmtId="0" fontId="5" fillId="0" borderId="1" xfId="0" applyFont="1" applyBorder="1" applyAlignment="1" applyProtection="1">
      <alignment horizontal="right" vertical="center"/>
      <protection hidden="1"/>
    </xf>
    <xf numFmtId="0" fontId="5" fillId="0" borderId="0" xfId="0" applyFont="1" applyAlignment="1" applyProtection="1">
      <alignment horizontal="right" vertical="center"/>
      <protection hidden="1"/>
    </xf>
    <xf numFmtId="0" fontId="85" fillId="4" borderId="141" xfId="0" applyFont="1" applyFill="1" applyBorder="1" applyAlignment="1" applyProtection="1">
      <alignment horizontal="left" vertical="center" indent="1"/>
      <protection hidden="1"/>
    </xf>
    <xf numFmtId="0" fontId="31" fillId="0" borderId="0" xfId="0" applyFont="1" applyProtection="1">
      <protection hidden="1"/>
    </xf>
    <xf numFmtId="0" fontId="6" fillId="0" borderId="0" xfId="0" applyFont="1" applyProtection="1">
      <protection hidden="1"/>
    </xf>
    <xf numFmtId="0" fontId="54" fillId="0" borderId="8" xfId="0" applyFont="1" applyBorder="1" applyAlignment="1" applyProtection="1">
      <alignment horizontal="left" vertical="center"/>
      <protection hidden="1"/>
    </xf>
    <xf numFmtId="0" fontId="6" fillId="0" borderId="8" xfId="0" applyFont="1" applyBorder="1" applyAlignment="1" applyProtection="1">
      <alignment vertical="center"/>
      <protection hidden="1"/>
    </xf>
    <xf numFmtId="0" fontId="208" fillId="0" borderId="0" xfId="0" applyFont="1" applyProtection="1">
      <protection hidden="1"/>
    </xf>
    <xf numFmtId="0" fontId="44" fillId="0" borderId="0" xfId="0" applyFont="1" applyAlignment="1" applyProtection="1">
      <alignment horizontal="right"/>
      <protection hidden="1"/>
    </xf>
    <xf numFmtId="0" fontId="6" fillId="0" borderId="0" xfId="0" applyFont="1" applyAlignment="1" applyProtection="1">
      <alignment horizontal="right"/>
      <protection hidden="1"/>
    </xf>
    <xf numFmtId="0" fontId="44" fillId="0" borderId="3" xfId="0" applyFont="1" applyBorder="1" applyAlignment="1" applyProtection="1">
      <alignment horizontal="right" vertical="center"/>
      <protection hidden="1"/>
    </xf>
    <xf numFmtId="1" fontId="224" fillId="0" borderId="54" xfId="0" applyNumberFormat="1" applyFont="1" applyBorder="1" applyAlignment="1" applyProtection="1">
      <alignment horizontal="center" vertical="center"/>
      <protection hidden="1"/>
    </xf>
    <xf numFmtId="0" fontId="44" fillId="0" borderId="4" xfId="0" applyFont="1" applyBorder="1" applyAlignment="1" applyProtection="1">
      <alignment horizontal="right" vertical="center"/>
      <protection hidden="1"/>
    </xf>
    <xf numFmtId="1" fontId="224" fillId="0" borderId="5" xfId="0" applyNumberFormat="1" applyFont="1" applyBorder="1" applyAlignment="1" applyProtection="1">
      <alignment horizontal="center" vertical="center"/>
      <protection hidden="1"/>
    </xf>
    <xf numFmtId="1" fontId="156" fillId="0" borderId="0" xfId="0" applyNumberFormat="1" applyFont="1" applyProtection="1">
      <protection hidden="1"/>
    </xf>
    <xf numFmtId="0" fontId="158" fillId="4" borderId="232" xfId="0" applyFont="1" applyFill="1" applyBorder="1" applyAlignment="1" applyProtection="1">
      <alignment horizontal="left" vertical="center" indent="1"/>
      <protection hidden="1"/>
    </xf>
    <xf numFmtId="0" fontId="157" fillId="34" borderId="0" xfId="0" applyFont="1" applyFill="1" applyAlignment="1" applyProtection="1">
      <alignment vertical="center"/>
      <protection hidden="1"/>
    </xf>
    <xf numFmtId="0" fontId="0" fillId="0" borderId="0" xfId="0" applyAlignment="1" applyProtection="1">
      <alignment horizontal="center"/>
      <protection hidden="1"/>
    </xf>
    <xf numFmtId="3" fontId="14" fillId="4" borderId="0" xfId="0" applyNumberFormat="1" applyFont="1" applyFill="1" applyAlignment="1" applyProtection="1">
      <alignment horizontal="right" vertical="center"/>
      <protection hidden="1"/>
    </xf>
    <xf numFmtId="0" fontId="32" fillId="4" borderId="0" xfId="0" applyFont="1" applyFill="1" applyAlignment="1" applyProtection="1">
      <alignment horizontal="center"/>
      <protection hidden="1"/>
    </xf>
    <xf numFmtId="167" fontId="99" fillId="4" borderId="0" xfId="0" applyNumberFormat="1" applyFont="1" applyFill="1" applyAlignment="1">
      <alignment horizontal="left" vertical="top"/>
    </xf>
    <xf numFmtId="167" fontId="0" fillId="0" borderId="0" xfId="0" applyNumberFormat="1"/>
    <xf numFmtId="0" fontId="18" fillId="4" borderId="0" xfId="0" applyFont="1" applyFill="1" applyAlignment="1">
      <alignment vertical="top"/>
    </xf>
    <xf numFmtId="167" fontId="229" fillId="4" borderId="0" xfId="0" applyNumberFormat="1" applyFont="1" applyFill="1" applyAlignment="1">
      <alignment horizontal="right" vertical="top"/>
    </xf>
    <xf numFmtId="0" fontId="5" fillId="0" borderId="102" xfId="0" applyFont="1" applyBorder="1" applyAlignment="1">
      <alignment vertical="top"/>
    </xf>
    <xf numFmtId="167" fontId="231" fillId="4" borderId="0" xfId="0" applyNumberFormat="1" applyFont="1" applyFill="1" applyAlignment="1">
      <alignment horizontal="right" vertical="top"/>
    </xf>
    <xf numFmtId="167" fontId="232" fillId="4" borderId="0" xfId="0" applyNumberFormat="1" applyFont="1" applyFill="1" applyAlignment="1">
      <alignment horizontal="right" vertical="top"/>
    </xf>
    <xf numFmtId="167" fontId="233" fillId="4" borderId="0" xfId="0" applyNumberFormat="1" applyFont="1" applyFill="1" applyAlignment="1">
      <alignment horizontal="right" vertical="top"/>
    </xf>
    <xf numFmtId="0" fontId="230" fillId="0" borderId="0" xfId="0" applyFont="1" applyAlignment="1">
      <alignment horizontal="right"/>
    </xf>
    <xf numFmtId="0" fontId="138" fillId="0" borderId="0" xfId="0" applyFont="1" applyAlignment="1">
      <alignment horizontal="right"/>
    </xf>
    <xf numFmtId="0" fontId="4" fillId="0" borderId="0" xfId="0" applyFont="1" applyAlignment="1">
      <alignment horizontal="right" vertical="top" wrapText="1"/>
    </xf>
    <xf numFmtId="0" fontId="40" fillId="0" borderId="0" xfId="0" applyFont="1" applyAlignment="1">
      <alignment vertical="center"/>
    </xf>
    <xf numFmtId="165"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right" vertical="center"/>
    </xf>
    <xf numFmtId="0" fontId="5" fillId="0" borderId="0" xfId="0" applyFont="1" applyAlignment="1">
      <alignment horizontal="left" vertical="center"/>
    </xf>
    <xf numFmtId="165" fontId="4" fillId="0" borderId="0" xfId="0" applyNumberFormat="1" applyFont="1" applyAlignment="1">
      <alignment vertical="center"/>
    </xf>
    <xf numFmtId="0" fontId="35" fillId="0" borderId="0" xfId="0" applyFont="1"/>
    <xf numFmtId="0" fontId="61" fillId="0" borderId="0" xfId="0" applyFont="1"/>
    <xf numFmtId="0" fontId="5" fillId="0" borderId="58" xfId="0" applyFont="1" applyBorder="1"/>
    <xf numFmtId="0" fontId="5" fillId="0" borderId="59" xfId="0" applyFont="1" applyBorder="1"/>
    <xf numFmtId="0" fontId="0" fillId="0" borderId="0" xfId="0" applyAlignment="1">
      <alignment horizontal="center"/>
    </xf>
    <xf numFmtId="164" fontId="4" fillId="0" borderId="0" xfId="0" applyNumberFormat="1" applyFont="1" applyAlignment="1">
      <alignment wrapText="1"/>
    </xf>
    <xf numFmtId="164" fontId="236" fillId="0" borderId="0" xfId="0" applyNumberFormat="1" applyFont="1"/>
    <xf numFmtId="164" fontId="4" fillId="4" borderId="0" xfId="0" applyNumberFormat="1" applyFont="1" applyFill="1"/>
    <xf numFmtId="0" fontId="226" fillId="4" borderId="0" xfId="0" applyFont="1" applyFill="1" applyAlignment="1" applyProtection="1">
      <alignment horizontal="left"/>
      <protection hidden="1"/>
    </xf>
    <xf numFmtId="0" fontId="226" fillId="4" borderId="0" xfId="0" applyFont="1" applyFill="1" applyAlignment="1" applyProtection="1">
      <alignment horizontal="left" indent="2"/>
      <protection hidden="1"/>
    </xf>
    <xf numFmtId="0" fontId="84" fillId="4" borderId="0" xfId="0" applyFont="1" applyFill="1" applyAlignment="1">
      <alignment horizontal="left"/>
    </xf>
    <xf numFmtId="0" fontId="84" fillId="4" borderId="0" xfId="0" applyFont="1" applyFill="1" applyAlignment="1">
      <alignment horizontal="left" indent="2"/>
    </xf>
    <xf numFmtId="0" fontId="226" fillId="4" borderId="0" xfId="0" applyFont="1" applyFill="1" applyAlignment="1" applyProtection="1">
      <alignment horizontal="left" vertical="center"/>
      <protection hidden="1"/>
    </xf>
    <xf numFmtId="0" fontId="0" fillId="4" borderId="0" xfId="0" applyFill="1" applyAlignment="1">
      <alignment horizontal="center"/>
    </xf>
    <xf numFmtId="0" fontId="12" fillId="27" borderId="11" xfId="0" applyFont="1" applyFill="1" applyBorder="1" applyProtection="1">
      <protection hidden="1"/>
    </xf>
    <xf numFmtId="0" fontId="12" fillId="27" borderId="12" xfId="0" applyFont="1" applyFill="1" applyBorder="1" applyProtection="1">
      <protection hidden="1"/>
    </xf>
    <xf numFmtId="0" fontId="12" fillId="27" borderId="13" xfId="0" applyFont="1" applyFill="1" applyBorder="1" applyProtection="1">
      <protection hidden="1"/>
    </xf>
    <xf numFmtId="0" fontId="12" fillId="4" borderId="14" xfId="0" applyFont="1" applyFill="1" applyBorder="1" applyProtection="1">
      <protection hidden="1"/>
    </xf>
    <xf numFmtId="0" fontId="12" fillId="27" borderId="19" xfId="0" applyFont="1" applyFill="1" applyBorder="1" applyProtection="1">
      <protection hidden="1"/>
    </xf>
    <xf numFmtId="0" fontId="12" fillId="27" borderId="20" xfId="0" applyFont="1" applyFill="1" applyBorder="1" applyProtection="1">
      <protection hidden="1"/>
    </xf>
    <xf numFmtId="0" fontId="12" fillId="27" borderId="14" xfId="0" applyFont="1" applyFill="1" applyBorder="1" applyProtection="1">
      <protection hidden="1"/>
    </xf>
    <xf numFmtId="0" fontId="12" fillId="27" borderId="15" xfId="0" applyFont="1" applyFill="1" applyBorder="1" applyProtection="1">
      <protection hidden="1"/>
    </xf>
    <xf numFmtId="0" fontId="31" fillId="27" borderId="14" xfId="0" applyFont="1" applyFill="1" applyBorder="1" applyAlignment="1" applyProtection="1">
      <alignment horizontal="left" vertical="top"/>
      <protection hidden="1"/>
    </xf>
    <xf numFmtId="0" fontId="29" fillId="4" borderId="19" xfId="0" applyFont="1" applyFill="1" applyBorder="1" applyAlignment="1" applyProtection="1">
      <alignment horizontal="left" vertical="top" indent="1"/>
      <protection hidden="1"/>
    </xf>
    <xf numFmtId="0" fontId="12" fillId="27" borderId="27" xfId="0" applyFont="1" applyFill="1" applyBorder="1" applyProtection="1">
      <protection hidden="1"/>
    </xf>
    <xf numFmtId="0" fontId="12" fillId="27" borderId="330" xfId="0" applyFont="1" applyFill="1" applyBorder="1" applyProtection="1">
      <protection hidden="1"/>
    </xf>
    <xf numFmtId="0" fontId="0" fillId="27" borderId="27" xfId="0" applyFill="1" applyBorder="1" applyProtection="1">
      <protection hidden="1"/>
    </xf>
    <xf numFmtId="0" fontId="31" fillId="27" borderId="15" xfId="0" applyFont="1" applyFill="1" applyBorder="1" applyAlignment="1" applyProtection="1">
      <alignment horizontal="left" vertical="top"/>
      <protection hidden="1"/>
    </xf>
    <xf numFmtId="0" fontId="0" fillId="4" borderId="14" xfId="0" applyFill="1" applyBorder="1" applyProtection="1">
      <protection hidden="1"/>
    </xf>
    <xf numFmtId="0" fontId="31" fillId="4" borderId="22" xfId="0" applyFont="1" applyFill="1" applyBorder="1" applyAlignment="1" applyProtection="1">
      <alignment horizontal="center" vertical="center"/>
      <protection hidden="1"/>
    </xf>
    <xf numFmtId="0" fontId="31" fillId="27" borderId="27" xfId="0" applyFont="1" applyFill="1" applyBorder="1" applyAlignment="1" applyProtection="1">
      <alignment horizontal="left" indent="1"/>
      <protection hidden="1"/>
    </xf>
    <xf numFmtId="0" fontId="1" fillId="27" borderId="330" xfId="0" applyFont="1" applyFill="1" applyBorder="1" applyProtection="1">
      <protection hidden="1"/>
    </xf>
    <xf numFmtId="0" fontId="31" fillId="4" borderId="14" xfId="0" applyFont="1" applyFill="1" applyBorder="1" applyAlignment="1" applyProtection="1">
      <alignment horizontal="left" vertical="center"/>
      <protection hidden="1"/>
    </xf>
    <xf numFmtId="0" fontId="0" fillId="27" borderId="23" xfId="0" applyFill="1" applyBorder="1" applyProtection="1">
      <protection hidden="1"/>
    </xf>
    <xf numFmtId="0" fontId="17" fillId="27" borderId="14" xfId="0" applyFont="1" applyFill="1" applyBorder="1" applyAlignment="1" applyProtection="1">
      <alignment horizontal="left"/>
      <protection hidden="1"/>
    </xf>
    <xf numFmtId="0" fontId="17" fillId="4" borderId="22" xfId="0" applyFont="1" applyFill="1" applyBorder="1" applyAlignment="1" applyProtection="1">
      <alignment horizontal="left" vertical="center"/>
      <protection hidden="1"/>
    </xf>
    <xf numFmtId="0" fontId="12" fillId="27" borderId="14" xfId="0" applyFont="1" applyFill="1" applyBorder="1" applyAlignment="1" applyProtection="1">
      <alignment vertical="center"/>
      <protection hidden="1"/>
    </xf>
    <xf numFmtId="0" fontId="17" fillId="27" borderId="15" xfId="0" applyFont="1" applyFill="1" applyBorder="1" applyAlignment="1" applyProtection="1">
      <alignment horizontal="left"/>
      <protection hidden="1"/>
    </xf>
    <xf numFmtId="0" fontId="17" fillId="4" borderId="14" xfId="0" applyFont="1" applyFill="1" applyBorder="1" applyAlignment="1" applyProtection="1">
      <alignment horizontal="left"/>
      <protection hidden="1"/>
    </xf>
    <xf numFmtId="0" fontId="47" fillId="4" borderId="0" xfId="0" applyFont="1" applyFill="1" applyAlignment="1" applyProtection="1">
      <alignment horizontal="left" vertical="center"/>
      <protection hidden="1"/>
    </xf>
    <xf numFmtId="0" fontId="17" fillId="27" borderId="27" xfId="0" applyFont="1" applyFill="1" applyBorder="1" applyAlignment="1" applyProtection="1">
      <alignment horizontal="left"/>
      <protection hidden="1"/>
    </xf>
    <xf numFmtId="0" fontId="17" fillId="27" borderId="330" xfId="0" applyFont="1" applyFill="1" applyBorder="1" applyAlignment="1" applyProtection="1">
      <alignment horizontal="left"/>
      <protection hidden="1"/>
    </xf>
    <xf numFmtId="0" fontId="0" fillId="27" borderId="27" xfId="0" applyFill="1" applyBorder="1" applyAlignment="1" applyProtection="1">
      <alignment vertical="center"/>
      <protection hidden="1"/>
    </xf>
    <xf numFmtId="0" fontId="14" fillId="27" borderId="14" xfId="0" applyFont="1" applyFill="1" applyBorder="1" applyAlignment="1" applyProtection="1">
      <alignment vertical="center"/>
      <protection hidden="1"/>
    </xf>
    <xf numFmtId="166" fontId="14" fillId="4" borderId="22" xfId="0" applyNumberFormat="1" applyFont="1" applyFill="1" applyBorder="1" applyAlignment="1" applyProtection="1">
      <alignment vertical="center"/>
      <protection hidden="1"/>
    </xf>
    <xf numFmtId="0" fontId="240" fillId="10" borderId="144" xfId="0" applyFont="1" applyFill="1" applyBorder="1" applyAlignment="1" applyProtection="1">
      <alignment horizontal="left" vertical="center" wrapText="1"/>
      <protection hidden="1"/>
    </xf>
    <xf numFmtId="0" fontId="240" fillId="11" borderId="331" xfId="0" applyFont="1" applyFill="1" applyBorder="1" applyAlignment="1" applyProtection="1">
      <alignment horizontal="left" vertical="center" wrapText="1"/>
      <protection hidden="1"/>
    </xf>
    <xf numFmtId="0" fontId="240" fillId="19" borderId="331" xfId="0" applyFont="1" applyFill="1" applyBorder="1" applyAlignment="1" applyProtection="1">
      <alignment horizontal="left" vertical="center" wrapText="1"/>
      <protection hidden="1"/>
    </xf>
    <xf numFmtId="0" fontId="240" fillId="14" borderId="331" xfId="0" applyFont="1" applyFill="1" applyBorder="1" applyAlignment="1" applyProtection="1">
      <alignment horizontal="left" vertical="center" wrapText="1"/>
      <protection hidden="1"/>
    </xf>
    <xf numFmtId="0" fontId="5" fillId="4" borderId="23" xfId="0" applyFont="1" applyFill="1" applyBorder="1" applyAlignment="1" applyProtection="1">
      <alignment vertical="center"/>
      <protection hidden="1"/>
    </xf>
    <xf numFmtId="0" fontId="14" fillId="27" borderId="15" xfId="0" applyFont="1" applyFill="1" applyBorder="1" applyAlignment="1" applyProtection="1">
      <alignment vertical="center"/>
      <protection hidden="1"/>
    </xf>
    <xf numFmtId="0" fontId="14" fillId="4" borderId="14" xfId="0" applyFont="1" applyFill="1" applyBorder="1" applyAlignment="1" applyProtection="1">
      <alignment horizontal="right" vertical="center"/>
      <protection hidden="1"/>
    </xf>
    <xf numFmtId="0" fontId="0" fillId="27" borderId="14" xfId="0" applyFill="1" applyBorder="1" applyAlignment="1" applyProtection="1">
      <alignment vertical="center"/>
      <protection hidden="1"/>
    </xf>
    <xf numFmtId="0" fontId="0" fillId="0" borderId="22" xfId="0" applyBorder="1" applyAlignment="1" applyProtection="1">
      <alignment vertical="center"/>
      <protection hidden="1"/>
    </xf>
    <xf numFmtId="0" fontId="14" fillId="27" borderId="27" xfId="0" applyFont="1" applyFill="1" applyBorder="1" applyAlignment="1" applyProtection="1">
      <alignment vertical="center"/>
      <protection hidden="1"/>
    </xf>
    <xf numFmtId="3" fontId="14" fillId="27" borderId="330" xfId="0" applyNumberFormat="1" applyFont="1" applyFill="1" applyBorder="1" applyAlignment="1" applyProtection="1">
      <alignment vertical="center"/>
      <protection hidden="1"/>
    </xf>
    <xf numFmtId="0" fontId="240" fillId="12" borderId="331" xfId="0" applyFont="1" applyFill="1" applyBorder="1" applyAlignment="1" applyProtection="1">
      <alignment horizontal="left" vertical="center" wrapText="1"/>
      <protection hidden="1"/>
    </xf>
    <xf numFmtId="3" fontId="14" fillId="4" borderId="0" xfId="0" applyNumberFormat="1" applyFont="1" applyFill="1" applyAlignment="1" applyProtection="1">
      <alignment vertical="center"/>
      <protection hidden="1"/>
    </xf>
    <xf numFmtId="0" fontId="12" fillId="4" borderId="24" xfId="0" applyFont="1" applyFill="1" applyBorder="1" applyAlignment="1" applyProtection="1">
      <alignment vertical="center"/>
      <protection hidden="1"/>
    </xf>
    <xf numFmtId="0" fontId="17" fillId="4" borderId="25" xfId="0" applyFont="1" applyFill="1" applyBorder="1" applyAlignment="1" applyProtection="1">
      <alignment vertical="center"/>
      <protection hidden="1"/>
    </xf>
    <xf numFmtId="3" fontId="14" fillId="27" borderId="330" xfId="0" applyNumberFormat="1" applyFont="1" applyFill="1" applyBorder="1" applyAlignment="1" applyProtection="1">
      <alignment horizontal="right" vertical="center"/>
      <protection hidden="1"/>
    </xf>
    <xf numFmtId="0" fontId="12" fillId="27" borderId="44" xfId="0" applyFont="1" applyFill="1" applyBorder="1" applyAlignment="1" applyProtection="1">
      <alignment vertical="center"/>
      <protection hidden="1"/>
    </xf>
    <xf numFmtId="0" fontId="17" fillId="27" borderId="44" xfId="0" applyFont="1" applyFill="1" applyBorder="1" applyAlignment="1" applyProtection="1">
      <alignment vertical="center"/>
      <protection hidden="1"/>
    </xf>
    <xf numFmtId="0" fontId="5" fillId="27" borderId="44" xfId="0" applyFont="1" applyFill="1" applyBorder="1" applyAlignment="1" applyProtection="1">
      <alignment vertical="center"/>
      <protection hidden="1"/>
    </xf>
    <xf numFmtId="0" fontId="17" fillId="4" borderId="0" xfId="0" applyFont="1" applyFill="1" applyProtection="1">
      <protection hidden="1"/>
    </xf>
    <xf numFmtId="0" fontId="12" fillId="27" borderId="22" xfId="0" applyFont="1" applyFill="1" applyBorder="1" applyAlignment="1" applyProtection="1">
      <alignment vertical="center"/>
      <protection hidden="1"/>
    </xf>
    <xf numFmtId="0" fontId="13" fillId="4" borderId="0" xfId="0" applyFont="1" applyFill="1" applyAlignment="1" applyProtection="1">
      <alignment vertical="center"/>
      <protection hidden="1"/>
    </xf>
    <xf numFmtId="0" fontId="14" fillId="27" borderId="23" xfId="0" applyFont="1" applyFill="1" applyBorder="1" applyAlignment="1" applyProtection="1">
      <alignment vertical="center"/>
      <protection hidden="1"/>
    </xf>
    <xf numFmtId="0" fontId="12" fillId="27" borderId="15" xfId="0" applyFont="1" applyFill="1" applyBorder="1" applyAlignment="1" applyProtection="1">
      <alignment vertical="center"/>
      <protection hidden="1"/>
    </xf>
    <xf numFmtId="0" fontId="12" fillId="4" borderId="14" xfId="0" applyFont="1" applyFill="1" applyBorder="1" applyAlignment="1" applyProtection="1">
      <alignment vertical="center"/>
      <protection hidden="1"/>
    </xf>
    <xf numFmtId="0" fontId="12" fillId="27" borderId="27" xfId="0" applyFont="1" applyFill="1" applyBorder="1" applyAlignment="1" applyProtection="1">
      <alignment vertical="center"/>
      <protection hidden="1"/>
    </xf>
    <xf numFmtId="0" fontId="12" fillId="27" borderId="330" xfId="0" applyFont="1" applyFill="1" applyBorder="1" applyAlignment="1" applyProtection="1">
      <alignment vertical="center"/>
      <protection hidden="1"/>
    </xf>
    <xf numFmtId="0" fontId="12" fillId="4" borderId="26" xfId="0" applyFont="1" applyFill="1" applyBorder="1" applyAlignment="1" applyProtection="1">
      <alignment vertical="center"/>
      <protection hidden="1"/>
    </xf>
    <xf numFmtId="0" fontId="12" fillId="27" borderId="17" xfId="0" applyFont="1" applyFill="1" applyBorder="1" applyAlignment="1" applyProtection="1">
      <alignment vertical="center"/>
      <protection hidden="1"/>
    </xf>
    <xf numFmtId="0" fontId="12" fillId="27" borderId="16" xfId="0" applyFont="1" applyFill="1" applyBorder="1" applyAlignment="1" applyProtection="1">
      <alignment vertical="center"/>
      <protection hidden="1"/>
    </xf>
    <xf numFmtId="0" fontId="17" fillId="27" borderId="16" xfId="0" applyFont="1" applyFill="1" applyBorder="1" applyAlignment="1" applyProtection="1">
      <alignment vertical="center"/>
      <protection hidden="1"/>
    </xf>
    <xf numFmtId="0" fontId="12" fillId="27" borderId="18" xfId="0" applyFont="1" applyFill="1" applyBorder="1" applyAlignment="1" applyProtection="1">
      <alignment vertical="center"/>
      <protection hidden="1"/>
    </xf>
    <xf numFmtId="0" fontId="12" fillId="27" borderId="17" xfId="0" applyFont="1" applyFill="1" applyBorder="1" applyProtection="1">
      <protection hidden="1"/>
    </xf>
    <xf numFmtId="0" fontId="12" fillId="27" borderId="16" xfId="0" applyFont="1" applyFill="1" applyBorder="1" applyProtection="1">
      <protection hidden="1"/>
    </xf>
    <xf numFmtId="0" fontId="12" fillId="27" borderId="18" xfId="0" applyFont="1" applyFill="1" applyBorder="1" applyProtection="1">
      <protection hidden="1"/>
    </xf>
    <xf numFmtId="0" fontId="12" fillId="27" borderId="332" xfId="0" applyFont="1" applyFill="1" applyBorder="1" applyProtection="1">
      <protection hidden="1"/>
    </xf>
    <xf numFmtId="0" fontId="12" fillId="4" borderId="15" xfId="0" applyFont="1" applyFill="1" applyBorder="1" applyProtection="1">
      <protection hidden="1"/>
    </xf>
    <xf numFmtId="0" fontId="241" fillId="4" borderId="0" xfId="0" applyFont="1" applyFill="1" applyAlignment="1" applyProtection="1">
      <alignment horizontal="left" vertical="center"/>
      <protection hidden="1"/>
    </xf>
    <xf numFmtId="0" fontId="238" fillId="4" borderId="0" xfId="0" applyFont="1" applyFill="1" applyProtection="1">
      <protection hidden="1"/>
    </xf>
    <xf numFmtId="0" fontId="238" fillId="27" borderId="330" xfId="0" applyFont="1" applyFill="1" applyBorder="1" applyProtection="1">
      <protection hidden="1"/>
    </xf>
    <xf numFmtId="0" fontId="241" fillId="4" borderId="0" xfId="0" applyFont="1" applyFill="1" applyAlignment="1" applyProtection="1">
      <alignment vertical="center"/>
      <protection hidden="1"/>
    </xf>
    <xf numFmtId="0" fontId="29" fillId="4" borderId="0" xfId="0" applyFont="1" applyFill="1" applyAlignment="1" applyProtection="1">
      <alignment horizontal="left" vertical="center"/>
      <protection hidden="1"/>
    </xf>
    <xf numFmtId="165" fontId="87" fillId="0" borderId="0" xfId="0" applyNumberFormat="1" applyFont="1" applyProtection="1">
      <protection hidden="1"/>
    </xf>
    <xf numFmtId="0" fontId="87" fillId="0" borderId="0" xfId="0" applyFont="1" applyProtection="1">
      <protection hidden="1"/>
    </xf>
    <xf numFmtId="0" fontId="87" fillId="27" borderId="330" xfId="0" applyFont="1" applyFill="1" applyBorder="1" applyProtection="1">
      <protection hidden="1"/>
    </xf>
    <xf numFmtId="0" fontId="88" fillId="0" borderId="0" xfId="0" applyFont="1" applyAlignment="1" applyProtection="1">
      <alignment horizontal="left" vertical="top" indent="1"/>
      <protection hidden="1"/>
    </xf>
    <xf numFmtId="164" fontId="12" fillId="4" borderId="0" xfId="0" applyNumberFormat="1" applyFont="1" applyFill="1" applyAlignment="1" applyProtection="1">
      <alignment horizontal="center" vertical="center"/>
      <protection hidden="1"/>
    </xf>
    <xf numFmtId="164" fontId="12" fillId="4" borderId="0" xfId="0" applyNumberFormat="1" applyFont="1" applyFill="1" applyAlignment="1" applyProtection="1">
      <alignment vertical="center"/>
      <protection hidden="1"/>
    </xf>
    <xf numFmtId="0" fontId="243" fillId="0" borderId="0" xfId="0" applyFont="1" applyProtection="1">
      <protection hidden="1"/>
    </xf>
    <xf numFmtId="0" fontId="85" fillId="0" borderId="0" xfId="0" applyFont="1" applyAlignment="1" applyProtection="1">
      <alignment horizontal="left" indent="1"/>
      <protection hidden="1"/>
    </xf>
    <xf numFmtId="0" fontId="241" fillId="4" borderId="0" xfId="0" applyFont="1" applyFill="1" applyAlignment="1" applyProtection="1">
      <alignment horizontal="left"/>
      <protection hidden="1"/>
    </xf>
    <xf numFmtId="0" fontId="226" fillId="0" borderId="0" xfId="0" applyFont="1" applyAlignment="1" applyProtection="1">
      <alignment horizontal="left" vertical="center"/>
      <protection hidden="1"/>
    </xf>
    <xf numFmtId="0" fontId="88" fillId="0" borderId="0" xfId="0" applyFont="1" applyAlignment="1" applyProtection="1">
      <alignment horizontal="left" vertical="center" indent="1"/>
      <protection hidden="1"/>
    </xf>
    <xf numFmtId="0" fontId="226" fillId="0" borderId="0" xfId="0" applyFont="1" applyAlignment="1" applyProtection="1">
      <alignment horizontal="left" vertical="center" indent="1"/>
      <protection hidden="1"/>
    </xf>
    <xf numFmtId="0" fontId="84" fillId="4" borderId="25" xfId="0" applyFont="1" applyFill="1" applyBorder="1" applyAlignment="1">
      <alignment horizontal="left"/>
    </xf>
    <xf numFmtId="0" fontId="84" fillId="4" borderId="25" xfId="0" applyFont="1" applyFill="1" applyBorder="1" applyAlignment="1">
      <alignment horizontal="left" indent="1"/>
    </xf>
    <xf numFmtId="0" fontId="12" fillId="27" borderId="0" xfId="0" applyFont="1" applyFill="1" applyProtection="1">
      <protection hidden="1"/>
    </xf>
    <xf numFmtId="0" fontId="84" fillId="27" borderId="16" xfId="0" applyFont="1" applyFill="1" applyBorder="1" applyAlignment="1">
      <alignment horizontal="left"/>
    </xf>
    <xf numFmtId="0" fontId="84" fillId="27" borderId="16" xfId="0" applyFont="1" applyFill="1" applyBorder="1" applyAlignment="1">
      <alignment horizontal="left" indent="1"/>
    </xf>
    <xf numFmtId="0" fontId="12" fillId="27" borderId="25" xfId="0" applyFont="1" applyFill="1" applyBorder="1" applyProtection="1">
      <protection hidden="1"/>
    </xf>
    <xf numFmtId="0" fontId="12" fillId="27" borderId="26" xfId="0" applyFont="1" applyFill="1" applyBorder="1" applyProtection="1">
      <protection hidden="1"/>
    </xf>
    <xf numFmtId="0" fontId="84" fillId="4" borderId="0" xfId="0" applyFont="1" applyFill="1" applyAlignment="1">
      <alignment horizontal="left" indent="1"/>
    </xf>
    <xf numFmtId="0" fontId="12" fillId="27" borderId="11" xfId="0" applyFont="1" applyFill="1" applyBorder="1" applyAlignment="1" applyProtection="1">
      <alignment vertical="center"/>
      <protection hidden="1"/>
    </xf>
    <xf numFmtId="0" fontId="12" fillId="27" borderId="12" xfId="0" applyFont="1" applyFill="1" applyBorder="1" applyAlignment="1" applyProtection="1">
      <alignment vertical="center"/>
      <protection hidden="1"/>
    </xf>
    <xf numFmtId="0" fontId="84" fillId="27" borderId="12" xfId="0" applyFont="1" applyFill="1" applyBorder="1" applyAlignment="1">
      <alignment horizontal="left"/>
    </xf>
    <xf numFmtId="0" fontId="0" fillId="27" borderId="12" xfId="0" applyFill="1" applyBorder="1" applyProtection="1">
      <protection hidden="1"/>
    </xf>
    <xf numFmtId="0" fontId="17" fillId="27" borderId="12" xfId="0" applyFont="1" applyFill="1" applyBorder="1" applyAlignment="1" applyProtection="1">
      <alignment vertical="center"/>
      <protection hidden="1"/>
    </xf>
    <xf numFmtId="0" fontId="0" fillId="27" borderId="20" xfId="0" applyFill="1" applyBorder="1" applyProtection="1">
      <protection hidden="1"/>
    </xf>
    <xf numFmtId="0" fontId="243" fillId="27" borderId="20" xfId="0" applyFont="1" applyFill="1" applyBorder="1" applyProtection="1">
      <protection hidden="1"/>
    </xf>
    <xf numFmtId="0" fontId="12" fillId="27" borderId="21" xfId="0" applyFont="1" applyFill="1" applyBorder="1" applyProtection="1">
      <protection hidden="1"/>
    </xf>
    <xf numFmtId="0" fontId="12" fillId="4" borderId="19" xfId="0" applyFont="1" applyFill="1" applyBorder="1" applyAlignment="1" applyProtection="1">
      <alignment vertical="center"/>
      <protection hidden="1"/>
    </xf>
    <xf numFmtId="0" fontId="84" fillId="4" borderId="20" xfId="0" applyFont="1" applyFill="1" applyBorder="1" applyAlignment="1">
      <alignment horizontal="left" indent="1"/>
    </xf>
    <xf numFmtId="0" fontId="17" fillId="4" borderId="20" xfId="0" applyFont="1" applyFill="1" applyBorder="1" applyAlignment="1" applyProtection="1">
      <alignment vertical="center"/>
      <protection hidden="1"/>
    </xf>
    <xf numFmtId="0" fontId="243" fillId="4" borderId="20" xfId="0" applyFont="1" applyFill="1" applyBorder="1" applyProtection="1">
      <protection hidden="1"/>
    </xf>
    <xf numFmtId="0" fontId="12" fillId="27" borderId="23" xfId="0" applyFont="1" applyFill="1" applyBorder="1" applyProtection="1">
      <protection hidden="1"/>
    </xf>
    <xf numFmtId="0" fontId="243" fillId="4" borderId="0" xfId="0" applyFont="1" applyFill="1" applyProtection="1">
      <protection hidden="1"/>
    </xf>
    <xf numFmtId="0" fontId="12" fillId="4" borderId="12" xfId="0" applyFont="1" applyFill="1" applyBorder="1" applyProtection="1">
      <protection hidden="1"/>
    </xf>
    <xf numFmtId="0" fontId="17" fillId="4" borderId="0" xfId="0" applyFont="1" applyFill="1" applyAlignment="1" applyProtection="1">
      <alignment vertical="top"/>
      <protection hidden="1"/>
    </xf>
    <xf numFmtId="0" fontId="0" fillId="27" borderId="14" xfId="0" applyFill="1" applyBorder="1" applyProtection="1">
      <protection hidden="1"/>
    </xf>
    <xf numFmtId="0" fontId="29" fillId="4" borderId="22" xfId="0" applyFont="1" applyFill="1" applyBorder="1" applyAlignment="1" applyProtection="1">
      <alignment horizontal="left" vertical="top"/>
      <protection hidden="1"/>
    </xf>
    <xf numFmtId="0" fontId="31" fillId="27" borderId="14" xfId="0" applyFont="1" applyFill="1" applyBorder="1" applyAlignment="1" applyProtection="1">
      <alignment horizontal="left" indent="1"/>
      <protection hidden="1"/>
    </xf>
    <xf numFmtId="0" fontId="237" fillId="4" borderId="0" xfId="0" applyFont="1" applyFill="1" applyAlignment="1" applyProtection="1">
      <alignment horizontal="left" vertical="center" indent="1"/>
      <protection hidden="1"/>
    </xf>
    <xf numFmtId="0" fontId="47" fillId="27" borderId="14" xfId="0" applyFont="1" applyFill="1" applyBorder="1" applyAlignment="1" applyProtection="1">
      <alignment horizontal="left" vertical="center"/>
      <protection hidden="1"/>
    </xf>
    <xf numFmtId="0" fontId="238" fillId="4" borderId="0" xfId="0" applyFont="1" applyFill="1" applyAlignment="1" applyProtection="1">
      <alignment horizontal="left" vertical="center"/>
      <protection hidden="1"/>
    </xf>
    <xf numFmtId="0" fontId="226" fillId="4" borderId="22" xfId="0" applyFont="1" applyFill="1" applyBorder="1" applyAlignment="1" applyProtection="1">
      <alignment horizontal="left"/>
      <protection hidden="1"/>
    </xf>
    <xf numFmtId="0" fontId="226" fillId="4" borderId="23" xfId="0" applyFont="1" applyFill="1" applyBorder="1" applyAlignment="1" applyProtection="1">
      <alignment horizontal="left"/>
      <protection hidden="1"/>
    </xf>
    <xf numFmtId="0" fontId="32" fillId="27" borderId="14" xfId="0" applyFont="1" applyFill="1" applyBorder="1" applyAlignment="1" applyProtection="1">
      <alignment horizontal="center"/>
      <protection hidden="1"/>
    </xf>
    <xf numFmtId="0" fontId="239" fillId="10" borderId="144" xfId="0" applyFont="1" applyFill="1" applyBorder="1" applyAlignment="1" applyProtection="1">
      <alignment horizontal="left" vertical="center" wrapText="1" indent="1"/>
      <protection hidden="1"/>
    </xf>
    <xf numFmtId="0" fontId="240" fillId="10" borderId="335" xfId="0" applyFont="1" applyFill="1" applyBorder="1" applyAlignment="1" applyProtection="1">
      <alignment horizontal="left" vertical="center" wrapText="1"/>
      <protection hidden="1"/>
    </xf>
    <xf numFmtId="0" fontId="239" fillId="10" borderId="336" xfId="0" applyFont="1" applyFill="1" applyBorder="1" applyAlignment="1" applyProtection="1">
      <alignment vertical="center" wrapText="1"/>
      <protection hidden="1"/>
    </xf>
    <xf numFmtId="0" fontId="239" fillId="10" borderId="144" xfId="0" applyFont="1" applyFill="1" applyBorder="1" applyAlignment="1" applyProtection="1">
      <alignment vertical="center" wrapText="1"/>
      <protection hidden="1"/>
    </xf>
    <xf numFmtId="0" fontId="239" fillId="11" borderId="331" xfId="0" applyFont="1" applyFill="1" applyBorder="1" applyAlignment="1" applyProtection="1">
      <alignment horizontal="left" vertical="center" wrapText="1" indent="1"/>
      <protection hidden="1"/>
    </xf>
    <xf numFmtId="0" fontId="240" fillId="11" borderId="337" xfId="0" applyFont="1" applyFill="1" applyBorder="1" applyAlignment="1" applyProtection="1">
      <alignment horizontal="left" vertical="center" wrapText="1"/>
      <protection hidden="1"/>
    </xf>
    <xf numFmtId="0" fontId="239" fillId="11" borderId="338" xfId="0" applyFont="1" applyFill="1" applyBorder="1" applyAlignment="1" applyProtection="1">
      <alignment vertical="center" wrapText="1"/>
      <protection hidden="1"/>
    </xf>
    <xf numFmtId="0" fontId="239" fillId="11" borderId="331" xfId="0" applyFont="1" applyFill="1" applyBorder="1" applyAlignment="1" applyProtection="1">
      <alignment vertical="center" wrapText="1"/>
      <protection hidden="1"/>
    </xf>
    <xf numFmtId="0" fontId="239" fillId="19" borderId="331" xfId="0" applyFont="1" applyFill="1" applyBorder="1" applyAlignment="1" applyProtection="1">
      <alignment horizontal="left" vertical="center" wrapText="1" indent="1"/>
      <protection hidden="1"/>
    </xf>
    <xf numFmtId="0" fontId="240" fillId="19" borderId="337" xfId="0" applyFont="1" applyFill="1" applyBorder="1" applyAlignment="1" applyProtection="1">
      <alignment horizontal="left" vertical="center" wrapText="1"/>
      <protection hidden="1"/>
    </xf>
    <xf numFmtId="0" fontId="239" fillId="19" borderId="338" xfId="0" applyFont="1" applyFill="1" applyBorder="1" applyAlignment="1" applyProtection="1">
      <alignment vertical="center" wrapText="1"/>
      <protection hidden="1"/>
    </xf>
    <xf numFmtId="0" fontId="239" fillId="19" borderId="331" xfId="0" applyFont="1" applyFill="1" applyBorder="1" applyAlignment="1" applyProtection="1">
      <alignment vertical="center" wrapText="1"/>
      <protection hidden="1"/>
    </xf>
    <xf numFmtId="0" fontId="239" fillId="14" borderId="331" xfId="0" applyFont="1" applyFill="1" applyBorder="1" applyAlignment="1" applyProtection="1">
      <alignment horizontal="left" vertical="center" wrapText="1" indent="1"/>
      <protection hidden="1"/>
    </xf>
    <xf numFmtId="0" fontId="240" fillId="14" borderId="337" xfId="0" applyFont="1" applyFill="1" applyBorder="1" applyAlignment="1" applyProtection="1">
      <alignment horizontal="left" vertical="center" wrapText="1"/>
      <protection hidden="1"/>
    </xf>
    <xf numFmtId="0" fontId="239" fillId="14" borderId="338" xfId="0" applyFont="1" applyFill="1" applyBorder="1" applyAlignment="1" applyProtection="1">
      <alignment vertical="center" wrapText="1"/>
      <protection hidden="1"/>
    </xf>
    <xf numFmtId="0" fontId="239" fillId="14" borderId="331" xfId="0" applyFont="1" applyFill="1" applyBorder="1" applyAlignment="1" applyProtection="1">
      <alignment vertical="center" wrapText="1"/>
      <protection hidden="1"/>
    </xf>
    <xf numFmtId="0" fontId="239" fillId="12" borderId="331" xfId="0" applyFont="1" applyFill="1" applyBorder="1" applyAlignment="1" applyProtection="1">
      <alignment horizontal="left" vertical="center" wrapText="1" indent="1"/>
      <protection hidden="1"/>
    </xf>
    <xf numFmtId="0" fontId="240" fillId="12" borderId="337" xfId="0" applyFont="1" applyFill="1" applyBorder="1" applyAlignment="1" applyProtection="1">
      <alignment horizontal="left" vertical="center" wrapText="1"/>
      <protection hidden="1"/>
    </xf>
    <xf numFmtId="0" fontId="239" fillId="12" borderId="338" xfId="0" applyFont="1" applyFill="1" applyBorder="1" applyAlignment="1" applyProtection="1">
      <alignment vertical="center" wrapText="1"/>
      <protection hidden="1"/>
    </xf>
    <xf numFmtId="0" fontId="239" fillId="12" borderId="331" xfId="0" applyFont="1" applyFill="1" applyBorder="1" applyAlignment="1" applyProtection="1">
      <alignment vertical="center" wrapText="1"/>
      <protection hidden="1"/>
    </xf>
    <xf numFmtId="3" fontId="14" fillId="4" borderId="22" xfId="0" applyNumberFormat="1" applyFont="1" applyFill="1" applyBorder="1" applyAlignment="1" applyProtection="1">
      <alignment horizontal="right" vertical="center"/>
      <protection hidden="1"/>
    </xf>
    <xf numFmtId="3" fontId="14" fillId="4" borderId="23" xfId="0" applyNumberFormat="1" applyFont="1" applyFill="1" applyBorder="1" applyAlignment="1" applyProtection="1">
      <alignment horizontal="right" vertical="center"/>
      <protection hidden="1"/>
    </xf>
    <xf numFmtId="0" fontId="5" fillId="27" borderId="14" xfId="0" applyFont="1" applyFill="1" applyBorder="1" applyAlignment="1" applyProtection="1">
      <alignment vertical="center"/>
      <protection hidden="1"/>
    </xf>
    <xf numFmtId="0" fontId="0" fillId="0" borderId="20" xfId="0" applyBorder="1" applyAlignment="1" applyProtection="1">
      <alignment vertical="center"/>
      <protection hidden="1"/>
    </xf>
    <xf numFmtId="0" fontId="245" fillId="4" borderId="0" xfId="0" applyFont="1" applyFill="1" applyAlignment="1" applyProtection="1">
      <alignment horizontal="left" vertical="center"/>
      <protection hidden="1"/>
    </xf>
    <xf numFmtId="0" fontId="13" fillId="4" borderId="0" xfId="0" applyFont="1" applyFill="1" applyAlignment="1" applyProtection="1">
      <alignment horizontal="right" vertical="center"/>
      <protection hidden="1"/>
    </xf>
    <xf numFmtId="0" fontId="238" fillId="4" borderId="0" xfId="0" applyFont="1" applyFill="1" applyAlignment="1" applyProtection="1">
      <alignment vertical="center"/>
      <protection hidden="1"/>
    </xf>
    <xf numFmtId="0" fontId="238" fillId="4" borderId="22" xfId="0" applyFont="1" applyFill="1" applyBorder="1" applyAlignment="1" applyProtection="1">
      <alignment vertical="center"/>
      <protection hidden="1"/>
    </xf>
    <xf numFmtId="0" fontId="0" fillId="27" borderId="44" xfId="0" applyFill="1" applyBorder="1" applyAlignment="1" applyProtection="1">
      <alignment vertical="center"/>
      <protection hidden="1"/>
    </xf>
    <xf numFmtId="0" fontId="17" fillId="27" borderId="44" xfId="0" applyFont="1" applyFill="1" applyBorder="1" applyAlignment="1" applyProtection="1">
      <alignment horizontal="left"/>
      <protection hidden="1"/>
    </xf>
    <xf numFmtId="0" fontId="32" fillId="27" borderId="44" xfId="0" applyFont="1" applyFill="1" applyBorder="1" applyAlignment="1" applyProtection="1">
      <alignment horizontal="center"/>
      <protection hidden="1"/>
    </xf>
    <xf numFmtId="0" fontId="238" fillId="27" borderId="44" xfId="0" applyFont="1" applyFill="1" applyBorder="1" applyAlignment="1" applyProtection="1">
      <alignment vertical="center"/>
      <protection hidden="1"/>
    </xf>
    <xf numFmtId="0" fontId="14" fillId="27" borderId="44" xfId="0" applyFont="1" applyFill="1" applyBorder="1" applyAlignment="1" applyProtection="1">
      <alignment vertical="center"/>
      <protection hidden="1"/>
    </xf>
    <xf numFmtId="0" fontId="14" fillId="27" borderId="0" xfId="0" applyFont="1" applyFill="1" applyAlignment="1" applyProtection="1">
      <alignment vertical="center"/>
      <protection hidden="1"/>
    </xf>
    <xf numFmtId="3" fontId="14" fillId="27" borderId="15" xfId="0" applyNumberFormat="1" applyFont="1" applyFill="1" applyBorder="1" applyAlignment="1" applyProtection="1">
      <alignment horizontal="right" vertical="center"/>
      <protection hidden="1"/>
    </xf>
    <xf numFmtId="0" fontId="238" fillId="27" borderId="44" xfId="0" applyFont="1" applyFill="1" applyBorder="1" applyAlignment="1" applyProtection="1">
      <alignment horizontal="left" vertical="center"/>
      <protection hidden="1"/>
    </xf>
    <xf numFmtId="3" fontId="14" fillId="27" borderId="44" xfId="0" applyNumberFormat="1" applyFont="1" applyFill="1" applyBorder="1" applyAlignment="1" applyProtection="1">
      <alignment horizontal="right" vertical="center"/>
      <protection hidden="1"/>
    </xf>
    <xf numFmtId="0" fontId="226" fillId="27" borderId="44" xfId="0" applyFont="1" applyFill="1" applyBorder="1" applyAlignment="1" applyProtection="1">
      <alignment horizontal="left"/>
      <protection hidden="1"/>
    </xf>
    <xf numFmtId="0" fontId="0" fillId="27" borderId="23" xfId="0" applyFill="1" applyBorder="1" applyAlignment="1" applyProtection="1">
      <alignment vertical="center"/>
      <protection hidden="1"/>
    </xf>
    <xf numFmtId="0" fontId="239" fillId="4" borderId="0" xfId="0" applyFont="1" applyFill="1" applyAlignment="1" applyProtection="1">
      <alignment vertical="center" wrapText="1"/>
      <protection hidden="1"/>
    </xf>
    <xf numFmtId="0" fontId="226" fillId="4" borderId="341" xfId="0" applyFont="1" applyFill="1" applyBorder="1" applyAlignment="1" applyProtection="1">
      <alignment horizontal="left"/>
      <protection hidden="1"/>
    </xf>
    <xf numFmtId="0" fontId="226" fillId="4" borderId="342" xfId="0" applyFont="1" applyFill="1" applyBorder="1" applyAlignment="1" applyProtection="1">
      <alignment horizontal="left"/>
      <protection hidden="1"/>
    </xf>
    <xf numFmtId="0" fontId="17" fillId="4" borderId="341" xfId="0" applyFont="1" applyFill="1" applyBorder="1" applyAlignment="1" applyProtection="1">
      <alignment horizontal="left"/>
      <protection hidden="1"/>
    </xf>
    <xf numFmtId="0" fontId="17" fillId="4" borderId="342" xfId="0" applyFont="1" applyFill="1" applyBorder="1" applyAlignment="1" applyProtection="1">
      <alignment horizontal="left"/>
      <protection hidden="1"/>
    </xf>
    <xf numFmtId="0" fontId="240" fillId="41" borderId="343" xfId="0" applyFont="1" applyFill="1" applyBorder="1" applyAlignment="1" applyProtection="1">
      <alignment horizontal="left" vertical="center" wrapText="1"/>
      <protection hidden="1"/>
    </xf>
    <xf numFmtId="0" fontId="240" fillId="41" borderId="344" xfId="0" applyFont="1" applyFill="1" applyBorder="1" applyAlignment="1" applyProtection="1">
      <alignment horizontal="left" vertical="center" wrapText="1"/>
      <protection hidden="1"/>
    </xf>
    <xf numFmtId="0" fontId="240" fillId="42" borderId="343" xfId="0" applyFont="1" applyFill="1" applyBorder="1" applyAlignment="1" applyProtection="1">
      <alignment horizontal="left" vertical="center" wrapText="1"/>
      <protection hidden="1"/>
    </xf>
    <xf numFmtId="0" fontId="240" fillId="42" borderId="344" xfId="0" applyFont="1" applyFill="1" applyBorder="1" applyAlignment="1" applyProtection="1">
      <alignment horizontal="left" vertical="center" wrapText="1"/>
      <protection hidden="1"/>
    </xf>
    <xf numFmtId="0" fontId="240" fillId="16" borderId="343" xfId="0" applyFont="1" applyFill="1" applyBorder="1" applyAlignment="1" applyProtection="1">
      <alignment horizontal="left" vertical="center" wrapText="1"/>
      <protection hidden="1"/>
    </xf>
    <xf numFmtId="0" fontId="240" fillId="16" borderId="344" xfId="0" applyFont="1" applyFill="1" applyBorder="1" applyAlignment="1" applyProtection="1">
      <alignment horizontal="left" vertical="center" wrapText="1"/>
      <protection hidden="1"/>
    </xf>
    <xf numFmtId="0" fontId="240" fillId="15" borderId="343" xfId="0" applyFont="1" applyFill="1" applyBorder="1" applyAlignment="1" applyProtection="1">
      <alignment horizontal="left" vertical="center" wrapText="1"/>
      <protection hidden="1"/>
    </xf>
    <xf numFmtId="0" fontId="240" fillId="15" borderId="344" xfId="0" applyFont="1" applyFill="1" applyBorder="1" applyAlignment="1" applyProtection="1">
      <alignment horizontal="left" vertical="center" wrapText="1"/>
      <protection hidden="1"/>
    </xf>
    <xf numFmtId="0" fontId="240" fillId="13" borderId="343" xfId="0" applyFont="1" applyFill="1" applyBorder="1" applyAlignment="1" applyProtection="1">
      <alignment horizontal="left" vertical="center" wrapText="1"/>
      <protection hidden="1"/>
    </xf>
    <xf numFmtId="0" fontId="240" fillId="13" borderId="345" xfId="0" applyFont="1" applyFill="1" applyBorder="1" applyAlignment="1" applyProtection="1">
      <alignment horizontal="left" vertical="center" wrapText="1"/>
      <protection hidden="1"/>
    </xf>
    <xf numFmtId="0" fontId="240" fillId="13" borderId="346" xfId="0" applyFont="1" applyFill="1" applyBorder="1" applyAlignment="1" applyProtection="1">
      <alignment horizontal="left" vertical="center" wrapText="1"/>
      <protection hidden="1"/>
    </xf>
    <xf numFmtId="3" fontId="14" fillId="4" borderId="341" xfId="0" applyNumberFormat="1" applyFont="1" applyFill="1" applyBorder="1" applyAlignment="1" applyProtection="1">
      <alignment horizontal="right" vertical="center"/>
      <protection hidden="1"/>
    </xf>
    <xf numFmtId="3" fontId="14" fillId="4" borderId="347" xfId="0" applyNumberFormat="1" applyFont="1" applyFill="1" applyBorder="1" applyAlignment="1" applyProtection="1">
      <alignment horizontal="right" vertical="center"/>
      <protection hidden="1"/>
    </xf>
    <xf numFmtId="0" fontId="239" fillId="4" borderId="341" xfId="0" applyFont="1" applyFill="1" applyBorder="1" applyAlignment="1" applyProtection="1">
      <alignment vertical="center" wrapText="1"/>
      <protection hidden="1"/>
    </xf>
    <xf numFmtId="0" fontId="239" fillId="4" borderId="342" xfId="0" applyFont="1" applyFill="1" applyBorder="1" applyAlignment="1" applyProtection="1">
      <alignment vertical="center" wrapText="1"/>
      <protection hidden="1"/>
    </xf>
    <xf numFmtId="0" fontId="0" fillId="4" borderId="341" xfId="0" applyFill="1" applyBorder="1" applyAlignment="1" applyProtection="1">
      <alignment vertical="center"/>
      <protection hidden="1"/>
    </xf>
    <xf numFmtId="0" fontId="12" fillId="4" borderId="16" xfId="0" applyFont="1" applyFill="1" applyBorder="1" applyProtection="1">
      <protection hidden="1"/>
    </xf>
    <xf numFmtId="0" fontId="75" fillId="0" borderId="0" xfId="0" applyFont="1" applyProtection="1">
      <protection hidden="1"/>
    </xf>
    <xf numFmtId="0" fontId="0" fillId="0" borderId="59" xfId="0" applyBorder="1" applyAlignment="1">
      <alignment horizontal="center" vertical="center"/>
    </xf>
    <xf numFmtId="0" fontId="156" fillId="34" borderId="0" xfId="0" applyFont="1" applyFill="1" applyAlignment="1">
      <alignment vertical="center"/>
    </xf>
    <xf numFmtId="0" fontId="5" fillId="0" borderId="4" xfId="0" applyFont="1" applyBorder="1" applyAlignment="1">
      <alignment vertical="top"/>
    </xf>
    <xf numFmtId="0" fontId="4" fillId="0" borderId="103" xfId="0" applyFont="1" applyBorder="1" applyAlignment="1">
      <alignment horizontal="right" vertical="top"/>
    </xf>
    <xf numFmtId="164" fontId="4" fillId="0" borderId="102" xfId="0" applyNumberFormat="1" applyFont="1" applyBorder="1" applyAlignment="1">
      <alignment vertical="top"/>
    </xf>
    <xf numFmtId="0" fontId="4" fillId="0" borderId="126" xfId="0" applyFont="1" applyBorder="1" applyAlignment="1">
      <alignment horizontal="right" vertical="top"/>
    </xf>
    <xf numFmtId="0" fontId="56" fillId="0" borderId="0" xfId="0" applyFont="1" applyProtection="1">
      <protection hidden="1"/>
    </xf>
    <xf numFmtId="0" fontId="0" fillId="4" borderId="54"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5" fillId="0" borderId="102" xfId="0" applyFont="1" applyBorder="1" applyAlignment="1">
      <alignment horizontal="right" vertical="top" wrapText="1"/>
    </xf>
    <xf numFmtId="0" fontId="5" fillId="0" borderId="102" xfId="0" applyFont="1" applyBorder="1" applyAlignment="1">
      <alignment horizontal="right" vertical="top"/>
    </xf>
    <xf numFmtId="0" fontId="5" fillId="0" borderId="3" xfId="0" applyFont="1" applyBorder="1" applyAlignment="1">
      <alignment horizontal="right" vertical="top" wrapText="1"/>
    </xf>
    <xf numFmtId="0" fontId="5" fillId="0" borderId="7" xfId="0" applyFont="1" applyBorder="1" applyAlignment="1">
      <alignment horizontal="right" vertical="top"/>
    </xf>
    <xf numFmtId="0" fontId="5" fillId="0" borderId="124" xfId="0" applyFont="1" applyBorder="1" applyAlignment="1">
      <alignment horizontal="right" vertical="top" wrapText="1"/>
    </xf>
    <xf numFmtId="164" fontId="4" fillId="0" borderId="0" xfId="0" applyNumberFormat="1" applyFont="1" applyAlignment="1">
      <alignment horizontal="center"/>
    </xf>
    <xf numFmtId="0" fontId="4" fillId="0" borderId="58" xfId="0" applyFont="1" applyBorder="1" applyAlignment="1">
      <alignment horizontal="right" vertical="center" wrapText="1"/>
    </xf>
    <xf numFmtId="0" fontId="4" fillId="0" borderId="1" xfId="0" applyFont="1" applyBorder="1" applyAlignment="1">
      <alignment horizontal="right" vertical="center"/>
    </xf>
    <xf numFmtId="0" fontId="5" fillId="0" borderId="1" xfId="0" applyFont="1" applyBorder="1" applyAlignment="1">
      <alignment horizontal="center" vertical="center" wrapText="1"/>
    </xf>
    <xf numFmtId="0" fontId="5" fillId="0" borderId="58" xfId="0" applyFont="1" applyBorder="1" applyAlignment="1">
      <alignment horizontal="left" vertical="center" indent="1"/>
    </xf>
    <xf numFmtId="167" fontId="4" fillId="0" borderId="124" xfId="0" applyNumberFormat="1" applyFont="1" applyBorder="1" applyAlignment="1">
      <alignment vertical="top"/>
    </xf>
    <xf numFmtId="168" fontId="4" fillId="0" borderId="104" xfId="0" applyNumberFormat="1" applyFont="1" applyBorder="1" applyAlignment="1">
      <alignment vertical="top"/>
    </xf>
    <xf numFmtId="167" fontId="4" fillId="0" borderId="7" xfId="0" applyNumberFormat="1" applyFont="1" applyBorder="1" applyAlignment="1">
      <alignment vertical="top"/>
    </xf>
    <xf numFmtId="168" fontId="4" fillId="0" borderId="143" xfId="0" applyNumberFormat="1" applyFont="1" applyBorder="1" applyAlignment="1">
      <alignment vertical="top"/>
    </xf>
    <xf numFmtId="0" fontId="4" fillId="0" borderId="7" xfId="0" applyFont="1" applyBorder="1" applyAlignment="1">
      <alignment vertical="top"/>
    </xf>
    <xf numFmtId="0" fontId="4" fillId="0" borderId="3" xfId="0" applyFont="1" applyBorder="1" applyAlignment="1">
      <alignment vertical="top"/>
    </xf>
    <xf numFmtId="0" fontId="4" fillId="0" borderId="63" xfId="0" applyFont="1" applyBorder="1" applyAlignment="1">
      <alignment vertical="top"/>
    </xf>
    <xf numFmtId="0" fontId="0" fillId="0" borderId="0" xfId="0" applyAlignment="1">
      <alignment horizontal="center" vertical="center"/>
    </xf>
    <xf numFmtId="0" fontId="4" fillId="0" borderId="79" xfId="0" applyFont="1" applyBorder="1" applyAlignment="1">
      <alignment vertical="top"/>
    </xf>
    <xf numFmtId="0" fontId="4" fillId="0" borderId="107" xfId="0" applyFont="1" applyBorder="1" applyAlignment="1">
      <alignment horizontal="right" vertical="top"/>
    </xf>
    <xf numFmtId="0" fontId="4" fillId="0" borderId="46" xfId="0" applyFont="1" applyBorder="1" applyAlignment="1">
      <alignment horizontal="right" vertical="top"/>
    </xf>
    <xf numFmtId="0" fontId="4" fillId="0" borderId="5" xfId="0" applyFont="1" applyBorder="1" applyAlignment="1">
      <alignment horizontal="right" vertical="top"/>
    </xf>
    <xf numFmtId="0" fontId="5" fillId="0" borderId="0" xfId="0" applyFont="1" applyAlignment="1">
      <alignment horizontal="center" vertical="center"/>
    </xf>
    <xf numFmtId="167" fontId="234" fillId="0" borderId="0" xfId="0" applyNumberFormat="1" applyFont="1" applyAlignment="1">
      <alignment horizontal="right" vertical="top"/>
    </xf>
    <xf numFmtId="167" fontId="99" fillId="0" borderId="0" xfId="0" applyNumberFormat="1" applyFont="1" applyAlignment="1">
      <alignment horizontal="left" vertical="top"/>
    </xf>
    <xf numFmtId="0" fontId="18" fillId="0" borderId="0" xfId="0" applyFont="1" applyAlignment="1">
      <alignment vertical="top"/>
    </xf>
    <xf numFmtId="164" fontId="228" fillId="0" borderId="0" xfId="0" applyNumberFormat="1" applyFont="1" applyAlignment="1">
      <alignment horizontal="right" vertical="top"/>
    </xf>
    <xf numFmtId="0" fontId="54" fillId="0" borderId="0" xfId="0" applyFont="1" applyAlignment="1">
      <alignment horizontal="left" vertical="center"/>
    </xf>
    <xf numFmtId="165" fontId="97" fillId="0" borderId="0" xfId="0" applyNumberFormat="1" applyFont="1" applyAlignment="1">
      <alignment horizontal="right"/>
    </xf>
    <xf numFmtId="0" fontId="97" fillId="0" borderId="0" xfId="0" applyFont="1" applyAlignment="1">
      <alignment horizontal="right"/>
    </xf>
    <xf numFmtId="0" fontId="246" fillId="0" borderId="0" xfId="0" applyFont="1" applyAlignment="1">
      <alignment vertical="center"/>
    </xf>
    <xf numFmtId="165" fontId="4" fillId="0" borderId="0" xfId="0" applyNumberFormat="1" applyFont="1" applyAlignment="1">
      <alignment horizontal="right" vertical="top" wrapText="1"/>
    </xf>
    <xf numFmtId="164" fontId="4" fillId="0" borderId="0" xfId="0" applyNumberFormat="1" applyFont="1" applyAlignment="1">
      <alignment horizontal="right" vertical="center" wrapText="1"/>
    </xf>
    <xf numFmtId="164" fontId="4" fillId="0" borderId="8" xfId="0" applyNumberFormat="1" applyFont="1" applyBorder="1" applyAlignment="1">
      <alignment horizontal="right" vertical="center" wrapText="1"/>
    </xf>
    <xf numFmtId="165" fontId="4" fillId="0" borderId="2" xfId="0" applyNumberFormat="1" applyFont="1" applyBorder="1" applyAlignment="1">
      <alignment horizontal="right" vertical="top" wrapText="1"/>
    </xf>
    <xf numFmtId="0" fontId="0" fillId="0" borderId="3" xfId="0" applyBorder="1"/>
    <xf numFmtId="0" fontId="5" fillId="0" borderId="3" xfId="0" applyFont="1" applyBorder="1"/>
    <xf numFmtId="165" fontId="4" fillId="0" borderId="54" xfId="0" applyNumberFormat="1" applyFont="1" applyBorder="1" applyAlignment="1">
      <alignment horizontal="right" vertical="top" wrapText="1"/>
    </xf>
    <xf numFmtId="0" fontId="5" fillId="0" borderId="7" xfId="0" applyFont="1" applyBorder="1" applyAlignment="1">
      <alignment horizontal="right"/>
    </xf>
    <xf numFmtId="0" fontId="23" fillId="0" borderId="4" xfId="0" applyFont="1" applyBorder="1" applyAlignment="1">
      <alignment horizontal="right"/>
    </xf>
    <xf numFmtId="164" fontId="4" fillId="0" borderId="5" xfId="0" applyNumberFormat="1" applyFont="1" applyBorder="1" applyAlignment="1">
      <alignment horizontal="right" vertical="center" wrapText="1"/>
    </xf>
    <xf numFmtId="0" fontId="5" fillId="0" borderId="7" xfId="0" applyFont="1" applyBorder="1"/>
    <xf numFmtId="165" fontId="4" fillId="0" borderId="46" xfId="0" applyNumberFormat="1" applyFont="1" applyBorder="1" applyAlignment="1">
      <alignment horizontal="right" vertical="top" wrapText="1"/>
    </xf>
    <xf numFmtId="164" fontId="4" fillId="0" borderId="46" xfId="0" applyNumberFormat="1" applyFont="1" applyBorder="1" applyAlignment="1">
      <alignment horizontal="right" vertical="center" wrapText="1"/>
    </xf>
    <xf numFmtId="0" fontId="3" fillId="0" borderId="4" xfId="0" applyFont="1" applyBorder="1" applyAlignment="1">
      <alignment horizontal="right"/>
    </xf>
    <xf numFmtId="0" fontId="4" fillId="0" borderId="2" xfId="0" applyFont="1" applyBorder="1" applyAlignment="1">
      <alignment horizontal="right" vertical="top" wrapText="1"/>
    </xf>
    <xf numFmtId="0" fontId="4" fillId="0" borderId="3" xfId="0" applyFont="1" applyBorder="1" applyAlignment="1">
      <alignment horizontal="right" vertical="top" wrapText="1"/>
    </xf>
    <xf numFmtId="0" fontId="4" fillId="0" borderId="54" xfId="0" applyFont="1" applyBorder="1" applyAlignment="1">
      <alignment horizontal="right" vertical="top" wrapText="1"/>
    </xf>
    <xf numFmtId="165" fontId="4" fillId="0" borderId="3" xfId="0" applyNumberFormat="1" applyFont="1" applyBorder="1" applyAlignment="1">
      <alignment horizontal="right" vertical="top" wrapText="1"/>
    </xf>
    <xf numFmtId="164" fontId="4" fillId="0" borderId="4" xfId="0" applyNumberFormat="1" applyFont="1" applyBorder="1" applyAlignment="1">
      <alignment horizontal="right" vertical="center" wrapText="1"/>
    </xf>
    <xf numFmtId="165" fontId="4" fillId="0" borderId="7" xfId="0" applyNumberFormat="1" applyFont="1" applyBorder="1" applyAlignment="1">
      <alignment horizontal="right" vertical="top" wrapText="1"/>
    </xf>
    <xf numFmtId="164" fontId="4" fillId="0" borderId="7" xfId="0" applyNumberFormat="1" applyFont="1" applyBorder="1" applyAlignment="1">
      <alignment horizontal="right" vertical="center" wrapText="1"/>
    </xf>
    <xf numFmtId="164" fontId="4" fillId="0" borderId="7" xfId="0" applyNumberFormat="1" applyFont="1" applyBorder="1" applyAlignment="1">
      <alignment horizontal="right" vertical="top" wrapText="1"/>
    </xf>
    <xf numFmtId="0" fontId="4" fillId="0" borderId="46" xfId="0" applyFont="1" applyBorder="1" applyAlignment="1">
      <alignment horizontal="left" vertical="top" wrapText="1"/>
    </xf>
    <xf numFmtId="0" fontId="0" fillId="0" borderId="46" xfId="0" applyBorder="1"/>
    <xf numFmtId="0" fontId="3" fillId="0" borderId="6" xfId="0" applyFont="1" applyBorder="1" applyAlignment="1">
      <alignment horizontal="right"/>
    </xf>
    <xf numFmtId="0" fontId="4" fillId="0" borderId="63" xfId="0" applyFont="1" applyBorder="1" applyAlignment="1">
      <alignment horizontal="left" vertical="top" wrapText="1"/>
    </xf>
    <xf numFmtId="0" fontId="4" fillId="0" borderId="6" xfId="0" applyFont="1" applyBorder="1" applyAlignment="1">
      <alignment horizontal="center" vertical="center" wrapText="1"/>
    </xf>
    <xf numFmtId="164" fontId="4" fillId="0" borderId="3" xfId="0" applyNumberFormat="1" applyFont="1" applyBorder="1" applyAlignment="1">
      <alignment horizontal="right" vertical="center" wrapText="1"/>
    </xf>
    <xf numFmtId="164" fontId="4" fillId="0" borderId="2" xfId="0" applyNumberFormat="1" applyFont="1" applyBorder="1" applyAlignment="1">
      <alignment horizontal="right" vertical="center" wrapText="1"/>
    </xf>
    <xf numFmtId="164" fontId="4" fillId="0" borderId="6" xfId="0" applyNumberFormat="1" applyFont="1" applyBorder="1" applyAlignment="1">
      <alignment horizontal="right" vertical="center" wrapText="1"/>
    </xf>
    <xf numFmtId="164" fontId="4" fillId="0" borderId="63" xfId="0" applyNumberFormat="1" applyFont="1" applyBorder="1" applyAlignment="1">
      <alignment horizontal="right" vertical="center" wrapText="1"/>
    </xf>
    <xf numFmtId="164" fontId="76" fillId="0" borderId="1" xfId="0" applyNumberFormat="1" applyFont="1" applyBorder="1" applyAlignment="1">
      <alignment horizontal="right" vertical="center" wrapText="1"/>
    </xf>
    <xf numFmtId="164" fontId="76" fillId="0" borderId="0" xfId="0" applyNumberFormat="1" applyFont="1" applyAlignment="1">
      <alignment horizontal="right" vertical="center" wrapText="1"/>
    </xf>
    <xf numFmtId="0" fontId="0" fillId="0" borderId="58" xfId="0" applyBorder="1"/>
    <xf numFmtId="0" fontId="4" fillId="0" borderId="48" xfId="0" applyFont="1" applyBorder="1" applyAlignment="1">
      <alignment horizontal="right" vertical="top" wrapText="1"/>
    </xf>
    <xf numFmtId="0" fontId="0" fillId="0" borderId="59" xfId="0" applyBorder="1" applyAlignment="1">
      <alignment horizontal="right"/>
    </xf>
    <xf numFmtId="0" fontId="3" fillId="0" borderId="3" xfId="0" applyFont="1" applyBorder="1" applyAlignment="1">
      <alignment horizontal="right"/>
    </xf>
    <xf numFmtId="0" fontId="4" fillId="0" borderId="58" xfId="0" applyFont="1" applyBorder="1" applyAlignment="1">
      <alignment horizontal="right" vertical="top" wrapText="1"/>
    </xf>
    <xf numFmtId="0" fontId="4" fillId="0" borderId="59" xfId="0" applyFont="1" applyBorder="1" applyAlignment="1">
      <alignment horizontal="right" vertical="top" wrapText="1"/>
    </xf>
    <xf numFmtId="165" fontId="4" fillId="0" borderId="6" xfId="0" applyNumberFormat="1" applyFont="1" applyBorder="1" applyAlignment="1">
      <alignment horizontal="right" vertical="top" wrapText="1"/>
    </xf>
    <xf numFmtId="164" fontId="4" fillId="0" borderId="79" xfId="0" applyNumberFormat="1" applyFont="1" applyBorder="1" applyAlignment="1">
      <alignment horizontal="right" vertical="center" wrapText="1"/>
    </xf>
    <xf numFmtId="165" fontId="4" fillId="0" borderId="63" xfId="0" applyNumberFormat="1" applyFont="1" applyBorder="1" applyAlignment="1">
      <alignment horizontal="right" vertical="top" wrapText="1"/>
    </xf>
    <xf numFmtId="0" fontId="37" fillId="0" borderId="0" xfId="0" applyFont="1" applyAlignment="1">
      <alignment horizontal="left" vertical="top" wrapText="1"/>
    </xf>
    <xf numFmtId="0" fontId="3" fillId="0" borderId="2" xfId="0" applyFont="1" applyBorder="1" applyAlignment="1">
      <alignment horizontal="right"/>
    </xf>
    <xf numFmtId="164" fontId="76" fillId="0" borderId="2" xfId="0" applyNumberFormat="1" applyFont="1" applyBorder="1" applyAlignment="1">
      <alignment horizontal="right" vertical="center" wrapText="1"/>
    </xf>
    <xf numFmtId="164" fontId="76" fillId="0" borderId="54" xfId="0" applyNumberFormat="1" applyFont="1" applyBorder="1" applyAlignment="1">
      <alignment horizontal="right" vertical="center" wrapText="1"/>
    </xf>
    <xf numFmtId="0" fontId="0" fillId="4" borderId="58" xfId="0" applyFill="1" applyBorder="1" applyAlignment="1">
      <alignment horizontal="left" vertical="center" indent="1"/>
    </xf>
    <xf numFmtId="0" fontId="0" fillId="4" borderId="59" xfId="0" applyFill="1" applyBorder="1"/>
    <xf numFmtId="0" fontId="0" fillId="4" borderId="5" xfId="0" applyFill="1" applyBorder="1"/>
    <xf numFmtId="0" fontId="5" fillId="0" borderId="48" xfId="0" applyFont="1" applyBorder="1" applyAlignment="1">
      <alignment horizontal="right"/>
    </xf>
    <xf numFmtId="164" fontId="0" fillId="0" borderId="48" xfId="0" applyNumberFormat="1" applyBorder="1"/>
    <xf numFmtId="164" fontId="235" fillId="0" borderId="48" xfId="0" applyNumberFormat="1" applyFont="1" applyBorder="1" applyAlignment="1">
      <alignment horizontal="right"/>
    </xf>
    <xf numFmtId="0" fontId="0" fillId="0" borderId="48" xfId="0" applyBorder="1"/>
    <xf numFmtId="0" fontId="0" fillId="0" borderId="48" xfId="0" applyBorder="1" applyAlignment="1">
      <alignment horizontal="right"/>
    </xf>
    <xf numFmtId="164" fontId="181" fillId="4" borderId="0" xfId="0" applyNumberFormat="1" applyFont="1" applyFill="1" applyAlignment="1" applyProtection="1">
      <alignment horizontal="center" vertical="center"/>
      <protection hidden="1"/>
    </xf>
    <xf numFmtId="0" fontId="81" fillId="0" borderId="0" xfId="0" applyFont="1" applyAlignment="1">
      <alignment horizontal="right" indent="1"/>
    </xf>
    <xf numFmtId="0" fontId="4" fillId="0" borderId="2" xfId="0" applyFont="1" applyBorder="1"/>
    <xf numFmtId="170" fontId="0" fillId="0" borderId="0" xfId="0" applyNumberFormat="1" applyAlignment="1">
      <alignment horizontal="center" vertical="center"/>
    </xf>
    <xf numFmtId="0" fontId="4" fillId="0" borderId="8" xfId="0" applyFont="1" applyBorder="1"/>
    <xf numFmtId="0" fontId="5" fillId="0" borderId="7" xfId="0" applyFont="1" applyBorder="1" applyAlignment="1">
      <alignment horizontal="left" indent="1"/>
    </xf>
    <xf numFmtId="0" fontId="5" fillId="0" borderId="7" xfId="0" applyFont="1" applyBorder="1" applyAlignment="1">
      <alignment horizontal="left"/>
    </xf>
    <xf numFmtId="0" fontId="5" fillId="0" borderId="4" xfId="0" applyFont="1" applyBorder="1" applyAlignment="1">
      <alignment horizontal="left" indent="1"/>
    </xf>
    <xf numFmtId="1" fontId="13" fillId="4" borderId="0" xfId="0" applyNumberFormat="1" applyFont="1" applyFill="1" applyAlignment="1" applyProtection="1">
      <alignment horizontal="center"/>
      <protection hidden="1"/>
    </xf>
    <xf numFmtId="0" fontId="35" fillId="0" borderId="46" xfId="0" applyFont="1" applyBorder="1" applyAlignment="1">
      <alignment horizontal="left"/>
    </xf>
    <xf numFmtId="0" fontId="0" fillId="0" borderId="46" xfId="0" applyBorder="1" applyAlignment="1">
      <alignment horizontal="right"/>
    </xf>
    <xf numFmtId="0" fontId="5" fillId="0" borderId="46" xfId="0" applyFont="1" applyBorder="1" applyAlignment="1">
      <alignment horizontal="right"/>
    </xf>
    <xf numFmtId="0" fontId="77" fillId="0" borderId="0" xfId="0" applyFont="1" applyAlignment="1">
      <alignment horizontal="right"/>
    </xf>
    <xf numFmtId="0" fontId="8" fillId="0" borderId="0" xfId="0" applyFont="1" applyAlignment="1">
      <alignment vertical="top" wrapText="1"/>
    </xf>
    <xf numFmtId="1" fontId="0" fillId="0" borderId="0" xfId="0" applyNumberFormat="1" applyAlignment="1">
      <alignment horizontal="center" vertical="center"/>
    </xf>
    <xf numFmtId="167" fontId="98" fillId="4" borderId="0" xfId="0" applyNumberFormat="1" applyFont="1" applyFill="1" applyAlignment="1" applyProtection="1">
      <alignment horizontal="left" vertical="center" indent="16"/>
      <protection hidden="1"/>
    </xf>
    <xf numFmtId="164" fontId="76" fillId="0" borderId="0" xfId="0" applyNumberFormat="1" applyFont="1" applyAlignment="1" applyProtection="1">
      <alignment vertical="center"/>
      <protection hidden="1"/>
    </xf>
    <xf numFmtId="164" fontId="76" fillId="0" borderId="0" xfId="0" applyNumberFormat="1" applyFont="1" applyProtection="1">
      <protection hidden="1"/>
    </xf>
    <xf numFmtId="165" fontId="0" fillId="0" borderId="0" xfId="0" applyNumberFormat="1" applyAlignment="1" applyProtection="1">
      <alignment horizontal="left" vertical="center" indent="1"/>
      <protection hidden="1"/>
    </xf>
    <xf numFmtId="164" fontId="181" fillId="0" borderId="0" xfId="0" applyNumberFormat="1" applyFont="1" applyAlignment="1" applyProtection="1">
      <alignment horizontal="center" vertical="center"/>
      <protection hidden="1"/>
    </xf>
    <xf numFmtId="0" fontId="54" fillId="0" borderId="0" xfId="0" applyFont="1" applyAlignment="1" applyProtection="1">
      <alignment horizontal="left"/>
      <protection hidden="1"/>
    </xf>
    <xf numFmtId="0" fontId="0" fillId="0" borderId="3" xfId="0" applyBorder="1" applyAlignment="1" applyProtection="1">
      <alignment horizontal="left"/>
      <protection hidden="1"/>
    </xf>
    <xf numFmtId="164" fontId="181" fillId="0" borderId="2" xfId="0" applyNumberFormat="1" applyFont="1" applyBorder="1" applyAlignment="1" applyProtection="1">
      <alignment horizontal="left" vertical="center"/>
      <protection hidden="1"/>
    </xf>
    <xf numFmtId="164" fontId="181" fillId="0" borderId="54" xfId="0" applyNumberFormat="1" applyFont="1" applyBorder="1" applyAlignment="1" applyProtection="1">
      <alignment horizontal="left" vertical="center"/>
      <protection hidden="1"/>
    </xf>
    <xf numFmtId="0" fontId="76" fillId="0" borderId="7" xfId="0" applyFont="1" applyBorder="1" applyAlignment="1" applyProtection="1">
      <alignment horizontal="left"/>
      <protection hidden="1"/>
    </xf>
    <xf numFmtId="0" fontId="76" fillId="0" borderId="0" xfId="0" applyFont="1" applyAlignment="1" applyProtection="1">
      <alignment horizontal="left"/>
      <protection hidden="1"/>
    </xf>
    <xf numFmtId="1" fontId="88" fillId="0" borderId="8" xfId="0" applyNumberFormat="1" applyFont="1" applyBorder="1" applyAlignment="1" applyProtection="1">
      <alignment horizontal="left" vertical="center"/>
      <protection hidden="1"/>
    </xf>
    <xf numFmtId="1" fontId="88" fillId="0" borderId="5" xfId="0" applyNumberFormat="1" applyFont="1" applyBorder="1" applyAlignment="1" applyProtection="1">
      <alignment horizontal="left" vertical="center"/>
      <protection hidden="1"/>
    </xf>
    <xf numFmtId="1" fontId="76" fillId="0" borderId="4" xfId="0" applyNumberFormat="1" applyFont="1" applyBorder="1" applyAlignment="1" applyProtection="1">
      <alignment horizontal="left" vertical="center"/>
      <protection hidden="1"/>
    </xf>
    <xf numFmtId="1" fontId="76" fillId="0" borderId="8" xfId="0" applyNumberFormat="1" applyFont="1" applyBorder="1" applyAlignment="1" applyProtection="1">
      <alignment horizontal="left" vertical="center"/>
      <protection hidden="1"/>
    </xf>
    <xf numFmtId="0" fontId="35" fillId="0" borderId="0" xfId="0" applyFont="1" applyAlignment="1">
      <alignment vertical="top"/>
    </xf>
    <xf numFmtId="0" fontId="0" fillId="0" borderId="0" xfId="0" applyAlignment="1">
      <alignment horizontal="right" vertical="top" indent="1"/>
    </xf>
    <xf numFmtId="164" fontId="4" fillId="0" borderId="0" xfId="0" applyNumberFormat="1" applyFont="1" applyAlignment="1">
      <alignment horizontal="left" vertical="top" wrapText="1"/>
    </xf>
    <xf numFmtId="0" fontId="5" fillId="0" borderId="0" xfId="0" applyFont="1" applyAlignment="1">
      <alignment horizontal="right" vertical="top" wrapText="1"/>
    </xf>
    <xf numFmtId="0" fontId="5" fillId="43" borderId="0" xfId="0" applyFont="1" applyFill="1" applyProtection="1">
      <protection hidden="1"/>
    </xf>
    <xf numFmtId="0" fontId="1" fillId="43" borderId="0" xfId="0" applyFont="1" applyFill="1" applyAlignment="1" applyProtection="1">
      <alignment vertical="center"/>
      <protection hidden="1"/>
    </xf>
    <xf numFmtId="0" fontId="0" fillId="43" borderId="0" xfId="0" applyFill="1" applyProtection="1">
      <protection hidden="1"/>
    </xf>
    <xf numFmtId="0" fontId="21" fillId="43" borderId="0" xfId="0" applyFont="1" applyFill="1" applyAlignment="1" applyProtection="1">
      <alignment vertical="center"/>
      <protection hidden="1"/>
    </xf>
    <xf numFmtId="0" fontId="31" fillId="43" borderId="0" xfId="0" applyFont="1" applyFill="1" applyAlignment="1" applyProtection="1">
      <alignment horizontal="right" vertical="center"/>
      <protection hidden="1"/>
    </xf>
    <xf numFmtId="0" fontId="10" fillId="44" borderId="0" xfId="0" applyFont="1" applyFill="1" applyProtection="1">
      <protection hidden="1"/>
    </xf>
    <xf numFmtId="0" fontId="140" fillId="44" borderId="0" xfId="0" applyFont="1" applyFill="1" applyProtection="1">
      <protection hidden="1"/>
    </xf>
    <xf numFmtId="0" fontId="11" fillId="44" borderId="0" xfId="0" applyFont="1" applyFill="1" applyAlignment="1" applyProtection="1">
      <alignment vertical="center"/>
      <protection hidden="1"/>
    </xf>
    <xf numFmtId="0" fontId="10" fillId="44" borderId="0" xfId="0" applyFont="1" applyFill="1" applyAlignment="1" applyProtection="1">
      <alignment vertical="center"/>
      <protection hidden="1"/>
    </xf>
    <xf numFmtId="0" fontId="7" fillId="44" borderId="0" xfId="0" applyFont="1" applyFill="1" applyProtection="1">
      <protection hidden="1"/>
    </xf>
    <xf numFmtId="0" fontId="140" fillId="44" borderId="0" xfId="0" applyFont="1" applyFill="1" applyAlignment="1" applyProtection="1">
      <alignment horizontal="right"/>
      <protection hidden="1"/>
    </xf>
    <xf numFmtId="0" fontId="192" fillId="44" borderId="0" xfId="0" applyFont="1" applyFill="1" applyAlignment="1" applyProtection="1">
      <alignment vertical="top"/>
      <protection hidden="1"/>
    </xf>
    <xf numFmtId="0" fontId="193" fillId="44" borderId="0" xfId="0" applyFont="1" applyFill="1" applyAlignment="1" applyProtection="1">
      <alignment horizontal="right" vertical="top"/>
      <protection hidden="1"/>
    </xf>
    <xf numFmtId="0" fontId="1" fillId="44" borderId="0" xfId="0" applyFont="1" applyFill="1" applyAlignment="1" applyProtection="1">
      <alignment vertical="center"/>
      <protection hidden="1"/>
    </xf>
    <xf numFmtId="0" fontId="191" fillId="44" borderId="0" xfId="0" applyFont="1" applyFill="1" applyAlignment="1" applyProtection="1">
      <alignment horizontal="right" vertical="center"/>
      <protection hidden="1"/>
    </xf>
    <xf numFmtId="0" fontId="7" fillId="44" borderId="0" xfId="0" applyFont="1" applyFill="1" applyAlignment="1" applyProtection="1">
      <alignment horizontal="center" vertical="center"/>
      <protection hidden="1"/>
    </xf>
    <xf numFmtId="0" fontId="31" fillId="43" borderId="0" xfId="0" applyFont="1" applyFill="1" applyAlignment="1" applyProtection="1">
      <alignment vertical="center"/>
      <protection hidden="1"/>
    </xf>
    <xf numFmtId="0" fontId="21" fillId="43" borderId="0" xfId="0" applyFont="1" applyFill="1" applyAlignment="1" applyProtection="1">
      <alignment horizontal="left" vertical="center" indent="1"/>
      <protection hidden="1"/>
    </xf>
    <xf numFmtId="0" fontId="1" fillId="43" borderId="0" xfId="0" applyFont="1" applyFill="1" applyAlignment="1" applyProtection="1">
      <alignment horizontal="left" vertical="center"/>
      <protection hidden="1"/>
    </xf>
    <xf numFmtId="0" fontId="21" fillId="43" borderId="0" xfId="0" applyFont="1" applyFill="1" applyAlignment="1" applyProtection="1">
      <alignment horizontal="left" vertical="center"/>
      <protection hidden="1"/>
    </xf>
    <xf numFmtId="0" fontId="74" fillId="44" borderId="0" xfId="0" applyFont="1" applyFill="1" applyAlignment="1" applyProtection="1">
      <alignment horizontal="left" vertical="center" indent="1"/>
      <protection hidden="1"/>
    </xf>
    <xf numFmtId="0" fontId="7" fillId="44" borderId="0" xfId="0" applyFont="1" applyFill="1" applyAlignment="1" applyProtection="1">
      <alignment vertical="center"/>
      <protection hidden="1"/>
    </xf>
    <xf numFmtId="0" fontId="1" fillId="44" borderId="0" xfId="0" applyFont="1" applyFill="1" applyProtection="1">
      <protection hidden="1"/>
    </xf>
    <xf numFmtId="0" fontId="2" fillId="43" borderId="0" xfId="0" applyFont="1" applyFill="1" applyAlignment="1" applyProtection="1">
      <alignment horizontal="left" vertical="center"/>
      <protection hidden="1"/>
    </xf>
    <xf numFmtId="0" fontId="194" fillId="45" borderId="44" xfId="0" applyFont="1" applyFill="1" applyBorder="1" applyAlignment="1" applyProtection="1">
      <alignment horizontal="left" vertical="center" indent="1"/>
      <protection hidden="1"/>
    </xf>
    <xf numFmtId="0" fontId="194" fillId="45" borderId="43" xfId="0" applyFont="1" applyFill="1" applyBorder="1" applyAlignment="1" applyProtection="1">
      <alignment horizontal="left" vertical="center" indent="1"/>
      <protection hidden="1"/>
    </xf>
    <xf numFmtId="0" fontId="194" fillId="45" borderId="42" xfId="0" applyFont="1" applyFill="1" applyBorder="1" applyAlignment="1" applyProtection="1">
      <alignment horizontal="left" vertical="center" indent="1"/>
      <protection hidden="1"/>
    </xf>
    <xf numFmtId="0" fontId="196" fillId="45" borderId="44" xfId="0" applyFont="1" applyFill="1" applyBorder="1" applyProtection="1">
      <protection hidden="1"/>
    </xf>
    <xf numFmtId="0" fontId="196" fillId="45" borderId="44" xfId="0" applyFont="1" applyFill="1" applyBorder="1" applyAlignment="1" applyProtection="1">
      <alignment horizontal="left" vertical="top"/>
      <protection hidden="1"/>
    </xf>
    <xf numFmtId="0" fontId="196" fillId="45" borderId="44" xfId="0" applyFont="1" applyFill="1" applyBorder="1" applyAlignment="1" applyProtection="1">
      <alignment horizontal="left" vertical="center"/>
      <protection hidden="1"/>
    </xf>
    <xf numFmtId="0" fontId="196" fillId="45" borderId="44" xfId="0" applyFont="1" applyFill="1" applyBorder="1" applyAlignment="1" applyProtection="1">
      <alignment horizontal="center" vertical="center"/>
      <protection hidden="1"/>
    </xf>
    <xf numFmtId="0" fontId="196" fillId="45" borderId="44" xfId="0" applyFont="1" applyFill="1" applyBorder="1" applyAlignment="1" applyProtection="1">
      <alignment horizontal="left" indent="1"/>
      <protection hidden="1"/>
    </xf>
    <xf numFmtId="0" fontId="194" fillId="45" borderId="44" xfId="0" applyFont="1" applyFill="1" applyBorder="1" applyProtection="1">
      <protection hidden="1"/>
    </xf>
    <xf numFmtId="0" fontId="194" fillId="45" borderId="44" xfId="0" applyFont="1" applyFill="1" applyBorder="1" applyAlignment="1" applyProtection="1">
      <alignment horizontal="left" vertical="top" indent="3"/>
      <protection hidden="1"/>
    </xf>
    <xf numFmtId="0" fontId="194" fillId="45" borderId="43" xfId="0" applyFont="1" applyFill="1" applyBorder="1" applyAlignment="1" applyProtection="1">
      <alignment horizontal="left" vertical="top" indent="3"/>
      <protection hidden="1"/>
    </xf>
    <xf numFmtId="0" fontId="10" fillId="45" borderId="44" xfId="0" applyFont="1" applyFill="1" applyBorder="1" applyProtection="1">
      <protection hidden="1"/>
    </xf>
    <xf numFmtId="0" fontId="31" fillId="45" borderId="44" xfId="0" applyFont="1" applyFill="1" applyBorder="1" applyAlignment="1" applyProtection="1">
      <alignment horizontal="left" indent="1"/>
      <protection hidden="1"/>
    </xf>
    <xf numFmtId="0" fontId="1" fillId="45" borderId="44" xfId="0" applyFont="1" applyFill="1" applyBorder="1" applyProtection="1">
      <protection hidden="1"/>
    </xf>
    <xf numFmtId="0" fontId="12" fillId="45" borderId="44" xfId="0" applyFont="1" applyFill="1" applyBorder="1" applyProtection="1">
      <protection hidden="1"/>
    </xf>
    <xf numFmtId="0" fontId="28" fillId="45" borderId="44" xfId="0" applyFont="1" applyFill="1" applyBorder="1" applyAlignment="1" applyProtection="1">
      <alignment horizontal="left" vertical="center" indent="1"/>
      <protection hidden="1"/>
    </xf>
    <xf numFmtId="0" fontId="31" fillId="45" borderId="44" xfId="0" applyFont="1" applyFill="1" applyBorder="1" applyAlignment="1" applyProtection="1">
      <alignment horizontal="left" vertical="top"/>
      <protection hidden="1"/>
    </xf>
    <xf numFmtId="0" fontId="31" fillId="45" borderId="44" xfId="0" applyFont="1" applyFill="1" applyBorder="1" applyAlignment="1" applyProtection="1">
      <alignment horizontal="left" vertical="center"/>
      <protection hidden="1"/>
    </xf>
    <xf numFmtId="0" fontId="0" fillId="45" borderId="43" xfId="0" applyFill="1" applyBorder="1" applyProtection="1">
      <protection hidden="1"/>
    </xf>
    <xf numFmtId="0" fontId="28" fillId="45" borderId="44" xfId="0" applyFont="1" applyFill="1" applyBorder="1" applyAlignment="1" applyProtection="1">
      <alignment horizontal="left" vertical="top" indent="3"/>
      <protection hidden="1"/>
    </xf>
    <xf numFmtId="0" fontId="31" fillId="45" borderId="44" xfId="0" applyFont="1" applyFill="1" applyBorder="1" applyAlignment="1" applyProtection="1">
      <alignment horizontal="center" vertical="center"/>
      <protection hidden="1"/>
    </xf>
    <xf numFmtId="0" fontId="10" fillId="45" borderId="43" xfId="0" applyFont="1" applyFill="1" applyBorder="1" applyProtection="1">
      <protection hidden="1"/>
    </xf>
    <xf numFmtId="0" fontId="197" fillId="46" borderId="0" xfId="0" applyFont="1" applyFill="1" applyAlignment="1" applyProtection="1">
      <alignment horizontal="left" vertical="center" indent="13"/>
      <protection hidden="1"/>
    </xf>
    <xf numFmtId="0" fontId="0" fillId="46" borderId="0" xfId="0" applyFill="1" applyAlignment="1" applyProtection="1">
      <alignment horizontal="left" indent="6"/>
      <protection hidden="1"/>
    </xf>
    <xf numFmtId="0" fontId="180" fillId="46" borderId="0" xfId="0" applyFont="1" applyFill="1" applyProtection="1">
      <protection hidden="1"/>
    </xf>
    <xf numFmtId="0" fontId="182" fillId="46" borderId="0" xfId="0" applyFont="1" applyFill="1" applyAlignment="1" applyProtection="1">
      <alignment vertical="center"/>
      <protection hidden="1"/>
    </xf>
    <xf numFmtId="0" fontId="127" fillId="46" borderId="0" xfId="0" applyFont="1" applyFill="1" applyAlignment="1" applyProtection="1">
      <alignment vertical="center"/>
      <protection hidden="1"/>
    </xf>
    <xf numFmtId="0" fontId="189" fillId="46" borderId="0" xfId="0" applyFont="1" applyFill="1" applyAlignment="1" applyProtection="1">
      <alignment vertical="center"/>
      <protection hidden="1"/>
    </xf>
    <xf numFmtId="0" fontId="189" fillId="46" borderId="0" xfId="0" applyFont="1" applyFill="1" applyAlignment="1" applyProtection="1">
      <alignment horizontal="right" vertical="center" indent="1"/>
      <protection hidden="1"/>
    </xf>
    <xf numFmtId="0" fontId="0" fillId="46" borderId="0" xfId="0" applyFill="1" applyProtection="1">
      <protection hidden="1"/>
    </xf>
    <xf numFmtId="0" fontId="3" fillId="47" borderId="49" xfId="0" applyFont="1" applyFill="1" applyBorder="1" applyAlignment="1" applyProtection="1">
      <alignment vertical="center" wrapText="1"/>
      <protection hidden="1"/>
    </xf>
    <xf numFmtId="0" fontId="38" fillId="47" borderId="50" xfId="0" applyFont="1" applyFill="1" applyBorder="1" applyAlignment="1" applyProtection="1">
      <alignment horizontal="left" vertical="top" wrapText="1"/>
      <protection hidden="1"/>
    </xf>
    <xf numFmtId="0" fontId="3" fillId="47" borderId="50" xfId="0" applyFont="1" applyFill="1" applyBorder="1" applyAlignment="1" applyProtection="1">
      <alignment vertical="center" wrapText="1"/>
      <protection hidden="1"/>
    </xf>
    <xf numFmtId="0" fontId="3" fillId="47" borderId="51" xfId="0" applyFont="1" applyFill="1" applyBorder="1" applyAlignment="1" applyProtection="1">
      <alignment vertical="center" wrapText="1"/>
      <protection hidden="1"/>
    </xf>
    <xf numFmtId="0" fontId="176" fillId="47" borderId="52" xfId="0" applyFont="1" applyFill="1" applyBorder="1" applyAlignment="1" applyProtection="1">
      <alignment horizontal="left" vertical="center" indent="2"/>
      <protection hidden="1"/>
    </xf>
    <xf numFmtId="0" fontId="0" fillId="47" borderId="0" xfId="0" applyFill="1" applyProtection="1">
      <protection hidden="1"/>
    </xf>
    <xf numFmtId="0" fontId="38" fillId="47" borderId="0" xfId="0" applyFont="1" applyFill="1" applyAlignment="1" applyProtection="1">
      <alignment horizontal="left" vertical="top" wrapText="1"/>
      <protection hidden="1"/>
    </xf>
    <xf numFmtId="0" fontId="3" fillId="47" borderId="0" xfId="0" applyFont="1" applyFill="1" applyAlignment="1" applyProtection="1">
      <alignment vertical="center" wrapText="1"/>
      <protection hidden="1"/>
    </xf>
    <xf numFmtId="0" fontId="3" fillId="47" borderId="53" xfId="0" applyFont="1" applyFill="1" applyBorder="1" applyAlignment="1" applyProtection="1">
      <alignment vertical="center" wrapText="1"/>
      <protection hidden="1"/>
    </xf>
    <xf numFmtId="0" fontId="35" fillId="47" borderId="52" xfId="0" applyFont="1" applyFill="1" applyBorder="1" applyAlignment="1" applyProtection="1">
      <alignment horizontal="left" vertical="center" indent="1"/>
      <protection hidden="1"/>
    </xf>
    <xf numFmtId="0" fontId="0" fillId="47" borderId="0" xfId="0" applyFill="1" applyAlignment="1" applyProtection="1">
      <alignment horizontal="right" vertical="top" indent="1"/>
      <protection hidden="1"/>
    </xf>
    <xf numFmtId="0" fontId="77" fillId="47" borderId="0" xfId="0" applyFont="1" applyFill="1" applyAlignment="1" applyProtection="1">
      <alignment horizontal="left"/>
      <protection hidden="1"/>
    </xf>
    <xf numFmtId="0" fontId="177" fillId="47" borderId="0" xfId="0" applyFont="1" applyFill="1" applyAlignment="1" applyProtection="1">
      <alignment horizontal="left" vertical="top"/>
      <protection hidden="1"/>
    </xf>
    <xf numFmtId="0" fontId="129" fillId="47" borderId="0" xfId="0" applyFont="1" applyFill="1" applyAlignment="1" applyProtection="1">
      <alignment horizontal="left" vertical="top"/>
      <protection hidden="1"/>
    </xf>
    <xf numFmtId="0" fontId="121" fillId="47" borderId="0" xfId="0" applyFont="1" applyFill="1" applyAlignment="1" applyProtection="1">
      <alignment horizontal="center" vertical="top"/>
      <protection hidden="1"/>
    </xf>
    <xf numFmtId="0" fontId="5" fillId="47" borderId="0" xfId="0" applyFont="1" applyFill="1" applyAlignment="1" applyProtection="1">
      <alignment horizontal="center" vertical="top"/>
      <protection hidden="1"/>
    </xf>
    <xf numFmtId="0" fontId="3" fillId="47" borderId="52" xfId="0" applyFont="1" applyFill="1" applyBorder="1" applyAlignment="1" applyProtection="1">
      <alignment vertical="center" wrapText="1"/>
      <protection hidden="1"/>
    </xf>
    <xf numFmtId="0" fontId="123" fillId="47" borderId="351" xfId="3" applyFill="1" applyBorder="1" applyAlignment="1" applyProtection="1">
      <alignment horizontal="right" vertical="center" wrapText="1" indent="1"/>
      <protection locked="0" hidden="1"/>
    </xf>
    <xf numFmtId="0" fontId="0" fillId="47" borderId="351" xfId="0" applyFill="1" applyBorder="1" applyAlignment="1" applyProtection="1">
      <alignment horizontal="left" vertical="center"/>
      <protection hidden="1"/>
    </xf>
    <xf numFmtId="0" fontId="122" fillId="47" borderId="351" xfId="0" applyFont="1" applyFill="1" applyBorder="1" applyAlignment="1" applyProtection="1">
      <alignment vertical="center" wrapText="1"/>
      <protection hidden="1"/>
    </xf>
    <xf numFmtId="0" fontId="77" fillId="47" borderId="351" xfId="0" applyFont="1" applyFill="1" applyBorder="1" applyAlignment="1" applyProtection="1">
      <alignment horizontal="left" vertical="center"/>
      <protection hidden="1"/>
    </xf>
    <xf numFmtId="0" fontId="76" fillId="47" borderId="351" xfId="0" applyFont="1" applyFill="1" applyBorder="1" applyAlignment="1" applyProtection="1">
      <alignment vertical="center"/>
      <protection hidden="1"/>
    </xf>
    <xf numFmtId="0" fontId="0" fillId="47" borderId="351" xfId="0" applyFill="1" applyBorder="1" applyAlignment="1" applyProtection="1">
      <alignment vertical="center"/>
      <protection hidden="1"/>
    </xf>
    <xf numFmtId="0" fontId="123" fillId="47" borderId="350" xfId="3" applyFill="1" applyBorder="1" applyAlignment="1" applyProtection="1">
      <alignment horizontal="right" vertical="center" wrapText="1" indent="1"/>
      <protection locked="0" hidden="1"/>
    </xf>
    <xf numFmtId="0" fontId="0" fillId="47" borderId="350" xfId="0" applyFill="1" applyBorder="1" applyAlignment="1" applyProtection="1">
      <alignment horizontal="left" vertical="center"/>
      <protection hidden="1"/>
    </xf>
    <xf numFmtId="0" fontId="122" fillId="47" borderId="350" xfId="0" applyFont="1" applyFill="1" applyBorder="1" applyAlignment="1" applyProtection="1">
      <alignment vertical="center" wrapText="1"/>
      <protection hidden="1"/>
    </xf>
    <xf numFmtId="0" fontId="0" fillId="47" borderId="350" xfId="0" applyFill="1" applyBorder="1" applyAlignment="1" applyProtection="1">
      <alignment vertical="center"/>
      <protection hidden="1"/>
    </xf>
    <xf numFmtId="0" fontId="9" fillId="47" borderId="350" xfId="0" applyFont="1" applyFill="1" applyBorder="1" applyAlignment="1" applyProtection="1">
      <alignment vertical="center" wrapText="1"/>
      <protection hidden="1"/>
    </xf>
    <xf numFmtId="0" fontId="119" fillId="47" borderId="350" xfId="0" applyFont="1" applyFill="1" applyBorder="1" applyAlignment="1" applyProtection="1">
      <alignment horizontal="left" vertical="center" wrapText="1"/>
      <protection hidden="1"/>
    </xf>
    <xf numFmtId="0" fontId="76" fillId="47" borderId="350" xfId="0" applyFont="1" applyFill="1" applyBorder="1" applyAlignment="1" applyProtection="1">
      <alignment vertical="center"/>
      <protection hidden="1"/>
    </xf>
    <xf numFmtId="0" fontId="122" fillId="47" borderId="350" xfId="0" applyFont="1" applyFill="1" applyBorder="1" applyAlignment="1" applyProtection="1">
      <alignment vertical="center"/>
      <protection hidden="1"/>
    </xf>
    <xf numFmtId="0" fontId="9" fillId="47" borderId="350" xfId="0" applyFont="1" applyFill="1" applyBorder="1" applyAlignment="1" applyProtection="1">
      <alignment horizontal="left" vertical="center"/>
      <protection hidden="1"/>
    </xf>
    <xf numFmtId="0" fontId="76" fillId="47" borderId="350" xfId="0" applyFont="1" applyFill="1" applyBorder="1" applyAlignment="1" applyProtection="1">
      <alignment horizontal="left" vertical="center"/>
      <protection hidden="1"/>
    </xf>
    <xf numFmtId="0" fontId="123" fillId="47" borderId="352" xfId="3" applyFill="1" applyBorder="1" applyAlignment="1" applyProtection="1">
      <alignment horizontal="right" vertical="center" wrapText="1" indent="1"/>
      <protection locked="0" hidden="1"/>
    </xf>
    <xf numFmtId="0" fontId="0" fillId="47" borderId="352" xfId="0" applyFill="1" applyBorder="1" applyAlignment="1" applyProtection="1">
      <alignment horizontal="left" vertical="center"/>
      <protection hidden="1"/>
    </xf>
    <xf numFmtId="0" fontId="122" fillId="47" borderId="352" xfId="0" applyFont="1" applyFill="1" applyBorder="1" applyAlignment="1" applyProtection="1">
      <alignment vertical="center" wrapText="1"/>
      <protection hidden="1"/>
    </xf>
    <xf numFmtId="0" fontId="9" fillId="47" borderId="352" xfId="0" applyFont="1" applyFill="1" applyBorder="1" applyAlignment="1" applyProtection="1">
      <alignment vertical="center" wrapText="1"/>
      <protection hidden="1"/>
    </xf>
    <xf numFmtId="0" fontId="0" fillId="47" borderId="352" xfId="0" applyFill="1" applyBorder="1" applyAlignment="1" applyProtection="1">
      <alignment vertical="center"/>
      <protection hidden="1"/>
    </xf>
    <xf numFmtId="0" fontId="3" fillId="47" borderId="55" xfId="0" applyFont="1" applyFill="1" applyBorder="1" applyAlignment="1" applyProtection="1">
      <alignment vertical="center" wrapText="1"/>
      <protection hidden="1"/>
    </xf>
    <xf numFmtId="0" fontId="38" fillId="47" borderId="56" xfId="0" applyFont="1" applyFill="1" applyBorder="1" applyAlignment="1" applyProtection="1">
      <alignment horizontal="left" vertical="top" wrapText="1" indent="5"/>
      <protection hidden="1"/>
    </xf>
    <xf numFmtId="0" fontId="9" fillId="47" borderId="56" xfId="0" applyFont="1" applyFill="1" applyBorder="1" applyAlignment="1" applyProtection="1">
      <alignment vertical="top" wrapText="1"/>
      <protection hidden="1"/>
    </xf>
    <xf numFmtId="0" fontId="0" fillId="47" borderId="56" xfId="0" applyFill="1" applyBorder="1" applyProtection="1">
      <protection hidden="1"/>
    </xf>
    <xf numFmtId="0" fontId="38" fillId="47" borderId="56" xfId="0" applyFont="1" applyFill="1" applyBorder="1" applyAlignment="1" applyProtection="1">
      <alignment horizontal="left" vertical="top" wrapText="1"/>
      <protection hidden="1"/>
    </xf>
    <xf numFmtId="0" fontId="3" fillId="47" borderId="56" xfId="0" applyFont="1" applyFill="1" applyBorder="1" applyAlignment="1" applyProtection="1">
      <alignment vertical="center" wrapText="1"/>
      <protection hidden="1"/>
    </xf>
    <xf numFmtId="0" fontId="3" fillId="47" borderId="57" xfId="0" applyFont="1" applyFill="1" applyBorder="1" applyAlignment="1" applyProtection="1">
      <alignment vertical="center" wrapText="1"/>
      <protection hidden="1"/>
    </xf>
    <xf numFmtId="0" fontId="35" fillId="47" borderId="49" xfId="0" applyFont="1" applyFill="1" applyBorder="1" applyAlignment="1" applyProtection="1">
      <alignment horizontal="left" vertical="center"/>
      <protection hidden="1"/>
    </xf>
    <xf numFmtId="0" fontId="36" fillId="47" borderId="50" xfId="0" applyFont="1" applyFill="1" applyBorder="1" applyAlignment="1" applyProtection="1">
      <alignment horizontal="left"/>
      <protection hidden="1"/>
    </xf>
    <xf numFmtId="0" fontId="35" fillId="47" borderId="50" xfId="0" applyFont="1" applyFill="1" applyBorder="1" applyAlignment="1" applyProtection="1">
      <alignment horizontal="left" vertical="center"/>
      <protection hidden="1"/>
    </xf>
    <xf numFmtId="0" fontId="35" fillId="47" borderId="50" xfId="0" applyFont="1" applyFill="1" applyBorder="1" applyAlignment="1" applyProtection="1">
      <alignment vertical="center"/>
      <protection hidden="1"/>
    </xf>
    <xf numFmtId="0" fontId="35" fillId="47" borderId="51" xfId="0" applyFont="1" applyFill="1" applyBorder="1" applyAlignment="1" applyProtection="1">
      <alignment vertical="center"/>
      <protection hidden="1"/>
    </xf>
    <xf numFmtId="0" fontId="35" fillId="47" borderId="52" xfId="0" applyFont="1" applyFill="1" applyBorder="1" applyAlignment="1" applyProtection="1">
      <alignment horizontal="left" vertical="center"/>
      <protection hidden="1"/>
    </xf>
    <xf numFmtId="0" fontId="36" fillId="47" borderId="0" xfId="0" applyFont="1" applyFill="1" applyAlignment="1" applyProtection="1">
      <alignment horizontal="left" vertical="center"/>
      <protection hidden="1"/>
    </xf>
    <xf numFmtId="0" fontId="35" fillId="47" borderId="0" xfId="0" applyFont="1" applyFill="1" applyAlignment="1" applyProtection="1">
      <alignment horizontal="left" vertical="center"/>
      <protection hidden="1"/>
    </xf>
    <xf numFmtId="0" fontId="35" fillId="47" borderId="0" xfId="0" applyFont="1" applyFill="1" applyAlignment="1" applyProtection="1">
      <alignment vertical="center"/>
      <protection hidden="1"/>
    </xf>
    <xf numFmtId="0" fontId="35" fillId="47" borderId="53" xfId="0" applyFont="1" applyFill="1" applyBorder="1" applyAlignment="1" applyProtection="1">
      <alignment vertical="center"/>
      <protection hidden="1"/>
    </xf>
    <xf numFmtId="0" fontId="44" fillId="47" borderId="0" xfId="0" applyFont="1" applyFill="1" applyAlignment="1" applyProtection="1">
      <alignment vertical="center"/>
      <protection hidden="1"/>
    </xf>
    <xf numFmtId="0" fontId="3" fillId="47" borderId="0" xfId="0" applyFont="1" applyFill="1" applyAlignment="1" applyProtection="1">
      <alignment vertical="center"/>
      <protection hidden="1"/>
    </xf>
    <xf numFmtId="0" fontId="38" fillId="47" borderId="0" xfId="0" applyFont="1" applyFill="1" applyAlignment="1" applyProtection="1">
      <alignment horizontal="left" vertical="center" indent="6"/>
      <protection hidden="1"/>
    </xf>
    <xf numFmtId="0" fontId="38" fillId="47" borderId="0" xfId="0" applyFont="1" applyFill="1" applyAlignment="1" applyProtection="1">
      <alignment horizontal="left" vertical="center" indent="8"/>
      <protection hidden="1"/>
    </xf>
    <xf numFmtId="0" fontId="38" fillId="47" borderId="0" xfId="0" applyFont="1" applyFill="1" applyAlignment="1" applyProtection="1">
      <alignment vertical="center"/>
      <protection hidden="1"/>
    </xf>
    <xf numFmtId="0" fontId="114" fillId="47" borderId="52" xfId="0" applyFont="1" applyFill="1" applyBorder="1" applyAlignment="1" applyProtection="1">
      <alignment horizontal="center" vertical="top" wrapText="1"/>
      <protection hidden="1"/>
    </xf>
    <xf numFmtId="0" fontId="38" fillId="47" borderId="56" xfId="0" applyFont="1" applyFill="1" applyBorder="1" applyAlignment="1" applyProtection="1">
      <alignment vertical="center"/>
      <protection hidden="1"/>
    </xf>
    <xf numFmtId="0" fontId="3" fillId="47" borderId="56" xfId="0" applyFont="1" applyFill="1" applyBorder="1" applyAlignment="1" applyProtection="1">
      <alignment vertical="center"/>
      <protection hidden="1"/>
    </xf>
    <xf numFmtId="0" fontId="12" fillId="47" borderId="14" xfId="0" applyFont="1" applyFill="1" applyBorder="1" applyProtection="1">
      <protection hidden="1"/>
    </xf>
    <xf numFmtId="0" fontId="12" fillId="47" borderId="14" xfId="0" applyFont="1" applyFill="1" applyBorder="1" applyAlignment="1" applyProtection="1">
      <alignment vertical="center"/>
      <protection hidden="1"/>
    </xf>
    <xf numFmtId="0" fontId="12" fillId="47" borderId="11" xfId="0" applyFont="1" applyFill="1" applyBorder="1" applyProtection="1">
      <protection hidden="1"/>
    </xf>
    <xf numFmtId="0" fontId="12" fillId="47" borderId="17" xfId="0" applyFont="1" applyFill="1" applyBorder="1" applyProtection="1">
      <protection hidden="1"/>
    </xf>
    <xf numFmtId="0" fontId="12" fillId="47" borderId="12" xfId="0" applyFont="1" applyFill="1" applyBorder="1" applyProtection="1">
      <protection hidden="1"/>
    </xf>
    <xf numFmtId="0" fontId="12" fillId="47" borderId="13" xfId="0" applyFont="1" applyFill="1" applyBorder="1" applyProtection="1">
      <protection hidden="1"/>
    </xf>
    <xf numFmtId="0" fontId="12" fillId="47" borderId="253" xfId="0" applyFont="1" applyFill="1" applyBorder="1" applyProtection="1">
      <protection hidden="1"/>
    </xf>
    <xf numFmtId="0" fontId="31" fillId="47" borderId="253" xfId="0" applyFont="1" applyFill="1" applyBorder="1" applyAlignment="1" applyProtection="1">
      <alignment horizontal="left" indent="1"/>
      <protection hidden="1"/>
    </xf>
    <xf numFmtId="0" fontId="0" fillId="47" borderId="253" xfId="0" applyFill="1" applyBorder="1" applyAlignment="1" applyProtection="1">
      <alignment vertical="center"/>
      <protection hidden="1"/>
    </xf>
    <xf numFmtId="0" fontId="5" fillId="47" borderId="253" xfId="0" applyFont="1" applyFill="1" applyBorder="1" applyAlignment="1" applyProtection="1">
      <alignment vertical="center"/>
      <protection hidden="1"/>
    </xf>
    <xf numFmtId="0" fontId="12" fillId="47" borderId="253" xfId="0" applyFont="1" applyFill="1" applyBorder="1" applyAlignment="1" applyProtection="1">
      <alignment vertical="center"/>
      <protection hidden="1"/>
    </xf>
    <xf numFmtId="0" fontId="12" fillId="47" borderId="16" xfId="0" applyFont="1" applyFill="1" applyBorder="1" applyProtection="1">
      <protection hidden="1"/>
    </xf>
    <xf numFmtId="0" fontId="12" fillId="47" borderId="18" xfId="0" applyFont="1" applyFill="1" applyBorder="1" applyProtection="1">
      <protection hidden="1"/>
    </xf>
    <xf numFmtId="0" fontId="0" fillId="47" borderId="27" xfId="0" applyFill="1" applyBorder="1" applyProtection="1">
      <protection hidden="1"/>
    </xf>
    <xf numFmtId="0" fontId="0" fillId="47" borderId="27" xfId="0" applyFill="1" applyBorder="1" applyAlignment="1" applyProtection="1">
      <alignment vertical="center"/>
      <protection hidden="1"/>
    </xf>
    <xf numFmtId="0" fontId="12" fillId="47" borderId="20" xfId="0" applyFont="1" applyFill="1" applyBorder="1" applyProtection="1">
      <protection hidden="1"/>
    </xf>
    <xf numFmtId="0" fontId="12" fillId="47" borderId="15" xfId="0" applyFont="1" applyFill="1" applyBorder="1" applyProtection="1">
      <protection hidden="1"/>
    </xf>
    <xf numFmtId="0" fontId="45" fillId="47" borderId="27" xfId="0" applyFont="1" applyFill="1" applyBorder="1" applyProtection="1">
      <protection hidden="1"/>
    </xf>
    <xf numFmtId="0" fontId="12" fillId="47" borderId="25" xfId="0" applyFont="1" applyFill="1" applyBorder="1" applyProtection="1">
      <protection hidden="1"/>
    </xf>
    <xf numFmtId="0" fontId="12" fillId="47" borderId="27" xfId="0" applyFont="1" applyFill="1" applyBorder="1" applyProtection="1">
      <protection hidden="1"/>
    </xf>
    <xf numFmtId="0" fontId="29" fillId="47" borderId="27" xfId="0" applyFont="1" applyFill="1" applyBorder="1" applyAlignment="1" applyProtection="1">
      <alignment horizontal="left" vertical="top" indent="1"/>
      <protection hidden="1"/>
    </xf>
    <xf numFmtId="0" fontId="14" fillId="47" borderId="27" xfId="0" applyFont="1" applyFill="1" applyBorder="1" applyAlignment="1" applyProtection="1">
      <alignment wrapText="1"/>
      <protection hidden="1"/>
    </xf>
    <xf numFmtId="0" fontId="14" fillId="47" borderId="27" xfId="0" applyFont="1" applyFill="1" applyBorder="1" applyProtection="1">
      <protection hidden="1"/>
    </xf>
    <xf numFmtId="0" fontId="12" fillId="47" borderId="35" xfId="0" applyFont="1" applyFill="1" applyBorder="1" applyProtection="1">
      <protection hidden="1"/>
    </xf>
    <xf numFmtId="0" fontId="12" fillId="47" borderId="0" xfId="0" applyFont="1" applyFill="1" applyProtection="1">
      <protection hidden="1"/>
    </xf>
    <xf numFmtId="0" fontId="12" fillId="47" borderId="40" xfId="0" applyFont="1" applyFill="1" applyBorder="1" applyProtection="1">
      <protection hidden="1"/>
    </xf>
    <xf numFmtId="0" fontId="12" fillId="47" borderId="15" xfId="0" applyFont="1" applyFill="1" applyBorder="1" applyAlignment="1" applyProtection="1">
      <alignment vertical="center"/>
      <protection hidden="1"/>
    </xf>
    <xf numFmtId="0" fontId="12" fillId="47" borderId="0" xfId="0" applyFont="1" applyFill="1" applyAlignment="1" applyProtection="1">
      <alignment vertical="center"/>
      <protection hidden="1"/>
    </xf>
    <xf numFmtId="0" fontId="14" fillId="47" borderId="0" xfId="0" applyFont="1" applyFill="1" applyAlignment="1" applyProtection="1">
      <alignment horizontal="right"/>
      <protection hidden="1"/>
    </xf>
    <xf numFmtId="0" fontId="12" fillId="47" borderId="0" xfId="0" applyFont="1" applyFill="1" applyAlignment="1" applyProtection="1">
      <alignment horizontal="right" indent="1"/>
      <protection hidden="1"/>
    </xf>
    <xf numFmtId="0" fontId="0" fillId="47" borderId="22" xfId="0" applyFill="1" applyBorder="1" applyProtection="1">
      <protection hidden="1"/>
    </xf>
    <xf numFmtId="0" fontId="0" fillId="47" borderId="22" xfId="0" applyFill="1" applyBorder="1" applyAlignment="1" applyProtection="1">
      <alignment vertical="center"/>
      <protection hidden="1"/>
    </xf>
    <xf numFmtId="0" fontId="12" fillId="47" borderId="22" xfId="0" applyFont="1" applyFill="1" applyBorder="1" applyAlignment="1" applyProtection="1">
      <alignment vertical="center"/>
      <protection hidden="1"/>
    </xf>
    <xf numFmtId="0" fontId="12" fillId="47" borderId="22" xfId="0" applyFont="1" applyFill="1" applyBorder="1" applyProtection="1">
      <protection hidden="1"/>
    </xf>
    <xf numFmtId="0" fontId="18" fillId="47" borderId="0" xfId="0" applyFont="1" applyFill="1" applyProtection="1">
      <protection hidden="1"/>
    </xf>
    <xf numFmtId="0" fontId="197" fillId="48" borderId="0" xfId="0" applyFont="1" applyFill="1" applyAlignment="1" applyProtection="1">
      <alignment horizontal="left" vertical="center" indent="13"/>
      <protection hidden="1"/>
    </xf>
    <xf numFmtId="0" fontId="0" fillId="48" borderId="0" xfId="0" applyFill="1" applyAlignment="1" applyProtection="1">
      <alignment horizontal="left" indent="6"/>
      <protection hidden="1"/>
    </xf>
    <xf numFmtId="0" fontId="180" fillId="48" borderId="0" xfId="0" applyFont="1" applyFill="1" applyProtection="1">
      <protection hidden="1"/>
    </xf>
    <xf numFmtId="0" fontId="182" fillId="48" borderId="0" xfId="0" applyFont="1" applyFill="1" applyAlignment="1" applyProtection="1">
      <alignment vertical="center"/>
      <protection hidden="1"/>
    </xf>
    <xf numFmtId="0" fontId="127" fillId="48" borderId="0" xfId="0" applyFont="1" applyFill="1" applyAlignment="1" applyProtection="1">
      <alignment vertical="center"/>
      <protection hidden="1"/>
    </xf>
    <xf numFmtId="0" fontId="189" fillId="48" borderId="0" xfId="0" applyFont="1" applyFill="1" applyAlignment="1" applyProtection="1">
      <alignment vertical="center"/>
      <protection hidden="1"/>
    </xf>
    <xf numFmtId="0" fontId="0" fillId="48" borderId="0" xfId="0" applyFill="1" applyProtection="1">
      <protection hidden="1"/>
    </xf>
    <xf numFmtId="0" fontId="189" fillId="48" borderId="0" xfId="0" applyFont="1" applyFill="1" applyAlignment="1" applyProtection="1">
      <alignment horizontal="right" vertical="center" indent="1"/>
      <protection hidden="1"/>
    </xf>
    <xf numFmtId="0" fontId="35" fillId="47" borderId="52" xfId="0" applyFont="1" applyFill="1" applyBorder="1" applyAlignment="1" applyProtection="1">
      <alignment horizontal="left" vertical="center" indent="2"/>
      <protection hidden="1"/>
    </xf>
    <xf numFmtId="0" fontId="35" fillId="47" borderId="0" xfId="0" applyFont="1" applyFill="1" applyAlignment="1" applyProtection="1">
      <alignment horizontal="left" vertical="center" indent="1"/>
      <protection hidden="1"/>
    </xf>
    <xf numFmtId="0" fontId="5" fillId="47" borderId="0" xfId="0" applyFont="1" applyFill="1" applyAlignment="1" applyProtection="1">
      <alignment horizontal="right" vertical="center" indent="1"/>
      <protection hidden="1"/>
    </xf>
    <xf numFmtId="0" fontId="0" fillId="47" borderId="52" xfId="0" applyFill="1" applyBorder="1" applyAlignment="1" applyProtection="1">
      <alignment horizontal="left" indent="1"/>
      <protection hidden="1"/>
    </xf>
    <xf numFmtId="0" fontId="0" fillId="47" borderId="0" xfId="0" applyFill="1" applyAlignment="1" applyProtection="1">
      <alignment horizontal="left" indent="1"/>
      <protection hidden="1"/>
    </xf>
    <xf numFmtId="0" fontId="0" fillId="47" borderId="0" xfId="0" applyFill="1" applyAlignment="1" applyProtection="1">
      <alignment vertical="center"/>
      <protection hidden="1"/>
    </xf>
    <xf numFmtId="0" fontId="38" fillId="47" borderId="0" xfId="0" applyFont="1" applyFill="1" applyAlignment="1" applyProtection="1">
      <alignment horizontal="left" indent="6"/>
      <protection hidden="1"/>
    </xf>
    <xf numFmtId="0" fontId="0" fillId="47" borderId="53" xfId="0" applyFill="1" applyBorder="1" applyProtection="1">
      <protection hidden="1"/>
    </xf>
    <xf numFmtId="0" fontId="114" fillId="47" borderId="52" xfId="0" applyFont="1" applyFill="1" applyBorder="1" applyAlignment="1" applyProtection="1">
      <alignment horizontal="center" vertical="center" wrapText="1"/>
      <protection hidden="1"/>
    </xf>
    <xf numFmtId="0" fontId="0" fillId="47" borderId="55" xfId="0" applyFill="1" applyBorder="1" applyProtection="1">
      <protection hidden="1"/>
    </xf>
    <xf numFmtId="0" fontId="0" fillId="47" borderId="57" xfId="0" applyFill="1" applyBorder="1" applyProtection="1">
      <protection hidden="1"/>
    </xf>
    <xf numFmtId="0" fontId="5" fillId="47" borderId="0" xfId="0" applyFont="1" applyFill="1" applyAlignment="1" applyProtection="1">
      <alignment vertical="center" wrapText="1"/>
      <protection hidden="1"/>
    </xf>
    <xf numFmtId="0" fontId="0" fillId="47" borderId="0" xfId="0" applyFill="1" applyAlignment="1" applyProtection="1">
      <alignment horizontal="right" indent="1"/>
      <protection hidden="1"/>
    </xf>
    <xf numFmtId="0" fontId="0" fillId="47" borderId="0" xfId="0" applyFill="1" applyAlignment="1" applyProtection="1">
      <alignment horizontal="left" vertical="center" indent="4"/>
      <protection hidden="1"/>
    </xf>
    <xf numFmtId="0" fontId="64" fillId="47" borderId="0" xfId="0" applyFont="1" applyFill="1" applyAlignment="1" applyProtection="1">
      <alignment vertical="center"/>
      <protection hidden="1"/>
    </xf>
    <xf numFmtId="0" fontId="64" fillId="47" borderId="0" xfId="0" applyFont="1" applyFill="1" applyAlignment="1" applyProtection="1">
      <alignment vertical="center" wrapText="1"/>
      <protection hidden="1"/>
    </xf>
    <xf numFmtId="0" fontId="0" fillId="47" borderId="0" xfId="0" applyFill="1" applyAlignment="1" applyProtection="1">
      <alignment horizontal="left" vertical="center" indent="2"/>
      <protection hidden="1"/>
    </xf>
    <xf numFmtId="0" fontId="5" fillId="47" borderId="0" xfId="0" applyFont="1" applyFill="1" applyAlignment="1" applyProtection="1">
      <alignment horizontal="right" wrapText="1" indent="1"/>
      <protection hidden="1"/>
    </xf>
    <xf numFmtId="0" fontId="3" fillId="47" borderId="0" xfId="0" applyFont="1" applyFill="1" applyAlignment="1" applyProtection="1">
      <alignment horizontal="right" wrapText="1" indent="1"/>
      <protection hidden="1"/>
    </xf>
    <xf numFmtId="0" fontId="63" fillId="47" borderId="0" xfId="0" applyFont="1" applyFill="1" applyAlignment="1" applyProtection="1">
      <alignment horizontal="left" wrapText="1" indent="2"/>
      <protection hidden="1"/>
    </xf>
    <xf numFmtId="0" fontId="63" fillId="47" borderId="0" xfId="0" applyFont="1" applyFill="1" applyAlignment="1" applyProtection="1">
      <alignment horizontal="left" indent="1"/>
      <protection hidden="1"/>
    </xf>
    <xf numFmtId="0" fontId="44" fillId="47" borderId="0" xfId="0" applyFont="1" applyFill="1" applyAlignment="1" applyProtection="1">
      <alignment horizontal="left" vertical="center" indent="2"/>
      <protection hidden="1"/>
    </xf>
    <xf numFmtId="0" fontId="6" fillId="47" borderId="0" xfId="1" applyFont="1" applyFill="1" applyBorder="1" applyAlignment="1" applyProtection="1">
      <alignment horizontal="center" vertical="center"/>
      <protection hidden="1"/>
    </xf>
    <xf numFmtId="0" fontId="3" fillId="47" borderId="48" xfId="0" applyFont="1" applyFill="1" applyBorder="1" applyAlignment="1" applyProtection="1">
      <alignment vertical="center" wrapText="1"/>
      <protection hidden="1"/>
    </xf>
    <xf numFmtId="0" fontId="3" fillId="47" borderId="48" xfId="0" applyFont="1" applyFill="1" applyBorder="1" applyAlignment="1" applyProtection="1">
      <alignment horizontal="right" vertical="center" wrapText="1" indent="1"/>
      <protection hidden="1"/>
    </xf>
    <xf numFmtId="0" fontId="45" fillId="47" borderId="0" xfId="0" applyFont="1" applyFill="1" applyProtection="1">
      <protection hidden="1"/>
    </xf>
    <xf numFmtId="0" fontId="0" fillId="47" borderId="0" xfId="0" applyFill="1" applyAlignment="1" applyProtection="1">
      <alignment horizontal="left" vertical="center" indent="1"/>
      <protection hidden="1"/>
    </xf>
    <xf numFmtId="0" fontId="67" fillId="47" borderId="53" xfId="0" applyFont="1" applyFill="1" applyBorder="1" applyAlignment="1" applyProtection="1">
      <alignment horizontal="left" vertical="center" wrapText="1"/>
      <protection hidden="1"/>
    </xf>
    <xf numFmtId="0" fontId="95" fillId="47" borderId="0" xfId="0" applyFont="1" applyFill="1" applyAlignment="1" applyProtection="1">
      <alignment horizontal="center" vertical="center"/>
      <protection hidden="1"/>
    </xf>
    <xf numFmtId="0" fontId="92" fillId="47" borderId="0" xfId="0" applyFont="1" applyFill="1" applyAlignment="1" applyProtection="1">
      <alignment vertical="center"/>
      <protection hidden="1"/>
    </xf>
    <xf numFmtId="0" fontId="93" fillId="47" borderId="0" xfId="0" applyFont="1" applyFill="1" applyAlignment="1" applyProtection="1">
      <alignment vertical="center"/>
      <protection hidden="1"/>
    </xf>
    <xf numFmtId="0" fontId="44" fillId="47" borderId="0" xfId="0" applyFont="1" applyFill="1" applyAlignment="1" applyProtection="1">
      <alignment horizontal="left" vertical="center" indent="6"/>
      <protection hidden="1"/>
    </xf>
    <xf numFmtId="0" fontId="0" fillId="47" borderId="0" xfId="0" applyFill="1" applyAlignment="1" applyProtection="1">
      <alignment horizontal="left" vertical="center" wrapText="1" indent="1"/>
      <protection hidden="1"/>
    </xf>
    <xf numFmtId="0" fontId="0" fillId="47" borderId="0" xfId="0" applyFill="1" applyAlignment="1" applyProtection="1">
      <alignment horizontal="left" vertical="top" indent="1"/>
      <protection hidden="1"/>
    </xf>
    <xf numFmtId="0" fontId="38" fillId="47" borderId="0" xfId="0" applyFont="1" applyFill="1" applyAlignment="1" applyProtection="1">
      <alignment horizontal="left" vertical="top" indent="9"/>
      <protection hidden="1"/>
    </xf>
    <xf numFmtId="0" fontId="9" fillId="47" borderId="0" xfId="0" applyFont="1" applyFill="1" applyAlignment="1" applyProtection="1">
      <alignment horizontal="left" indent="6"/>
      <protection hidden="1"/>
    </xf>
    <xf numFmtId="0" fontId="0" fillId="47" borderId="0" xfId="0" applyFill="1" applyAlignment="1" applyProtection="1">
      <alignment horizontal="left" indent="4"/>
      <protection hidden="1"/>
    </xf>
    <xf numFmtId="0" fontId="0" fillId="47" borderId="0" xfId="0" applyFill="1" applyAlignment="1" applyProtection="1">
      <alignment vertical="top"/>
      <protection hidden="1"/>
    </xf>
    <xf numFmtId="0" fontId="38" fillId="47" borderId="0" xfId="0" applyFont="1" applyFill="1" applyAlignment="1" applyProtection="1">
      <alignment horizontal="left" indent="4"/>
      <protection hidden="1"/>
    </xf>
    <xf numFmtId="0" fontId="38" fillId="47" borderId="0" xfId="0" applyFont="1" applyFill="1" applyAlignment="1" applyProtection="1">
      <alignment horizontal="left" vertical="top" indent="7"/>
      <protection hidden="1"/>
    </xf>
    <xf numFmtId="0" fontId="38" fillId="47" borderId="0" xfId="0" applyFont="1" applyFill="1" applyAlignment="1" applyProtection="1">
      <alignment horizontal="left" vertical="top" indent="6"/>
      <protection hidden="1"/>
    </xf>
    <xf numFmtId="0" fontId="3" fillId="47" borderId="2" xfId="0" applyFont="1" applyFill="1" applyBorder="1" applyAlignment="1" applyProtection="1">
      <alignment vertical="center" wrapText="1"/>
      <protection hidden="1"/>
    </xf>
    <xf numFmtId="0" fontId="107" fillId="47" borderId="52" xfId="0" applyFont="1" applyFill="1" applyBorder="1" applyAlignment="1" applyProtection="1">
      <alignment horizontal="left" vertical="center" wrapText="1"/>
      <protection hidden="1"/>
    </xf>
    <xf numFmtId="0" fontId="3" fillId="47" borderId="0" xfId="0" applyFont="1" applyFill="1" applyAlignment="1" applyProtection="1">
      <alignment horizontal="center" vertical="center" wrapText="1"/>
      <protection hidden="1"/>
    </xf>
    <xf numFmtId="0" fontId="35" fillId="47" borderId="53" xfId="0" applyFont="1" applyFill="1" applyBorder="1" applyAlignment="1" applyProtection="1">
      <alignment horizontal="left" vertical="center" wrapText="1"/>
      <protection hidden="1"/>
    </xf>
    <xf numFmtId="0" fontId="200" fillId="47" borderId="0" xfId="0" applyFont="1" applyFill="1" applyAlignment="1" applyProtection="1">
      <alignment vertical="center" wrapText="1"/>
      <protection hidden="1"/>
    </xf>
    <xf numFmtId="0" fontId="1" fillId="47" borderId="0" xfId="0" applyFont="1" applyFill="1" applyAlignment="1" applyProtection="1">
      <alignment horizontal="right" vertical="center" wrapText="1"/>
      <protection hidden="1"/>
    </xf>
    <xf numFmtId="0" fontId="3" fillId="47" borderId="56" xfId="0" applyFont="1" applyFill="1" applyBorder="1" applyAlignment="1" applyProtection="1">
      <alignment horizontal="center" vertical="center" wrapText="1"/>
      <protection hidden="1"/>
    </xf>
    <xf numFmtId="0" fontId="35" fillId="47" borderId="52" xfId="0" applyFont="1" applyFill="1" applyBorder="1" applyAlignment="1" applyProtection="1">
      <alignment horizontal="center" vertical="center"/>
      <protection hidden="1"/>
    </xf>
    <xf numFmtId="0" fontId="42" fillId="47" borderId="52" xfId="0" applyFont="1" applyFill="1" applyBorder="1" applyAlignment="1" applyProtection="1">
      <alignment horizontal="center" vertical="center"/>
      <protection hidden="1"/>
    </xf>
    <xf numFmtId="0" fontId="3" fillId="47" borderId="52" xfId="0" applyFont="1" applyFill="1" applyBorder="1" applyAlignment="1" applyProtection="1">
      <alignment vertical="center" wrapText="1"/>
      <protection locked="0"/>
    </xf>
    <xf numFmtId="0" fontId="10" fillId="49" borderId="0" xfId="0" applyFont="1" applyFill="1" applyProtection="1">
      <protection hidden="1"/>
    </xf>
    <xf numFmtId="0" fontId="140" fillId="49" borderId="0" xfId="0" applyFont="1" applyFill="1" applyProtection="1">
      <protection hidden="1"/>
    </xf>
    <xf numFmtId="0" fontId="11" fillId="49" borderId="0" xfId="0" applyFont="1" applyFill="1" applyAlignment="1" applyProtection="1">
      <alignment vertical="center"/>
      <protection hidden="1"/>
    </xf>
    <xf numFmtId="0" fontId="10" fillId="49" borderId="0" xfId="0" applyFont="1" applyFill="1" applyAlignment="1" applyProtection="1">
      <alignment vertical="center"/>
      <protection hidden="1"/>
    </xf>
    <xf numFmtId="0" fontId="7" fillId="49" borderId="0" xfId="0" applyFont="1" applyFill="1" applyProtection="1">
      <protection hidden="1"/>
    </xf>
    <xf numFmtId="0" fontId="140" fillId="49" borderId="0" xfId="0" applyFont="1" applyFill="1" applyAlignment="1" applyProtection="1">
      <alignment horizontal="right"/>
      <protection hidden="1"/>
    </xf>
    <xf numFmtId="0" fontId="192" fillId="49" borderId="0" xfId="0" applyFont="1" applyFill="1" applyAlignment="1" applyProtection="1">
      <alignment vertical="top"/>
      <protection hidden="1"/>
    </xf>
    <xf numFmtId="0" fontId="193" fillId="49" borderId="0" xfId="0" applyFont="1" applyFill="1" applyAlignment="1" applyProtection="1">
      <alignment horizontal="right" vertical="top"/>
      <protection hidden="1"/>
    </xf>
    <xf numFmtId="0" fontId="1" fillId="49" borderId="0" xfId="0" applyFont="1" applyFill="1" applyAlignment="1" applyProtection="1">
      <alignment vertical="center"/>
      <protection hidden="1"/>
    </xf>
    <xf numFmtId="0" fontId="191" fillId="49" borderId="0" xfId="0" applyFont="1" applyFill="1" applyAlignment="1" applyProtection="1">
      <alignment horizontal="right" vertical="center"/>
      <protection hidden="1"/>
    </xf>
    <xf numFmtId="0" fontId="7" fillId="49" borderId="0" xfId="0" applyFont="1" applyFill="1" applyAlignment="1" applyProtection="1">
      <alignment horizontal="center" vertical="center"/>
      <protection hidden="1"/>
    </xf>
    <xf numFmtId="0" fontId="5" fillId="50" borderId="0" xfId="0" applyFont="1" applyFill="1" applyProtection="1">
      <protection hidden="1"/>
    </xf>
    <xf numFmtId="0" fontId="1" fillId="50" borderId="0" xfId="0" applyFont="1" applyFill="1" applyAlignment="1" applyProtection="1">
      <alignment vertical="center"/>
      <protection hidden="1"/>
    </xf>
    <xf numFmtId="0" fontId="0" fillId="50" borderId="0" xfId="0" applyFill="1" applyProtection="1">
      <protection hidden="1"/>
    </xf>
    <xf numFmtId="0" fontId="21" fillId="50" borderId="0" xfId="0" applyFont="1" applyFill="1" applyAlignment="1" applyProtection="1">
      <alignment vertical="center"/>
      <protection hidden="1"/>
    </xf>
    <xf numFmtId="0" fontId="31" fillId="50" borderId="0" xfId="0" applyFont="1" applyFill="1" applyAlignment="1" applyProtection="1">
      <alignment horizontal="right" vertical="center"/>
      <protection hidden="1"/>
    </xf>
    <xf numFmtId="0" fontId="12" fillId="52" borderId="11" xfId="0" applyFont="1" applyFill="1" applyBorder="1" applyProtection="1">
      <protection hidden="1"/>
    </xf>
    <xf numFmtId="0" fontId="12" fillId="52" borderId="14" xfId="0" applyFont="1" applyFill="1" applyBorder="1" applyProtection="1">
      <protection hidden="1"/>
    </xf>
    <xf numFmtId="0" fontId="12" fillId="52" borderId="14" xfId="0" applyFont="1" applyFill="1" applyBorder="1" applyAlignment="1" applyProtection="1">
      <alignment vertical="center"/>
      <protection hidden="1"/>
    </xf>
    <xf numFmtId="0" fontId="12" fillId="52" borderId="17" xfId="0" applyFont="1" applyFill="1" applyBorder="1" applyProtection="1">
      <protection hidden="1"/>
    </xf>
    <xf numFmtId="0" fontId="12" fillId="52" borderId="12" xfId="0" applyFont="1" applyFill="1" applyBorder="1" applyProtection="1">
      <protection hidden="1"/>
    </xf>
    <xf numFmtId="0" fontId="12" fillId="52" borderId="253" xfId="0" applyFont="1" applyFill="1" applyBorder="1" applyProtection="1">
      <protection hidden="1"/>
    </xf>
    <xf numFmtId="0" fontId="31" fillId="52" borderId="253" xfId="0" applyFont="1" applyFill="1" applyBorder="1" applyAlignment="1" applyProtection="1">
      <alignment horizontal="left" indent="1"/>
      <protection hidden="1"/>
    </xf>
    <xf numFmtId="0" fontId="0" fillId="52" borderId="253" xfId="0" applyFill="1" applyBorder="1" applyAlignment="1" applyProtection="1">
      <alignment vertical="center"/>
      <protection hidden="1"/>
    </xf>
    <xf numFmtId="0" fontId="5" fillId="52" borderId="253" xfId="0" applyFont="1" applyFill="1" applyBorder="1" applyAlignment="1" applyProtection="1">
      <alignment vertical="center"/>
      <protection hidden="1"/>
    </xf>
    <xf numFmtId="0" fontId="12" fillId="52" borderId="253" xfId="0" applyFont="1" applyFill="1" applyBorder="1" applyAlignment="1" applyProtection="1">
      <alignment vertical="center"/>
      <protection hidden="1"/>
    </xf>
    <xf numFmtId="0" fontId="12" fillId="52" borderId="16" xfId="0" applyFont="1" applyFill="1" applyBorder="1" applyProtection="1">
      <protection hidden="1"/>
    </xf>
    <xf numFmtId="0" fontId="12" fillId="52" borderId="13" xfId="0" applyFont="1" applyFill="1" applyBorder="1" applyProtection="1">
      <protection hidden="1"/>
    </xf>
    <xf numFmtId="0" fontId="0" fillId="52" borderId="27" xfId="0" applyFill="1" applyBorder="1" applyProtection="1">
      <protection hidden="1"/>
    </xf>
    <xf numFmtId="0" fontId="0" fillId="52" borderId="27" xfId="0" applyFill="1" applyBorder="1" applyAlignment="1" applyProtection="1">
      <alignment vertical="center"/>
      <protection hidden="1"/>
    </xf>
    <xf numFmtId="0" fontId="12" fillId="52" borderId="18" xfId="0" applyFont="1" applyFill="1" applyBorder="1" applyProtection="1">
      <protection hidden="1"/>
    </xf>
    <xf numFmtId="0" fontId="31" fillId="50" borderId="0" xfId="0" applyFont="1" applyFill="1" applyAlignment="1" applyProtection="1">
      <alignment vertical="center"/>
      <protection hidden="1"/>
    </xf>
    <xf numFmtId="0" fontId="21" fillId="50" borderId="0" xfId="0" applyFont="1" applyFill="1" applyAlignment="1" applyProtection="1">
      <alignment horizontal="left" vertical="center" indent="1"/>
      <protection hidden="1"/>
    </xf>
    <xf numFmtId="0" fontId="1" fillId="50" borderId="0" xfId="0" applyFont="1" applyFill="1" applyAlignment="1" applyProtection="1">
      <alignment horizontal="left" vertical="center"/>
      <protection hidden="1"/>
    </xf>
    <xf numFmtId="0" fontId="21" fillId="50" borderId="0" xfId="0" applyFont="1" applyFill="1" applyAlignment="1" applyProtection="1">
      <alignment horizontal="left" vertical="center"/>
      <protection hidden="1"/>
    </xf>
    <xf numFmtId="0" fontId="12" fillId="52" borderId="15" xfId="0" applyFont="1" applyFill="1" applyBorder="1" applyProtection="1">
      <protection hidden="1"/>
    </xf>
    <xf numFmtId="0" fontId="12" fillId="52" borderId="0" xfId="0" applyFont="1" applyFill="1" applyProtection="1">
      <protection hidden="1"/>
    </xf>
    <xf numFmtId="0" fontId="18" fillId="52" borderId="0" xfId="0" applyFont="1" applyFill="1" applyProtection="1">
      <protection hidden="1"/>
    </xf>
    <xf numFmtId="0" fontId="12" fillId="52" borderId="22" xfId="0" applyFont="1" applyFill="1" applyBorder="1" applyProtection="1">
      <protection hidden="1"/>
    </xf>
    <xf numFmtId="0" fontId="12" fillId="52" borderId="15" xfId="0" applyFont="1" applyFill="1" applyBorder="1" applyAlignment="1" applyProtection="1">
      <alignment vertical="center"/>
      <protection hidden="1"/>
    </xf>
    <xf numFmtId="0" fontId="12" fillId="52" borderId="0" xfId="0" applyFont="1" applyFill="1" applyAlignment="1" applyProtection="1">
      <alignment vertical="center"/>
      <protection hidden="1"/>
    </xf>
    <xf numFmtId="0" fontId="12" fillId="52" borderId="27" xfId="0" applyFont="1" applyFill="1" applyBorder="1" applyProtection="1">
      <protection hidden="1"/>
    </xf>
    <xf numFmtId="0" fontId="0" fillId="52" borderId="22" xfId="0" applyFill="1" applyBorder="1" applyProtection="1">
      <protection hidden="1"/>
    </xf>
    <xf numFmtId="0" fontId="0" fillId="52" borderId="22" xfId="0" applyFill="1" applyBorder="1" applyAlignment="1" applyProtection="1">
      <alignment vertical="center"/>
      <protection hidden="1"/>
    </xf>
    <xf numFmtId="0" fontId="12" fillId="52" borderId="22" xfId="0" applyFont="1" applyFill="1" applyBorder="1" applyAlignment="1" applyProtection="1">
      <alignment vertical="center"/>
      <protection hidden="1"/>
    </xf>
    <xf numFmtId="0" fontId="0" fillId="52" borderId="0" xfId="0" applyFill="1" applyProtection="1">
      <protection hidden="1"/>
    </xf>
    <xf numFmtId="0" fontId="14" fillId="52" borderId="0" xfId="0" applyFont="1" applyFill="1" applyAlignment="1" applyProtection="1">
      <alignment horizontal="right"/>
      <protection hidden="1"/>
    </xf>
    <xf numFmtId="0" fontId="12" fillId="52" borderId="0" xfId="0" applyFont="1" applyFill="1" applyAlignment="1" applyProtection="1">
      <alignment horizontal="right" indent="1"/>
      <protection hidden="1"/>
    </xf>
    <xf numFmtId="0" fontId="12" fillId="52" borderId="40" xfId="0" applyFont="1" applyFill="1" applyBorder="1" applyProtection="1">
      <protection hidden="1"/>
    </xf>
    <xf numFmtId="0" fontId="12" fillId="52" borderId="35" xfId="0" applyFont="1" applyFill="1" applyBorder="1" applyProtection="1">
      <protection hidden="1"/>
    </xf>
    <xf numFmtId="0" fontId="12" fillId="52" borderId="20" xfId="0" applyFont="1" applyFill="1" applyBorder="1" applyProtection="1">
      <protection hidden="1"/>
    </xf>
    <xf numFmtId="0" fontId="45" fillId="52" borderId="27" xfId="0" applyFont="1" applyFill="1" applyBorder="1" applyProtection="1">
      <protection hidden="1"/>
    </xf>
    <xf numFmtId="0" fontId="12" fillId="52" borderId="25" xfId="0" applyFont="1" applyFill="1" applyBorder="1" applyProtection="1">
      <protection hidden="1"/>
    </xf>
    <xf numFmtId="0" fontId="29" fillId="52" borderId="27" xfId="0" applyFont="1" applyFill="1" applyBorder="1" applyAlignment="1" applyProtection="1">
      <alignment horizontal="left" vertical="top" indent="1"/>
      <protection hidden="1"/>
    </xf>
    <xf numFmtId="0" fontId="14" fillId="52" borderId="27" xfId="0" applyFont="1" applyFill="1" applyBorder="1" applyAlignment="1" applyProtection="1">
      <alignment wrapText="1"/>
      <protection hidden="1"/>
    </xf>
    <xf numFmtId="0" fontId="14" fillId="52" borderId="27" xfId="0" applyFont="1" applyFill="1" applyBorder="1" applyProtection="1">
      <protection hidden="1"/>
    </xf>
    <xf numFmtId="0" fontId="194" fillId="51" borderId="42" xfId="0" applyFont="1" applyFill="1" applyBorder="1" applyAlignment="1" applyProtection="1">
      <alignment horizontal="left" vertical="center" indent="1"/>
      <protection hidden="1"/>
    </xf>
    <xf numFmtId="0" fontId="10" fillId="51" borderId="44" xfId="0" applyFont="1" applyFill="1" applyBorder="1" applyProtection="1">
      <protection hidden="1"/>
    </xf>
    <xf numFmtId="0" fontId="31" fillId="51" borderId="44" xfId="0" applyFont="1" applyFill="1" applyBorder="1" applyAlignment="1" applyProtection="1">
      <alignment horizontal="left" indent="1"/>
      <protection hidden="1"/>
    </xf>
    <xf numFmtId="0" fontId="1" fillId="51" borderId="44" xfId="0" applyFont="1" applyFill="1" applyBorder="1" applyProtection="1">
      <protection hidden="1"/>
    </xf>
    <xf numFmtId="0" fontId="12" fillId="51" borderId="44" xfId="0" applyFont="1" applyFill="1" applyBorder="1" applyProtection="1">
      <protection hidden="1"/>
    </xf>
    <xf numFmtId="0" fontId="28" fillId="51" borderId="44" xfId="0" applyFont="1" applyFill="1" applyBorder="1" applyAlignment="1" applyProtection="1">
      <alignment horizontal="left" vertical="center" indent="1"/>
      <protection hidden="1"/>
    </xf>
    <xf numFmtId="0" fontId="31" fillId="51" borderId="44" xfId="0" applyFont="1" applyFill="1" applyBorder="1" applyAlignment="1" applyProtection="1">
      <alignment horizontal="left" vertical="top"/>
      <protection hidden="1"/>
    </xf>
    <xf numFmtId="0" fontId="31" fillId="51" borderId="44" xfId="0" applyFont="1" applyFill="1" applyBorder="1" applyAlignment="1" applyProtection="1">
      <alignment horizontal="left" vertical="center"/>
      <protection hidden="1"/>
    </xf>
    <xf numFmtId="0" fontId="0" fillId="51" borderId="43" xfId="0" applyFill="1" applyBorder="1" applyProtection="1">
      <protection hidden="1"/>
    </xf>
    <xf numFmtId="0" fontId="28" fillId="51" borderId="44" xfId="0" applyFont="1" applyFill="1" applyBorder="1" applyAlignment="1" applyProtection="1">
      <alignment horizontal="left" vertical="top" indent="3"/>
      <protection hidden="1"/>
    </xf>
    <xf numFmtId="0" fontId="31" fillId="51" borderId="44" xfId="0" applyFont="1" applyFill="1" applyBorder="1" applyAlignment="1" applyProtection="1">
      <alignment horizontal="center" vertical="center"/>
      <protection hidden="1"/>
    </xf>
    <xf numFmtId="0" fontId="196" fillId="51" borderId="44" xfId="0" applyFont="1" applyFill="1" applyBorder="1" applyProtection="1">
      <protection hidden="1"/>
    </xf>
    <xf numFmtId="0" fontId="196" fillId="51" borderId="44" xfId="0" applyFont="1" applyFill="1" applyBorder="1" applyAlignment="1" applyProtection="1">
      <alignment horizontal="left" vertical="top"/>
      <protection hidden="1"/>
    </xf>
    <xf numFmtId="0" fontId="196" fillId="51" borderId="44" xfId="0" applyFont="1" applyFill="1" applyBorder="1" applyAlignment="1" applyProtection="1">
      <alignment horizontal="left" vertical="center"/>
      <protection hidden="1"/>
    </xf>
    <xf numFmtId="0" fontId="196" fillId="51" borderId="44" xfId="0" applyFont="1" applyFill="1" applyBorder="1" applyAlignment="1" applyProtection="1">
      <alignment horizontal="center" vertical="center"/>
      <protection hidden="1"/>
    </xf>
    <xf numFmtId="0" fontId="196" fillId="51" borderId="44" xfId="0" applyFont="1" applyFill="1" applyBorder="1" applyAlignment="1" applyProtection="1">
      <alignment horizontal="left" indent="1"/>
      <protection hidden="1"/>
    </xf>
    <xf numFmtId="0" fontId="194" fillId="51" borderId="44" xfId="0" applyFont="1" applyFill="1" applyBorder="1" applyProtection="1">
      <protection hidden="1"/>
    </xf>
    <xf numFmtId="0" fontId="194" fillId="51" borderId="44" xfId="0" applyFont="1" applyFill="1" applyBorder="1" applyAlignment="1" applyProtection="1">
      <alignment horizontal="left" vertical="top" indent="3"/>
      <protection hidden="1"/>
    </xf>
    <xf numFmtId="0" fontId="194" fillId="51" borderId="43" xfId="0" applyFont="1" applyFill="1" applyBorder="1" applyAlignment="1" applyProtection="1">
      <alignment horizontal="left" vertical="top" indent="3"/>
      <protection hidden="1"/>
    </xf>
    <xf numFmtId="0" fontId="194" fillId="51" borderId="44" xfId="0" applyFont="1" applyFill="1" applyBorder="1" applyAlignment="1" applyProtection="1">
      <alignment horizontal="left" vertical="center" indent="1"/>
      <protection hidden="1"/>
    </xf>
    <xf numFmtId="0" fontId="194" fillId="51" borderId="43" xfId="0" applyFont="1" applyFill="1" applyBorder="1" applyAlignment="1" applyProtection="1">
      <alignment horizontal="left" vertical="center" indent="1"/>
      <protection hidden="1"/>
    </xf>
    <xf numFmtId="0" fontId="54" fillId="0" borderId="0" xfId="0" applyFont="1" applyAlignment="1" applyProtection="1">
      <alignment horizontal="right" vertical="center" indent="1"/>
      <protection hidden="1"/>
    </xf>
    <xf numFmtId="0" fontId="0" fillId="0" borderId="1" xfId="0" applyBorder="1" applyAlignment="1" applyProtection="1">
      <alignment horizontal="right" vertical="center" indent="1"/>
      <protection hidden="1"/>
    </xf>
    <xf numFmtId="0" fontId="0" fillId="0" borderId="59" xfId="0" applyBorder="1" applyAlignment="1" applyProtection="1">
      <alignment horizontal="left" vertical="center"/>
      <protection hidden="1"/>
    </xf>
    <xf numFmtId="164" fontId="4" fillId="0" borderId="124" xfId="0" applyNumberFormat="1" applyFont="1" applyBorder="1" applyAlignment="1">
      <alignment vertical="top"/>
    </xf>
    <xf numFmtId="164" fontId="4" fillId="0" borderId="106" xfId="0" applyNumberFormat="1" applyFont="1" applyBorder="1" applyAlignment="1">
      <alignment vertical="top"/>
    </xf>
    <xf numFmtId="168" fontId="4" fillId="0" borderId="107" xfId="0" applyNumberFormat="1" applyFont="1" applyBorder="1" applyAlignment="1">
      <alignment vertical="top"/>
    </xf>
    <xf numFmtId="167" fontId="4" fillId="0" borderId="4" xfId="0" applyNumberFormat="1" applyFont="1" applyBorder="1" applyAlignment="1">
      <alignment vertical="top"/>
    </xf>
    <xf numFmtId="167" fontId="0" fillId="0" borderId="2" xfId="0" applyNumberFormat="1" applyBorder="1"/>
    <xf numFmtId="0" fontId="5" fillId="53" borderId="0" xfId="0" applyFont="1" applyFill="1" applyProtection="1">
      <protection hidden="1"/>
    </xf>
    <xf numFmtId="0" fontId="1" fillId="53" borderId="0" xfId="0" applyFont="1" applyFill="1" applyAlignment="1" applyProtection="1">
      <alignment vertical="center"/>
      <protection hidden="1"/>
    </xf>
    <xf numFmtId="0" fontId="0" fillId="53" borderId="0" xfId="0" applyFill="1" applyProtection="1">
      <protection hidden="1"/>
    </xf>
    <xf numFmtId="0" fontId="21" fillId="53" borderId="0" xfId="0" applyFont="1" applyFill="1" applyAlignment="1" applyProtection="1">
      <alignment vertical="center"/>
      <protection hidden="1"/>
    </xf>
    <xf numFmtId="0" fontId="55" fillId="53" borderId="0" xfId="0" applyFont="1" applyFill="1" applyAlignment="1" applyProtection="1">
      <alignment horizontal="right" vertical="top"/>
      <protection hidden="1"/>
    </xf>
    <xf numFmtId="0" fontId="31" fillId="53" borderId="0" xfId="0" applyFont="1" applyFill="1" applyAlignment="1" applyProtection="1">
      <alignment horizontal="left" vertical="center"/>
      <protection hidden="1"/>
    </xf>
    <xf numFmtId="0" fontId="12" fillId="53" borderId="0" xfId="0" applyFont="1" applyFill="1" applyProtection="1">
      <protection hidden="1"/>
    </xf>
    <xf numFmtId="0" fontId="243" fillId="53" borderId="0" xfId="0" applyFont="1" applyFill="1" applyProtection="1">
      <protection hidden="1"/>
    </xf>
    <xf numFmtId="0" fontId="10" fillId="54" borderId="0" xfId="0" applyFont="1" applyFill="1" applyProtection="1">
      <protection hidden="1"/>
    </xf>
    <xf numFmtId="0" fontId="11" fillId="54" borderId="0" xfId="0" applyFont="1" applyFill="1" applyAlignment="1" applyProtection="1">
      <alignment vertical="center"/>
      <protection hidden="1"/>
    </xf>
    <xf numFmtId="0" fontId="10" fillId="54" borderId="0" xfId="0" applyFont="1" applyFill="1" applyAlignment="1" applyProtection="1">
      <alignment vertical="center"/>
      <protection hidden="1"/>
    </xf>
    <xf numFmtId="0" fontId="7" fillId="54" borderId="0" xfId="0" applyFont="1" applyFill="1" applyProtection="1">
      <protection hidden="1"/>
    </xf>
    <xf numFmtId="0" fontId="1" fillId="54" borderId="0" xfId="0" applyFont="1" applyFill="1" applyProtection="1">
      <protection hidden="1"/>
    </xf>
    <xf numFmtId="0" fontId="7" fillId="54" borderId="0" xfId="0" applyFont="1" applyFill="1" applyAlignment="1" applyProtection="1">
      <alignment vertical="center"/>
      <protection hidden="1"/>
    </xf>
    <xf numFmtId="0" fontId="1" fillId="54" borderId="0" xfId="0" applyFont="1" applyFill="1" applyAlignment="1" applyProtection="1">
      <alignment vertical="center"/>
      <protection hidden="1"/>
    </xf>
    <xf numFmtId="0" fontId="10" fillId="54" borderId="0" xfId="0" applyFont="1" applyFill="1" applyAlignment="1" applyProtection="1">
      <alignment vertical="top"/>
      <protection hidden="1"/>
    </xf>
    <xf numFmtId="0" fontId="7" fillId="54" borderId="0" xfId="0" applyFont="1" applyFill="1" applyAlignment="1" applyProtection="1">
      <alignment horizontal="center" vertical="center"/>
      <protection hidden="1"/>
    </xf>
    <xf numFmtId="0" fontId="10" fillId="54" borderId="0" xfId="0" applyFont="1" applyFill="1" applyAlignment="1" applyProtection="1">
      <alignment horizontal="right" vertical="top"/>
      <protection hidden="1"/>
    </xf>
    <xf numFmtId="0" fontId="0" fillId="54" borderId="0" xfId="0" applyFill="1" applyProtection="1">
      <protection hidden="1"/>
    </xf>
    <xf numFmtId="0" fontId="12" fillId="54" borderId="0" xfId="0" applyFont="1" applyFill="1" applyProtection="1">
      <protection hidden="1"/>
    </xf>
    <xf numFmtId="0" fontId="31" fillId="54" borderId="0" xfId="0" applyFont="1" applyFill="1" applyAlignment="1" applyProtection="1">
      <alignment horizontal="left" vertical="center"/>
      <protection hidden="1"/>
    </xf>
    <xf numFmtId="0" fontId="17" fillId="54" borderId="0" xfId="0" applyFont="1" applyFill="1" applyAlignment="1" applyProtection="1">
      <alignment horizontal="left"/>
      <protection hidden="1"/>
    </xf>
    <xf numFmtId="0" fontId="14" fillId="54" borderId="0" xfId="0" applyFont="1" applyFill="1" applyAlignment="1" applyProtection="1">
      <alignment horizontal="right" vertical="center"/>
      <protection hidden="1"/>
    </xf>
    <xf numFmtId="0" fontId="12" fillId="54" borderId="0" xfId="0" applyFont="1" applyFill="1" applyAlignment="1" applyProtection="1">
      <alignment vertical="center"/>
      <protection hidden="1"/>
    </xf>
    <xf numFmtId="0" fontId="17" fillId="54" borderId="0" xfId="0" applyFont="1" applyFill="1" applyAlignment="1" applyProtection="1">
      <alignment vertical="center"/>
      <protection hidden="1"/>
    </xf>
    <xf numFmtId="0" fontId="251" fillId="54" borderId="0" xfId="0" applyFont="1" applyFill="1" applyProtection="1">
      <protection hidden="1"/>
    </xf>
    <xf numFmtId="0" fontId="252" fillId="54" borderId="0" xfId="0" applyFont="1" applyFill="1" applyAlignment="1" applyProtection="1">
      <alignment vertical="top"/>
      <protection hidden="1"/>
    </xf>
    <xf numFmtId="0" fontId="192" fillId="54" borderId="0" xfId="0" applyFont="1" applyFill="1" applyAlignment="1" applyProtection="1">
      <alignment horizontal="right" vertical="center"/>
      <protection hidden="1"/>
    </xf>
    <xf numFmtId="0" fontId="251" fillId="54" borderId="0" xfId="0" applyFont="1" applyFill="1" applyAlignment="1" applyProtection="1">
      <alignment horizontal="right"/>
      <protection hidden="1"/>
    </xf>
    <xf numFmtId="0" fontId="140" fillId="56" borderId="22" xfId="0" applyFont="1" applyFill="1" applyBorder="1" applyAlignment="1" applyProtection="1">
      <alignment horizontal="right" vertical="center"/>
      <protection hidden="1"/>
    </xf>
    <xf numFmtId="0" fontId="140" fillId="56" borderId="348" xfId="0" applyFont="1" applyFill="1" applyBorder="1" applyAlignment="1" applyProtection="1">
      <alignment horizontal="right" vertical="center"/>
      <protection hidden="1"/>
    </xf>
    <xf numFmtId="0" fontId="140" fillId="55" borderId="348" xfId="0" applyFont="1" applyFill="1" applyBorder="1" applyAlignment="1" applyProtection="1">
      <alignment horizontal="right" vertical="center"/>
      <protection hidden="1"/>
    </xf>
    <xf numFmtId="0" fontId="140" fillId="55" borderId="22" xfId="0" applyFont="1" applyFill="1" applyBorder="1" applyAlignment="1" applyProtection="1">
      <alignment horizontal="right" vertical="center"/>
      <protection hidden="1"/>
    </xf>
    <xf numFmtId="170" fontId="0" fillId="0" borderId="8" xfId="0" applyNumberFormat="1" applyBorder="1" applyAlignment="1">
      <alignment horizontal="center" vertical="center"/>
    </xf>
    <xf numFmtId="0" fontId="33" fillId="4" borderId="0" xfId="0" applyFont="1" applyFill="1" applyProtection="1">
      <protection hidden="1"/>
    </xf>
    <xf numFmtId="0" fontId="97" fillId="0" borderId="48" xfId="0" applyFont="1" applyBorder="1" applyAlignment="1" applyProtection="1">
      <alignment horizontal="right" vertical="center" indent="1"/>
      <protection hidden="1"/>
    </xf>
    <xf numFmtId="167" fontId="98" fillId="4" borderId="0" xfId="0" applyNumberFormat="1" applyFont="1" applyFill="1" applyAlignment="1" applyProtection="1">
      <alignment vertical="center" wrapText="1"/>
      <protection hidden="1"/>
    </xf>
    <xf numFmtId="0" fontId="61" fillId="0" borderId="8" xfId="0" applyFont="1" applyBorder="1" applyProtection="1">
      <protection hidden="1"/>
    </xf>
    <xf numFmtId="0" fontId="61" fillId="0" borderId="0" xfId="0" applyFont="1" applyAlignment="1" applyProtection="1">
      <alignment horizontal="right" indent="1"/>
      <protection hidden="1"/>
    </xf>
    <xf numFmtId="6" fontId="8" fillId="0" borderId="0" xfId="0" applyNumberFormat="1" applyFont="1" applyProtection="1">
      <protection hidden="1"/>
    </xf>
    <xf numFmtId="0" fontId="61" fillId="4" borderId="0" xfId="0" applyFont="1" applyFill="1" applyProtection="1">
      <protection hidden="1"/>
    </xf>
    <xf numFmtId="164" fontId="12" fillId="0" borderId="2" xfId="0" applyNumberFormat="1" applyFont="1" applyBorder="1" applyProtection="1">
      <protection hidden="1"/>
    </xf>
    <xf numFmtId="0" fontId="0" fillId="0" borderId="0" xfId="0" applyAlignment="1" applyProtection="1">
      <alignment horizontal="right" vertical="center"/>
      <protection hidden="1"/>
    </xf>
    <xf numFmtId="0" fontId="0" fillId="0" borderId="3" xfId="0" applyBorder="1" applyAlignment="1" applyProtection="1">
      <alignment horizontal="right" vertical="center" indent="1"/>
      <protection hidden="1"/>
    </xf>
    <xf numFmtId="0" fontId="0" fillId="0" borderId="2" xfId="0" applyBorder="1" applyAlignment="1" applyProtection="1">
      <alignment horizontal="right" vertical="center" indent="1"/>
      <protection hidden="1"/>
    </xf>
    <xf numFmtId="0" fontId="12" fillId="0" borderId="2" xfId="0" applyFont="1" applyBorder="1" applyAlignment="1" applyProtection="1">
      <alignment horizontal="right" vertical="center" indent="1"/>
      <protection hidden="1"/>
    </xf>
    <xf numFmtId="0" fontId="0" fillId="0" borderId="7" xfId="0" applyBorder="1" applyAlignment="1" applyProtection="1">
      <alignment horizontal="right" vertical="center" indent="1"/>
      <protection hidden="1"/>
    </xf>
    <xf numFmtId="0" fontId="0" fillId="0" borderId="0" xfId="0" applyAlignment="1" applyProtection="1">
      <alignment horizontal="right" vertical="center" indent="1"/>
      <protection hidden="1"/>
    </xf>
    <xf numFmtId="0" fontId="12" fillId="0" borderId="0" xfId="0" applyFont="1" applyAlignment="1" applyProtection="1">
      <alignment horizontal="right" vertical="center" indent="1"/>
      <protection hidden="1"/>
    </xf>
    <xf numFmtId="0" fontId="0" fillId="0" borderId="4" xfId="0" applyBorder="1" applyAlignment="1" applyProtection="1">
      <alignment horizontal="right" vertical="center" indent="1"/>
      <protection hidden="1"/>
    </xf>
    <xf numFmtId="0" fontId="0" fillId="0" borderId="8" xfId="0" applyBorder="1" applyAlignment="1" applyProtection="1">
      <alignment horizontal="right" vertical="center" indent="1"/>
      <protection hidden="1"/>
    </xf>
    <xf numFmtId="164" fontId="4" fillId="0" borderId="63" xfId="0" applyNumberFormat="1" applyFont="1" applyBorder="1" applyAlignment="1" applyProtection="1">
      <alignment horizontal="right" vertical="center"/>
      <protection hidden="1"/>
    </xf>
    <xf numFmtId="164" fontId="4" fillId="0" borderId="79" xfId="0" applyNumberFormat="1" applyFont="1" applyBorder="1" applyAlignment="1" applyProtection="1">
      <alignment horizontal="right" vertical="center"/>
      <protection hidden="1"/>
    </xf>
    <xf numFmtId="164" fontId="15" fillId="0" borderId="79" xfId="0" applyNumberFormat="1" applyFont="1" applyBorder="1" applyAlignment="1" applyProtection="1">
      <alignment horizontal="right" vertical="center"/>
      <protection hidden="1"/>
    </xf>
    <xf numFmtId="164" fontId="44" fillId="0" borderId="54" xfId="0" applyNumberFormat="1" applyFont="1" applyBorder="1" applyAlignment="1" applyProtection="1">
      <alignment horizontal="right" vertical="center"/>
      <protection hidden="1"/>
    </xf>
    <xf numFmtId="1" fontId="44" fillId="0" borderId="6" xfId="0" applyNumberFormat="1" applyFont="1" applyBorder="1" applyAlignment="1" applyProtection="1">
      <alignment horizontal="right" vertical="center" indent="1"/>
      <protection hidden="1"/>
    </xf>
    <xf numFmtId="1" fontId="44" fillId="0" borderId="63" xfId="0" applyNumberFormat="1" applyFont="1" applyBorder="1" applyAlignment="1" applyProtection="1">
      <alignment horizontal="right" vertical="center" indent="1"/>
      <protection hidden="1"/>
    </xf>
    <xf numFmtId="1" fontId="44" fillId="0" borderId="79" xfId="0" applyNumberFormat="1" applyFont="1" applyBorder="1" applyAlignment="1" applyProtection="1">
      <alignment horizontal="right" vertical="center" indent="1"/>
      <protection hidden="1"/>
    </xf>
    <xf numFmtId="0" fontId="76" fillId="0" borderId="58" xfId="0" applyFont="1" applyBorder="1" applyAlignment="1" applyProtection="1">
      <alignment horizontal="right" vertical="center"/>
      <protection hidden="1"/>
    </xf>
    <xf numFmtId="0" fontId="76" fillId="0" borderId="48" xfId="0" applyFont="1" applyBorder="1" applyAlignment="1" applyProtection="1">
      <alignment horizontal="right" vertical="center"/>
      <protection hidden="1"/>
    </xf>
    <xf numFmtId="0" fontId="76" fillId="0" borderId="1" xfId="0" applyFont="1" applyBorder="1" applyAlignment="1" applyProtection="1">
      <alignment horizontal="right" vertical="center"/>
      <protection hidden="1"/>
    </xf>
    <xf numFmtId="0" fontId="76" fillId="0" borderId="0" xfId="0" applyFont="1" applyAlignment="1" applyProtection="1">
      <alignment horizontal="right" vertical="center"/>
      <protection hidden="1"/>
    </xf>
    <xf numFmtId="0" fontId="76" fillId="0" borderId="8" xfId="0" applyFont="1" applyBorder="1" applyAlignment="1" applyProtection="1">
      <alignment horizontal="right"/>
      <protection hidden="1"/>
    </xf>
    <xf numFmtId="0" fontId="76" fillId="0" borderId="2" xfId="0" applyFont="1" applyBorder="1" applyAlignment="1" applyProtection="1">
      <alignment horizontal="right" vertical="center"/>
      <protection hidden="1"/>
    </xf>
    <xf numFmtId="0" fontId="76" fillId="0" borderId="8" xfId="0" applyFont="1" applyBorder="1" applyAlignment="1" applyProtection="1">
      <alignment horizontal="right" vertical="center"/>
      <protection hidden="1"/>
    </xf>
    <xf numFmtId="0" fontId="76" fillId="0" borderId="3" xfId="0" applyFont="1" applyBorder="1" applyAlignment="1" applyProtection="1">
      <alignment horizontal="right" vertical="center"/>
      <protection hidden="1"/>
    </xf>
    <xf numFmtId="0" fontId="119" fillId="0" borderId="6" xfId="0" applyFont="1" applyBorder="1" applyAlignment="1" applyProtection="1">
      <alignment horizontal="right" vertical="center"/>
      <protection hidden="1"/>
    </xf>
    <xf numFmtId="1" fontId="217" fillId="4" borderId="304" xfId="0" applyNumberFormat="1" applyFont="1" applyFill="1" applyBorder="1" applyAlignment="1" applyProtection="1">
      <alignment horizontal="right" vertical="center" wrapText="1"/>
      <protection hidden="1"/>
    </xf>
    <xf numFmtId="1" fontId="217" fillId="4" borderId="301" xfId="0" applyNumberFormat="1" applyFont="1" applyFill="1" applyBorder="1" applyAlignment="1" applyProtection="1">
      <alignment horizontal="right" vertical="center" wrapText="1"/>
      <protection hidden="1"/>
    </xf>
    <xf numFmtId="0" fontId="5" fillId="0" borderId="8" xfId="0" applyFont="1" applyBorder="1" applyAlignment="1">
      <alignment horizontal="right"/>
    </xf>
    <xf numFmtId="0" fontId="224" fillId="0" borderId="8" xfId="0" applyFont="1" applyBorder="1" applyAlignment="1" applyProtection="1">
      <alignment horizontal="right" vertical="center"/>
      <protection hidden="1"/>
    </xf>
    <xf numFmtId="0" fontId="0" fillId="0" borderId="8" xfId="0" applyBorder="1" applyAlignment="1">
      <alignment horizontal="center"/>
    </xf>
    <xf numFmtId="164" fontId="4" fillId="0" borderId="4" xfId="0" applyNumberFormat="1" applyFont="1" applyBorder="1"/>
    <xf numFmtId="164" fontId="4" fillId="0" borderId="5" xfId="0" applyNumberFormat="1" applyFont="1" applyBorder="1"/>
    <xf numFmtId="164" fontId="4" fillId="0" borderId="0" xfId="0" applyNumberFormat="1" applyFont="1" applyAlignment="1">
      <alignment vertical="center"/>
    </xf>
    <xf numFmtId="0" fontId="0" fillId="0" borderId="8" xfId="0" applyBorder="1" applyAlignment="1">
      <alignment vertical="center"/>
    </xf>
    <xf numFmtId="164" fontId="4" fillId="0" borderId="8" xfId="0" applyNumberFormat="1" applyFont="1" applyBorder="1" applyAlignment="1">
      <alignment vertical="center"/>
    </xf>
    <xf numFmtId="0" fontId="4" fillId="0" borderId="0" xfId="0" applyFont="1" applyAlignment="1">
      <alignment horizontal="center"/>
    </xf>
    <xf numFmtId="164" fontId="76" fillId="0" borderId="0" xfId="0" applyNumberFormat="1" applyFont="1" applyAlignment="1">
      <alignment horizontal="center"/>
    </xf>
    <xf numFmtId="0" fontId="76" fillId="0" borderId="0" xfId="0" applyFont="1" applyAlignment="1">
      <alignment horizontal="center"/>
    </xf>
    <xf numFmtId="0" fontId="0" fillId="0" borderId="8" xfId="0" applyBorder="1" applyAlignment="1">
      <alignment horizontal="right" vertical="center" indent="1"/>
    </xf>
    <xf numFmtId="0" fontId="44" fillId="0" borderId="8" xfId="0" applyFont="1" applyBorder="1"/>
    <xf numFmtId="0" fontId="224" fillId="0" borderId="8" xfId="0" applyFont="1" applyBorder="1" applyProtection="1">
      <protection hidden="1"/>
    </xf>
    <xf numFmtId="0" fontId="44" fillId="0" borderId="8" xfId="0" applyFont="1" applyBorder="1" applyProtection="1">
      <protection hidden="1"/>
    </xf>
    <xf numFmtId="0" fontId="44" fillId="0" borderId="0" xfId="0" applyFont="1"/>
    <xf numFmtId="0" fontId="6" fillId="0" borderId="0" xfId="0" applyFont="1"/>
    <xf numFmtId="0" fontId="0" fillId="0" borderId="2" xfId="0" applyBorder="1" applyAlignment="1" applyProtection="1">
      <alignment horizontal="center" vertical="center"/>
      <protection hidden="1"/>
    </xf>
    <xf numFmtId="0" fontId="61" fillId="0" borderId="2" xfId="0" applyFont="1" applyBorder="1" applyProtection="1">
      <protection hidden="1"/>
    </xf>
    <xf numFmtId="0" fontId="224" fillId="0" borderId="2" xfId="0" applyFont="1" applyBorder="1" applyAlignment="1" applyProtection="1">
      <alignment horizontal="right" vertical="center"/>
      <protection hidden="1"/>
    </xf>
    <xf numFmtId="0" fontId="6" fillId="0" borderId="0" xfId="0" applyFont="1" applyAlignment="1" applyProtection="1">
      <alignment horizontal="right" indent="1"/>
      <protection hidden="1"/>
    </xf>
    <xf numFmtId="165" fontId="6" fillId="0" borderId="0" xfId="0" applyNumberFormat="1" applyFont="1" applyProtection="1">
      <protection hidden="1"/>
    </xf>
    <xf numFmtId="165" fontId="6" fillId="0" borderId="6" xfId="0" applyNumberFormat="1" applyFont="1" applyBorder="1" applyProtection="1">
      <protection hidden="1"/>
    </xf>
    <xf numFmtId="165" fontId="6" fillId="0" borderId="79" xfId="0" applyNumberFormat="1" applyFont="1" applyBorder="1" applyProtection="1">
      <protection hidden="1"/>
    </xf>
    <xf numFmtId="0" fontId="76" fillId="0" borderId="8" xfId="0" applyFont="1" applyBorder="1" applyAlignment="1">
      <alignment horizontal="right"/>
    </xf>
    <xf numFmtId="0" fontId="76" fillId="0" borderId="8" xfId="0" applyFont="1" applyBorder="1" applyAlignment="1">
      <alignment horizontal="right" vertical="center"/>
    </xf>
    <xf numFmtId="0" fontId="8" fillId="0" borderId="0" xfId="0" applyFont="1"/>
    <xf numFmtId="0" fontId="8" fillId="0" borderId="0" xfId="0" applyFont="1" applyAlignment="1">
      <alignment vertical="top"/>
    </xf>
    <xf numFmtId="0" fontId="4" fillId="0" borderId="6" xfId="0" applyFont="1" applyBorder="1"/>
    <xf numFmtId="0" fontId="4" fillId="0" borderId="79" xfId="0" applyFont="1" applyBorder="1"/>
    <xf numFmtId="0" fontId="83" fillId="4" borderId="0" xfId="0" applyFont="1" applyFill="1"/>
    <xf numFmtId="0" fontId="182" fillId="4" borderId="0" xfId="0" applyFont="1" applyFill="1" applyAlignment="1">
      <alignment horizontal="left" indent="10"/>
    </xf>
    <xf numFmtId="167" fontId="254" fillId="4" borderId="0" xfId="0" applyNumberFormat="1" applyFont="1" applyFill="1" applyAlignment="1">
      <alignment horizontal="right" vertical="top"/>
    </xf>
    <xf numFmtId="0" fontId="83" fillId="4" borderId="0" xfId="0" applyFont="1" applyFill="1" applyAlignment="1" applyProtection="1">
      <alignment horizontal="left" indent="1"/>
      <protection hidden="1"/>
    </xf>
    <xf numFmtId="6" fontId="24" fillId="4" borderId="0" xfId="0" applyNumberFormat="1" applyFont="1" applyFill="1" applyProtection="1">
      <protection hidden="1"/>
    </xf>
    <xf numFmtId="6" fontId="4" fillId="4" borderId="0" xfId="0" applyNumberFormat="1" applyFont="1" applyFill="1"/>
    <xf numFmtId="0" fontId="61" fillId="4" borderId="0" xfId="0" applyFont="1" applyFill="1" applyAlignment="1" applyProtection="1">
      <alignment horizontal="right" indent="1"/>
      <protection hidden="1"/>
    </xf>
    <xf numFmtId="6" fontId="8" fillId="4" borderId="0" xfId="0" applyNumberFormat="1" applyFont="1" applyFill="1" applyProtection="1">
      <protection hidden="1"/>
    </xf>
    <xf numFmtId="0" fontId="253" fillId="4" borderId="0" xfId="0" applyFont="1" applyFill="1" applyAlignment="1" applyProtection="1">
      <alignment horizontal="left" vertical="center" indent="1"/>
      <protection hidden="1"/>
    </xf>
    <xf numFmtId="0" fontId="83" fillId="4" borderId="0" xfId="0" applyFont="1" applyFill="1" applyAlignment="1" applyProtection="1">
      <alignment horizontal="right" indent="1"/>
      <protection hidden="1"/>
    </xf>
    <xf numFmtId="165" fontId="83" fillId="4" borderId="0" xfId="0" applyNumberFormat="1" applyFont="1" applyFill="1" applyAlignment="1" applyProtection="1">
      <alignment horizontal="left" indent="1"/>
      <protection hidden="1"/>
    </xf>
    <xf numFmtId="0" fontId="182" fillId="4" borderId="0" xfId="0" applyFont="1" applyFill="1" applyAlignment="1">
      <alignment horizontal="left" indent="9"/>
    </xf>
    <xf numFmtId="167" fontId="255" fillId="4" borderId="0" xfId="0" applyNumberFormat="1" applyFont="1" applyFill="1" applyAlignment="1">
      <alignment horizontal="right" vertical="top"/>
    </xf>
    <xf numFmtId="0" fontId="88" fillId="27" borderId="27" xfId="0" applyFont="1" applyFill="1" applyBorder="1" applyAlignment="1" applyProtection="1">
      <alignment horizontal="left" indent="1"/>
      <protection hidden="1"/>
    </xf>
    <xf numFmtId="0" fontId="75" fillId="27" borderId="27" xfId="0" applyFont="1" applyFill="1" applyBorder="1" applyProtection="1">
      <protection hidden="1"/>
    </xf>
    <xf numFmtId="0" fontId="30" fillId="4" borderId="0" xfId="0" applyFont="1" applyFill="1" applyAlignment="1" applyProtection="1">
      <alignment horizontal="left" vertical="top"/>
      <protection hidden="1"/>
    </xf>
    <xf numFmtId="0" fontId="12" fillId="4" borderId="25" xfId="0" applyFont="1" applyFill="1" applyBorder="1" applyAlignment="1" applyProtection="1">
      <alignment vertical="center"/>
      <protection hidden="1"/>
    </xf>
    <xf numFmtId="0" fontId="12" fillId="4" borderId="20" xfId="0" applyFont="1" applyFill="1" applyBorder="1" applyAlignment="1" applyProtection="1">
      <alignment vertical="center"/>
      <protection hidden="1"/>
    </xf>
    <xf numFmtId="0" fontId="12" fillId="4" borderId="353" xfId="0" applyFont="1" applyFill="1" applyBorder="1" applyProtection="1">
      <protection hidden="1"/>
    </xf>
    <xf numFmtId="0" fontId="12" fillId="4" borderId="354" xfId="0" applyFont="1" applyFill="1" applyBorder="1" applyProtection="1">
      <protection hidden="1"/>
    </xf>
    <xf numFmtId="0" fontId="83" fillId="4" borderId="355" xfId="0" applyFont="1" applyFill="1" applyBorder="1" applyAlignment="1">
      <alignment horizontal="left" vertical="top" wrapText="1" indent="1"/>
    </xf>
    <xf numFmtId="0" fontId="0" fillId="4" borderId="0" xfId="0" applyFill="1" applyAlignment="1">
      <alignment horizontal="left" indent="1"/>
    </xf>
    <xf numFmtId="165" fontId="0" fillId="4" borderId="0" xfId="0" applyNumberFormat="1" applyFill="1"/>
    <xf numFmtId="165" fontId="87" fillId="4" borderId="141" xfId="0" applyNumberFormat="1" applyFont="1" applyFill="1" applyBorder="1" applyAlignment="1">
      <alignment horizontal="left" vertical="top" indent="2"/>
    </xf>
    <xf numFmtId="165" fontId="87" fillId="4" borderId="140" xfId="0" applyNumberFormat="1" applyFont="1" applyFill="1" applyBorder="1" applyAlignment="1">
      <alignment horizontal="left" vertical="top" indent="1"/>
    </xf>
    <xf numFmtId="0" fontId="87" fillId="4" borderId="0" xfId="0" applyFont="1" applyFill="1" applyAlignment="1">
      <alignment horizontal="left"/>
    </xf>
    <xf numFmtId="164" fontId="87" fillId="4" borderId="0" xfId="0" applyNumberFormat="1" applyFont="1" applyFill="1" applyAlignment="1">
      <alignment horizontal="left"/>
    </xf>
    <xf numFmtId="0" fontId="5" fillId="4" borderId="0" xfId="0" applyFont="1" applyFill="1"/>
    <xf numFmtId="0" fontId="3" fillId="52" borderId="49" xfId="0" applyFont="1" applyFill="1" applyBorder="1" applyAlignment="1" applyProtection="1">
      <alignment vertical="center" wrapText="1"/>
      <protection hidden="1"/>
    </xf>
    <xf numFmtId="0" fontId="38" fillId="52" borderId="50" xfId="0" applyFont="1" applyFill="1" applyBorder="1" applyAlignment="1" applyProtection="1">
      <alignment horizontal="left" vertical="top" wrapText="1"/>
      <protection hidden="1"/>
    </xf>
    <xf numFmtId="0" fontId="3" fillId="52" borderId="50" xfId="0" applyFont="1" applyFill="1" applyBorder="1" applyAlignment="1" applyProtection="1">
      <alignment vertical="center" wrapText="1"/>
      <protection hidden="1"/>
    </xf>
    <xf numFmtId="0" fontId="3" fillId="52" borderId="51" xfId="0" applyFont="1" applyFill="1" applyBorder="1" applyAlignment="1" applyProtection="1">
      <alignment vertical="center" wrapText="1"/>
      <protection hidden="1"/>
    </xf>
    <xf numFmtId="0" fontId="176" fillId="52" borderId="52" xfId="0" applyFont="1" applyFill="1" applyBorder="1" applyAlignment="1" applyProtection="1">
      <alignment horizontal="left" vertical="center" indent="2"/>
      <protection hidden="1"/>
    </xf>
    <xf numFmtId="0" fontId="38" fillId="52" borderId="0" xfId="0" applyFont="1" applyFill="1" applyAlignment="1" applyProtection="1">
      <alignment horizontal="left" vertical="top" wrapText="1"/>
      <protection hidden="1"/>
    </xf>
    <xf numFmtId="0" fontId="3" fillId="52" borderId="0" xfId="0" applyFont="1" applyFill="1" applyAlignment="1" applyProtection="1">
      <alignment vertical="center" wrapText="1"/>
      <protection hidden="1"/>
    </xf>
    <xf numFmtId="0" fontId="3" fillId="52" borderId="53" xfId="0" applyFont="1" applyFill="1" applyBorder="1" applyAlignment="1" applyProtection="1">
      <alignment vertical="center" wrapText="1"/>
      <protection hidden="1"/>
    </xf>
    <xf numFmtId="0" fontId="35" fillId="52" borderId="52" xfId="0" applyFont="1" applyFill="1" applyBorder="1" applyAlignment="1" applyProtection="1">
      <alignment horizontal="left" vertical="center" indent="1"/>
      <protection hidden="1"/>
    </xf>
    <xf numFmtId="0" fontId="0" fillId="52" borderId="0" xfId="0" applyFill="1" applyAlignment="1" applyProtection="1">
      <alignment horizontal="right" vertical="top" indent="1"/>
      <protection hidden="1"/>
    </xf>
    <xf numFmtId="0" fontId="77" fillId="52" borderId="0" xfId="0" applyFont="1" applyFill="1" applyAlignment="1" applyProtection="1">
      <alignment horizontal="left"/>
      <protection hidden="1"/>
    </xf>
    <xf numFmtId="0" fontId="177" fillId="52" borderId="0" xfId="0" applyFont="1" applyFill="1" applyAlignment="1" applyProtection="1">
      <alignment horizontal="left" vertical="top"/>
      <protection hidden="1"/>
    </xf>
    <xf numFmtId="0" fontId="129" fillId="52" borderId="0" xfId="0" applyFont="1" applyFill="1" applyAlignment="1" applyProtection="1">
      <alignment horizontal="left" vertical="top"/>
      <protection hidden="1"/>
    </xf>
    <xf numFmtId="0" fontId="121" fillId="52" borderId="0" xfId="0" applyFont="1" applyFill="1" applyAlignment="1" applyProtection="1">
      <alignment horizontal="center" vertical="top"/>
      <protection hidden="1"/>
    </xf>
    <xf numFmtId="0" fontId="5" fillId="52" borderId="0" xfId="0" applyFont="1" applyFill="1" applyAlignment="1" applyProtection="1">
      <alignment horizontal="center" vertical="top"/>
      <protection hidden="1"/>
    </xf>
    <xf numFmtId="0" fontId="3" fillId="52" borderId="52" xfId="0" applyFont="1" applyFill="1" applyBorder="1" applyAlignment="1" applyProtection="1">
      <alignment vertical="center" wrapText="1"/>
      <protection hidden="1"/>
    </xf>
    <xf numFmtId="0" fontId="3" fillId="52" borderId="55" xfId="0" applyFont="1" applyFill="1" applyBorder="1" applyAlignment="1" applyProtection="1">
      <alignment vertical="center" wrapText="1"/>
      <protection hidden="1"/>
    </xf>
    <xf numFmtId="0" fontId="38" fillId="52" borderId="56" xfId="0" applyFont="1" applyFill="1" applyBorder="1" applyAlignment="1" applyProtection="1">
      <alignment horizontal="left" vertical="top" wrapText="1" indent="5"/>
      <protection hidden="1"/>
    </xf>
    <xf numFmtId="0" fontId="9" fillId="52" borderId="56" xfId="0" applyFont="1" applyFill="1" applyBorder="1" applyAlignment="1" applyProtection="1">
      <alignment vertical="top" wrapText="1"/>
      <protection hidden="1"/>
    </xf>
    <xf numFmtId="0" fontId="0" fillId="52" borderId="56" xfId="0" applyFill="1" applyBorder="1" applyProtection="1">
      <protection hidden="1"/>
    </xf>
    <xf numFmtId="0" fontId="38" fillId="52" borderId="56" xfId="0" applyFont="1" applyFill="1" applyBorder="1" applyAlignment="1" applyProtection="1">
      <alignment horizontal="left" vertical="top" wrapText="1"/>
      <protection hidden="1"/>
    </xf>
    <xf numFmtId="0" fontId="3" fillId="52" borderId="56" xfId="0" applyFont="1" applyFill="1" applyBorder="1" applyAlignment="1" applyProtection="1">
      <alignment vertical="center" wrapText="1"/>
      <protection hidden="1"/>
    </xf>
    <xf numFmtId="0" fontId="3" fillId="52" borderId="57" xfId="0" applyFont="1" applyFill="1" applyBorder="1" applyAlignment="1" applyProtection="1">
      <alignment vertical="center" wrapText="1"/>
      <protection hidden="1"/>
    </xf>
    <xf numFmtId="0" fontId="74" fillId="49" borderId="0" xfId="0" applyFont="1" applyFill="1" applyAlignment="1" applyProtection="1">
      <alignment horizontal="left" vertical="center" indent="1"/>
      <protection hidden="1"/>
    </xf>
    <xf numFmtId="0" fontId="7" fillId="49" borderId="0" xfId="0" applyFont="1" applyFill="1" applyAlignment="1" applyProtection="1">
      <alignment vertical="center"/>
      <protection hidden="1"/>
    </xf>
    <xf numFmtId="0" fontId="1" fillId="49" borderId="0" xfId="0" applyFont="1" applyFill="1" applyProtection="1">
      <protection hidden="1"/>
    </xf>
    <xf numFmtId="0" fontId="2" fillId="50" borderId="0" xfId="0" applyFont="1" applyFill="1" applyAlignment="1" applyProtection="1">
      <alignment horizontal="left" vertical="center"/>
      <protection hidden="1"/>
    </xf>
    <xf numFmtId="0" fontId="35" fillId="52" borderId="49" xfId="0" applyFont="1" applyFill="1" applyBorder="1" applyAlignment="1" applyProtection="1">
      <alignment horizontal="left" vertical="center"/>
      <protection hidden="1"/>
    </xf>
    <xf numFmtId="0" fontId="36" fillId="52" borderId="50" xfId="0" applyFont="1" applyFill="1" applyBorder="1" applyAlignment="1" applyProtection="1">
      <alignment horizontal="left"/>
      <protection hidden="1"/>
    </xf>
    <xf numFmtId="0" fontId="35" fillId="52" borderId="50" xfId="0" applyFont="1" applyFill="1" applyBorder="1" applyAlignment="1" applyProtection="1">
      <alignment horizontal="left" vertical="center"/>
      <protection hidden="1"/>
    </xf>
    <xf numFmtId="0" fontId="35" fillId="52" borderId="50" xfId="0" applyFont="1" applyFill="1" applyBorder="1" applyAlignment="1" applyProtection="1">
      <alignment vertical="center"/>
      <protection hidden="1"/>
    </xf>
    <xf numFmtId="0" fontId="35" fillId="52" borderId="51" xfId="0" applyFont="1" applyFill="1" applyBorder="1" applyAlignment="1" applyProtection="1">
      <alignment vertical="center"/>
      <protection hidden="1"/>
    </xf>
    <xf numFmtId="0" fontId="35" fillId="52" borderId="52" xfId="0" applyFont="1" applyFill="1" applyBorder="1" applyAlignment="1" applyProtection="1">
      <alignment horizontal="left" vertical="center"/>
      <protection hidden="1"/>
    </xf>
    <xf numFmtId="0" fontId="36" fillId="52" borderId="0" xfId="0" applyFont="1" applyFill="1" applyAlignment="1" applyProtection="1">
      <alignment horizontal="left" vertical="center"/>
      <protection hidden="1"/>
    </xf>
    <xf numFmtId="0" fontId="35" fillId="52" borderId="0" xfId="0" applyFont="1" applyFill="1" applyAlignment="1" applyProtection="1">
      <alignment horizontal="left" vertical="center"/>
      <protection hidden="1"/>
    </xf>
    <xf numFmtId="0" fontId="35" fillId="52" borderId="0" xfId="0" applyFont="1" applyFill="1" applyAlignment="1" applyProtection="1">
      <alignment vertical="center"/>
      <protection hidden="1"/>
    </xf>
    <xf numFmtId="0" fontId="35" fillId="52" borderId="53" xfId="0" applyFont="1" applyFill="1" applyBorder="1" applyAlignment="1" applyProtection="1">
      <alignment vertical="center"/>
      <protection hidden="1"/>
    </xf>
    <xf numFmtId="0" fontId="44" fillId="52" borderId="0" xfId="0" applyFont="1" applyFill="1" applyAlignment="1" applyProtection="1">
      <alignment vertical="center"/>
      <protection hidden="1"/>
    </xf>
    <xf numFmtId="0" fontId="3" fillId="52" borderId="0" xfId="0" applyFont="1" applyFill="1" applyAlignment="1" applyProtection="1">
      <alignment vertical="center"/>
      <protection hidden="1"/>
    </xf>
    <xf numFmtId="0" fontId="38" fillId="52" borderId="0" xfId="0" applyFont="1" applyFill="1" applyAlignment="1" applyProtection="1">
      <alignment horizontal="left" vertical="center" indent="6"/>
      <protection hidden="1"/>
    </xf>
    <xf numFmtId="0" fontId="38" fillId="52" borderId="0" xfId="0" applyFont="1" applyFill="1" applyAlignment="1" applyProtection="1">
      <alignment horizontal="left" vertical="center" indent="8"/>
      <protection hidden="1"/>
    </xf>
    <xf numFmtId="0" fontId="38" fillId="52" borderId="0" xfId="0" applyFont="1" applyFill="1" applyAlignment="1" applyProtection="1">
      <alignment vertical="center"/>
      <protection hidden="1"/>
    </xf>
    <xf numFmtId="0" fontId="114" fillId="52" borderId="52" xfId="0" applyFont="1" applyFill="1" applyBorder="1" applyAlignment="1" applyProtection="1">
      <alignment horizontal="center" vertical="top" wrapText="1"/>
      <protection hidden="1"/>
    </xf>
    <xf numFmtId="0" fontId="38" fillId="52" borderId="56" xfId="0" applyFont="1" applyFill="1" applyBorder="1" applyAlignment="1" applyProtection="1">
      <alignment vertical="center"/>
      <protection hidden="1"/>
    </xf>
    <xf numFmtId="0" fontId="3" fillId="52" borderId="56" xfId="0" applyFont="1" applyFill="1" applyBorder="1" applyAlignment="1" applyProtection="1">
      <alignment vertical="center"/>
      <protection hidden="1"/>
    </xf>
    <xf numFmtId="0" fontId="0" fillId="52" borderId="0" xfId="0" applyFill="1" applyAlignment="1" applyProtection="1">
      <alignment vertical="center"/>
      <protection hidden="1"/>
    </xf>
    <xf numFmtId="0" fontId="3" fillId="52" borderId="0" xfId="0" applyFont="1" applyFill="1" applyAlignment="1" applyProtection="1">
      <alignment horizontal="right" wrapText="1" indent="1"/>
      <protection hidden="1"/>
    </xf>
    <xf numFmtId="0" fontId="6" fillId="52" borderId="0" xfId="1" applyFont="1" applyFill="1" applyBorder="1" applyAlignment="1" applyProtection="1">
      <alignment horizontal="center" vertical="center"/>
      <protection hidden="1"/>
    </xf>
    <xf numFmtId="0" fontId="63" fillId="52" borderId="0" xfId="0" applyFont="1" applyFill="1" applyAlignment="1" applyProtection="1">
      <alignment horizontal="left" indent="1"/>
      <protection hidden="1"/>
    </xf>
    <xf numFmtId="0" fontId="44" fillId="52" borderId="0" xfId="0" applyFont="1" applyFill="1" applyAlignment="1" applyProtection="1">
      <alignment horizontal="left" vertical="center" indent="2"/>
      <protection hidden="1"/>
    </xf>
    <xf numFmtId="0" fontId="3" fillId="52" borderId="56" xfId="0" applyFont="1" applyFill="1" applyBorder="1" applyAlignment="1" applyProtection="1">
      <alignment horizontal="center" vertical="center" wrapText="1"/>
      <protection hidden="1"/>
    </xf>
    <xf numFmtId="0" fontId="3" fillId="52" borderId="52" xfId="0" applyFont="1" applyFill="1" applyBorder="1" applyAlignment="1" applyProtection="1">
      <alignment vertical="center" wrapText="1"/>
      <protection locked="0"/>
    </xf>
    <xf numFmtId="0" fontId="114" fillId="52" borderId="52" xfId="0" applyFont="1" applyFill="1" applyBorder="1" applyAlignment="1" applyProtection="1">
      <alignment horizontal="center" vertical="center" wrapText="1"/>
      <protection hidden="1"/>
    </xf>
    <xf numFmtId="0" fontId="38" fillId="52" borderId="0" xfId="0" applyFont="1" applyFill="1" applyAlignment="1" applyProtection="1">
      <alignment horizontal="left" indent="6"/>
      <protection hidden="1"/>
    </xf>
    <xf numFmtId="0" fontId="0" fillId="52" borderId="52" xfId="0" applyFill="1" applyBorder="1" applyAlignment="1" applyProtection="1">
      <alignment horizontal="left" indent="1"/>
      <protection hidden="1"/>
    </xf>
    <xf numFmtId="0" fontId="5" fillId="52" borderId="0" xfId="0" applyFont="1" applyFill="1" applyAlignment="1" applyProtection="1">
      <alignment horizontal="right" vertical="center" indent="1"/>
      <protection hidden="1"/>
    </xf>
    <xf numFmtId="0" fontId="0" fillId="52" borderId="0" xfId="0" applyFill="1" applyAlignment="1" applyProtection="1">
      <alignment horizontal="left" indent="1"/>
      <protection hidden="1"/>
    </xf>
    <xf numFmtId="0" fontId="0" fillId="52" borderId="53" xfId="0" applyFill="1" applyBorder="1" applyProtection="1">
      <protection hidden="1"/>
    </xf>
    <xf numFmtId="0" fontId="64" fillId="52" borderId="0" xfId="0" applyFont="1" applyFill="1" applyAlignment="1" applyProtection="1">
      <alignment vertical="center" wrapText="1"/>
      <protection hidden="1"/>
    </xf>
    <xf numFmtId="0" fontId="0" fillId="52" borderId="0" xfId="0" applyFill="1" applyAlignment="1" applyProtection="1">
      <alignment horizontal="left" vertical="center" indent="2"/>
      <protection hidden="1"/>
    </xf>
    <xf numFmtId="0" fontId="5" fillId="52" borderId="0" xfId="0" applyFont="1" applyFill="1" applyAlignment="1" applyProtection="1">
      <alignment horizontal="right" wrapText="1" indent="1"/>
      <protection hidden="1"/>
    </xf>
    <xf numFmtId="0" fontId="63" fillId="52" borderId="0" xfId="0" applyFont="1" applyFill="1" applyAlignment="1" applyProtection="1">
      <alignment horizontal="left" wrapText="1" indent="2"/>
      <protection hidden="1"/>
    </xf>
    <xf numFmtId="0" fontId="42" fillId="52" borderId="52" xfId="0" applyFont="1" applyFill="1" applyBorder="1" applyAlignment="1" applyProtection="1">
      <alignment horizontal="center" vertical="center"/>
      <protection hidden="1"/>
    </xf>
    <xf numFmtId="0" fontId="200" fillId="52" borderId="0" xfId="0" applyFont="1" applyFill="1" applyAlignment="1" applyProtection="1">
      <alignment vertical="center" wrapText="1"/>
      <protection hidden="1"/>
    </xf>
    <xf numFmtId="0" fontId="1" fillId="52" borderId="0" xfId="0" applyFont="1" applyFill="1" applyAlignment="1" applyProtection="1">
      <alignment horizontal="right" vertical="center" wrapText="1"/>
      <protection hidden="1"/>
    </xf>
    <xf numFmtId="0" fontId="35" fillId="52" borderId="53" xfId="0" applyFont="1" applyFill="1" applyBorder="1" applyAlignment="1" applyProtection="1">
      <alignment horizontal="left" vertical="center" wrapText="1"/>
      <protection hidden="1"/>
    </xf>
    <xf numFmtId="0" fontId="35" fillId="52" borderId="52" xfId="0" applyFont="1" applyFill="1" applyBorder="1" applyAlignment="1" applyProtection="1">
      <alignment horizontal="center" vertical="center"/>
      <protection hidden="1"/>
    </xf>
    <xf numFmtId="0" fontId="0" fillId="52" borderId="0" xfId="0" applyFill="1" applyAlignment="1" applyProtection="1">
      <alignment horizontal="left" vertical="top" indent="1"/>
      <protection hidden="1"/>
    </xf>
    <xf numFmtId="0" fontId="38" fillId="52" borderId="0" xfId="0" applyFont="1" applyFill="1" applyAlignment="1" applyProtection="1">
      <alignment horizontal="left" indent="4"/>
      <protection hidden="1"/>
    </xf>
    <xf numFmtId="0" fontId="3" fillId="52" borderId="0" xfId="0" applyFont="1" applyFill="1" applyAlignment="1" applyProtection="1">
      <alignment horizontal="center" vertical="center" wrapText="1"/>
      <protection hidden="1"/>
    </xf>
    <xf numFmtId="0" fontId="107" fillId="52" borderId="52" xfId="0" applyFont="1" applyFill="1" applyBorder="1" applyAlignment="1" applyProtection="1">
      <alignment horizontal="left" vertical="center" wrapText="1"/>
      <protection hidden="1"/>
    </xf>
    <xf numFmtId="0" fontId="3" fillId="52" borderId="2" xfId="0" applyFont="1" applyFill="1" applyBorder="1" applyAlignment="1" applyProtection="1">
      <alignment vertical="center" wrapText="1"/>
      <protection hidden="1"/>
    </xf>
    <xf numFmtId="0" fontId="45" fillId="52" borderId="0" xfId="0" applyFont="1" applyFill="1" applyProtection="1">
      <protection hidden="1"/>
    </xf>
    <xf numFmtId="0" fontId="0" fillId="52" borderId="0" xfId="0" applyFill="1" applyAlignment="1" applyProtection="1">
      <alignment horizontal="left" indent="4"/>
      <protection hidden="1"/>
    </xf>
    <xf numFmtId="0" fontId="0" fillId="52" borderId="0" xfId="0" applyFill="1" applyAlignment="1" applyProtection="1">
      <alignment vertical="top"/>
      <protection hidden="1"/>
    </xf>
    <xf numFmtId="0" fontId="38" fillId="52" borderId="0" xfId="0" applyFont="1" applyFill="1" applyAlignment="1" applyProtection="1">
      <alignment horizontal="left" vertical="top" indent="7"/>
      <protection hidden="1"/>
    </xf>
    <xf numFmtId="0" fontId="38" fillId="52" borderId="0" xfId="0" applyFont="1" applyFill="1" applyAlignment="1" applyProtection="1">
      <alignment horizontal="left" vertical="top" indent="6"/>
      <protection hidden="1"/>
    </xf>
    <xf numFmtId="0" fontId="0" fillId="52" borderId="0" xfId="0" applyFill="1" applyAlignment="1" applyProtection="1">
      <alignment horizontal="right" indent="1"/>
      <protection hidden="1"/>
    </xf>
    <xf numFmtId="0" fontId="95" fillId="52" borderId="0" xfId="0" applyFont="1" applyFill="1" applyAlignment="1" applyProtection="1">
      <alignment horizontal="center" vertical="center"/>
      <protection hidden="1"/>
    </xf>
    <xf numFmtId="0" fontId="92" fillId="52" borderId="0" xfId="0" applyFont="1" applyFill="1" applyAlignment="1" applyProtection="1">
      <alignment vertical="center"/>
      <protection hidden="1"/>
    </xf>
    <xf numFmtId="0" fontId="93" fillId="52" borderId="0" xfId="0" applyFont="1" applyFill="1" applyAlignment="1" applyProtection="1">
      <alignment vertical="center"/>
      <protection hidden="1"/>
    </xf>
    <xf numFmtId="0" fontId="44" fillId="52" borderId="0" xfId="0" applyFont="1" applyFill="1" applyAlignment="1" applyProtection="1">
      <alignment horizontal="left" vertical="center" indent="6"/>
      <protection hidden="1"/>
    </xf>
    <xf numFmtId="0" fontId="0" fillId="52" borderId="0" xfId="0" applyFill="1" applyAlignment="1" applyProtection="1">
      <alignment horizontal="left" vertical="center" indent="1"/>
      <protection hidden="1"/>
    </xf>
    <xf numFmtId="0" fontId="0" fillId="52" borderId="0" xfId="0" applyFill="1" applyAlignment="1" applyProtection="1">
      <alignment horizontal="left" vertical="center" wrapText="1" indent="1"/>
      <protection hidden="1"/>
    </xf>
    <xf numFmtId="0" fontId="38" fillId="52" borderId="0" xfId="0" applyFont="1" applyFill="1" applyAlignment="1" applyProtection="1">
      <alignment horizontal="left" vertical="top" indent="9"/>
      <protection hidden="1"/>
    </xf>
    <xf numFmtId="0" fontId="9" fillId="52" borderId="0" xfId="0" applyFont="1" applyFill="1" applyAlignment="1" applyProtection="1">
      <alignment horizontal="left" indent="6"/>
      <protection hidden="1"/>
    </xf>
    <xf numFmtId="0" fontId="0" fillId="52" borderId="57" xfId="0" applyFill="1" applyBorder="1" applyProtection="1">
      <protection hidden="1"/>
    </xf>
    <xf numFmtId="0" fontId="0" fillId="52" borderId="55" xfId="0" applyFill="1" applyBorder="1" applyProtection="1">
      <protection hidden="1"/>
    </xf>
    <xf numFmtId="0" fontId="67" fillId="52" borderId="53" xfId="0" applyFont="1" applyFill="1" applyBorder="1" applyAlignment="1" applyProtection="1">
      <alignment horizontal="left" vertical="center" wrapText="1"/>
      <protection hidden="1"/>
    </xf>
    <xf numFmtId="0" fontId="35" fillId="52" borderId="52" xfId="0" applyFont="1" applyFill="1" applyBorder="1" applyAlignment="1" applyProtection="1">
      <alignment horizontal="left" vertical="center" indent="2"/>
      <protection hidden="1"/>
    </xf>
    <xf numFmtId="0" fontId="35" fillId="52" borderId="0" xfId="0" applyFont="1" applyFill="1" applyAlignment="1" applyProtection="1">
      <alignment horizontal="left" vertical="center" indent="1"/>
      <protection hidden="1"/>
    </xf>
    <xf numFmtId="0" fontId="0" fillId="52" borderId="0" xfId="0" applyFill="1" applyAlignment="1" applyProtection="1">
      <alignment horizontal="left" vertical="center" indent="4"/>
      <protection hidden="1"/>
    </xf>
    <xf numFmtId="0" fontId="3" fillId="52" borderId="48" xfId="0" applyFont="1" applyFill="1" applyBorder="1" applyAlignment="1" applyProtection="1">
      <alignment vertical="center" wrapText="1"/>
      <protection hidden="1"/>
    </xf>
    <xf numFmtId="0" fontId="3" fillId="52" borderId="48" xfId="0" applyFont="1" applyFill="1" applyBorder="1" applyAlignment="1" applyProtection="1">
      <alignment horizontal="right" vertical="center" wrapText="1" indent="1"/>
      <protection hidden="1"/>
    </xf>
    <xf numFmtId="0" fontId="5" fillId="52" borderId="0" xfId="0" applyFont="1" applyFill="1" applyAlignment="1" applyProtection="1">
      <alignment vertical="center" wrapText="1"/>
      <protection hidden="1"/>
    </xf>
    <xf numFmtId="0" fontId="123" fillId="52" borderId="356" xfId="3" applyFill="1" applyBorder="1" applyAlignment="1" applyProtection="1">
      <alignment horizontal="right" vertical="center" wrapText="1" indent="1"/>
      <protection locked="0" hidden="1"/>
    </xf>
    <xf numFmtId="0" fontId="0" fillId="52" borderId="356" xfId="0" applyFill="1" applyBorder="1" applyAlignment="1" applyProtection="1">
      <alignment horizontal="left" vertical="center"/>
      <protection hidden="1"/>
    </xf>
    <xf numFmtId="0" fontId="122" fillId="52" borderId="356" xfId="0" applyFont="1" applyFill="1" applyBorder="1" applyAlignment="1" applyProtection="1">
      <alignment vertical="center" wrapText="1"/>
      <protection hidden="1"/>
    </xf>
    <xf numFmtId="0" fontId="0" fillId="52" borderId="356" xfId="0" applyFill="1" applyBorder="1" applyAlignment="1" applyProtection="1">
      <alignment vertical="center"/>
      <protection hidden="1"/>
    </xf>
    <xf numFmtId="0" fontId="9" fillId="52" borderId="356" xfId="0" applyFont="1" applyFill="1" applyBorder="1" applyAlignment="1" applyProtection="1">
      <alignment vertical="center" wrapText="1"/>
      <protection hidden="1"/>
    </xf>
    <xf numFmtId="0" fontId="119" fillId="52" borderId="356" xfId="0" applyFont="1" applyFill="1" applyBorder="1" applyAlignment="1" applyProtection="1">
      <alignment horizontal="left" vertical="center" wrapText="1"/>
      <protection hidden="1"/>
    </xf>
    <xf numFmtId="0" fontId="76" fillId="52" borderId="356" xfId="0" applyFont="1" applyFill="1" applyBorder="1" applyAlignment="1" applyProtection="1">
      <alignment vertical="center"/>
      <protection hidden="1"/>
    </xf>
    <xf numFmtId="0" fontId="122" fillId="52" borderId="356" xfId="0" applyFont="1" applyFill="1" applyBorder="1" applyAlignment="1" applyProtection="1">
      <alignment vertical="center"/>
      <protection hidden="1"/>
    </xf>
    <xf numFmtId="0" fontId="9" fillId="52" borderId="356" xfId="0" applyFont="1" applyFill="1" applyBorder="1" applyAlignment="1" applyProtection="1">
      <alignment horizontal="left" vertical="center"/>
      <protection hidden="1"/>
    </xf>
    <xf numFmtId="0" fontId="76" fillId="52" borderId="356" xfId="0" applyFont="1" applyFill="1" applyBorder="1" applyAlignment="1" applyProtection="1">
      <alignment horizontal="left" vertical="center"/>
      <protection hidden="1"/>
    </xf>
    <xf numFmtId="0" fontId="123" fillId="52" borderId="357" xfId="3" applyFill="1" applyBorder="1" applyAlignment="1" applyProtection="1">
      <alignment horizontal="right" vertical="center" wrapText="1" indent="1"/>
      <protection locked="0" hidden="1"/>
    </xf>
    <xf numFmtId="0" fontId="0" fillId="52" borderId="357" xfId="0" applyFill="1" applyBorder="1" applyAlignment="1" applyProtection="1">
      <alignment horizontal="left" vertical="center"/>
      <protection hidden="1"/>
    </xf>
    <xf numFmtId="0" fontId="122" fillId="52" borderId="357" xfId="0" applyFont="1" applyFill="1" applyBorder="1" applyAlignment="1" applyProtection="1">
      <alignment vertical="center" wrapText="1"/>
      <protection hidden="1"/>
    </xf>
    <xf numFmtId="0" fontId="77" fillId="52" borderId="357" xfId="0" applyFont="1" applyFill="1" applyBorder="1" applyAlignment="1" applyProtection="1">
      <alignment horizontal="left" vertical="center"/>
      <protection hidden="1"/>
    </xf>
    <xf numFmtId="0" fontId="76" fillId="52" borderId="357" xfId="0" applyFont="1" applyFill="1" applyBorder="1" applyAlignment="1" applyProtection="1">
      <alignment vertical="center"/>
      <protection hidden="1"/>
    </xf>
    <xf numFmtId="0" fontId="0" fillId="52" borderId="357" xfId="0" applyFill="1" applyBorder="1" applyAlignment="1" applyProtection="1">
      <alignment vertical="center"/>
      <protection hidden="1"/>
    </xf>
    <xf numFmtId="0" fontId="123" fillId="52" borderId="358" xfId="3" applyFill="1" applyBorder="1" applyAlignment="1" applyProtection="1">
      <alignment horizontal="right" vertical="center" wrapText="1" indent="1"/>
      <protection locked="0" hidden="1"/>
    </xf>
    <xf numFmtId="0" fontId="0" fillId="52" borderId="358" xfId="0" applyFill="1" applyBorder="1" applyAlignment="1" applyProtection="1">
      <alignment horizontal="left" vertical="center"/>
      <protection hidden="1"/>
    </xf>
    <xf numFmtId="0" fontId="122" fillId="52" borderId="358" xfId="0" applyFont="1" applyFill="1" applyBorder="1" applyAlignment="1" applyProtection="1">
      <alignment vertical="center" wrapText="1"/>
      <protection hidden="1"/>
    </xf>
    <xf numFmtId="0" fontId="9" fillId="52" borderId="358" xfId="0" applyFont="1" applyFill="1" applyBorder="1" applyAlignment="1" applyProtection="1">
      <alignment vertical="center" wrapText="1"/>
      <protection hidden="1"/>
    </xf>
    <xf numFmtId="0" fontId="0" fillId="52" borderId="358" xfId="0" applyFill="1" applyBorder="1" applyAlignment="1" applyProtection="1">
      <alignment vertical="center"/>
      <protection hidden="1"/>
    </xf>
    <xf numFmtId="0" fontId="0" fillId="27" borderId="0" xfId="0" applyFill="1" applyAlignment="1" applyProtection="1">
      <alignment horizontal="left" vertical="top" indent="6"/>
      <protection hidden="1"/>
    </xf>
    <xf numFmtId="0" fontId="10" fillId="57" borderId="0" xfId="0" applyFont="1" applyFill="1" applyAlignment="1" applyProtection="1">
      <alignment horizontal="left" vertical="center"/>
      <protection hidden="1"/>
    </xf>
    <xf numFmtId="0" fontId="110" fillId="57" borderId="0" xfId="0" applyFont="1" applyFill="1" applyAlignment="1" applyProtection="1">
      <alignment horizontal="left" vertical="top" wrapText="1" indent="5"/>
      <protection hidden="1"/>
    </xf>
    <xf numFmtId="0" fontId="54" fillId="4" borderId="0" xfId="0" applyFont="1" applyFill="1" applyAlignment="1">
      <alignment vertical="center"/>
    </xf>
    <xf numFmtId="0" fontId="74" fillId="28" borderId="0" xfId="0" applyFont="1" applyFill="1" applyAlignment="1">
      <alignment horizontal="left" vertical="center" indent="1"/>
    </xf>
    <xf numFmtId="0" fontId="10" fillId="28" borderId="0" xfId="0" applyFont="1" applyFill="1" applyAlignment="1">
      <alignment horizontal="left" indent="1"/>
    </xf>
    <xf numFmtId="0" fontId="0" fillId="0" borderId="360" xfId="0" applyBorder="1" applyAlignment="1">
      <alignment horizontal="left" indent="1"/>
    </xf>
    <xf numFmtId="0" fontId="0" fillId="0" borderId="361" xfId="0" applyBorder="1" applyAlignment="1">
      <alignment horizontal="left" indent="1"/>
    </xf>
    <xf numFmtId="0" fontId="0" fillId="0" borderId="359" xfId="0" applyBorder="1" applyAlignment="1">
      <alignment horizontal="left" indent="1"/>
    </xf>
    <xf numFmtId="0" fontId="11" fillId="28" borderId="359" xfId="0" applyFont="1" applyFill="1" applyBorder="1" applyAlignment="1">
      <alignment horizontal="left" vertical="center" indent="1"/>
    </xf>
    <xf numFmtId="0" fontId="76" fillId="0" borderId="0" xfId="0" applyFont="1" applyAlignment="1">
      <alignment horizontal="right" vertical="center"/>
    </xf>
    <xf numFmtId="164" fontId="4" fillId="0" borderId="2" xfId="0" applyNumberFormat="1" applyFont="1" applyBorder="1" applyAlignment="1">
      <alignment horizontal="right"/>
    </xf>
    <xf numFmtId="0" fontId="256" fillId="0" borderId="0" xfId="0" applyFont="1" applyAlignment="1">
      <alignment horizontal="right" indent="1"/>
    </xf>
    <xf numFmtId="0" fontId="4" fillId="0" borderId="63" xfId="0" applyFont="1" applyBorder="1"/>
    <xf numFmtId="0" fontId="4" fillId="0" borderId="5" xfId="0" applyFont="1" applyBorder="1"/>
    <xf numFmtId="0" fontId="4" fillId="0" borderId="46" xfId="0" applyFont="1" applyBorder="1"/>
    <xf numFmtId="0" fontId="224" fillId="0" borderId="0" xfId="0" applyFont="1" applyAlignment="1" applyProtection="1">
      <alignment horizontal="right" vertical="center"/>
      <protection hidden="1"/>
    </xf>
    <xf numFmtId="0" fontId="224" fillId="4" borderId="0" xfId="0" applyFont="1" applyFill="1" applyAlignment="1" applyProtection="1">
      <alignment horizontal="right" vertical="center"/>
      <protection hidden="1"/>
    </xf>
    <xf numFmtId="164" fontId="87" fillId="4" borderId="0" xfId="0" applyNumberFormat="1" applyFont="1" applyFill="1" applyAlignment="1">
      <alignment horizontal="left" vertical="top"/>
    </xf>
    <xf numFmtId="0" fontId="77" fillId="0" borderId="6" xfId="0" applyFont="1" applyBorder="1" applyAlignment="1">
      <alignment horizontal="right"/>
    </xf>
    <xf numFmtId="0" fontId="77" fillId="0" borderId="63" xfId="0" applyFont="1" applyBorder="1" applyAlignment="1">
      <alignment horizontal="right"/>
    </xf>
    <xf numFmtId="0" fontId="77" fillId="0" borderId="79" xfId="0" applyFont="1" applyBorder="1" applyAlignment="1">
      <alignment horizontal="right"/>
    </xf>
    <xf numFmtId="0" fontId="4" fillId="0" borderId="7" xfId="0" applyFont="1" applyBorder="1"/>
    <xf numFmtId="0" fontId="4" fillId="0" borderId="4" xfId="0" applyFont="1" applyBorder="1"/>
    <xf numFmtId="0" fontId="0" fillId="0" borderId="8" xfId="0" applyBorder="1" applyAlignment="1">
      <alignment horizontal="right" vertical="center"/>
    </xf>
    <xf numFmtId="0" fontId="76" fillId="0" borderId="0" xfId="0" applyFont="1"/>
    <xf numFmtId="0" fontId="76" fillId="0" borderId="0" xfId="0" applyFont="1" applyAlignment="1">
      <alignment horizontal="right"/>
    </xf>
    <xf numFmtId="0" fontId="5" fillId="0" borderId="8" xfId="0" applyFont="1" applyBorder="1"/>
    <xf numFmtId="0" fontId="76" fillId="0" borderId="2" xfId="0" applyFont="1" applyBorder="1" applyAlignment="1">
      <alignment horizontal="right"/>
    </xf>
    <xf numFmtId="0" fontId="76" fillId="0" borderId="2" xfId="0" applyFont="1" applyBorder="1"/>
    <xf numFmtId="1" fontId="76" fillId="0" borderId="8" xfId="0" applyNumberFormat="1" applyFont="1" applyBorder="1"/>
    <xf numFmtId="1" fontId="76" fillId="0" borderId="0" xfId="0" applyNumberFormat="1" applyFont="1"/>
    <xf numFmtId="0" fontId="5" fillId="0" borderId="2" xfId="0" applyFont="1" applyBorder="1"/>
    <xf numFmtId="164" fontId="4" fillId="0" borderId="58" xfId="0" applyNumberFormat="1" applyFont="1" applyBorder="1"/>
    <xf numFmtId="164" fontId="4" fillId="0" borderId="59" xfId="0" applyNumberFormat="1" applyFont="1" applyBorder="1"/>
    <xf numFmtId="0" fontId="8" fillId="0" borderId="0" xfId="0" applyFont="1" applyAlignment="1">
      <alignment horizontal="left" indent="3"/>
    </xf>
    <xf numFmtId="0" fontId="8" fillId="0" borderId="0" xfId="0" applyFont="1" applyAlignment="1">
      <alignment horizontal="left" vertical="top" indent="3"/>
    </xf>
    <xf numFmtId="0" fontId="257" fillId="0" borderId="0" xfId="0" applyFont="1"/>
    <xf numFmtId="0" fontId="0" fillId="4" borderId="0" xfId="0" applyFill="1" applyAlignment="1">
      <alignment horizontal="right" indent="1"/>
    </xf>
    <xf numFmtId="164" fontId="4" fillId="4" borderId="25" xfId="0" applyNumberFormat="1" applyFont="1" applyFill="1" applyBorder="1"/>
    <xf numFmtId="0" fontId="0" fillId="4" borderId="25" xfId="0" applyFill="1" applyBorder="1"/>
    <xf numFmtId="164" fontId="4" fillId="4" borderId="20" xfId="0" applyNumberFormat="1" applyFont="1" applyFill="1" applyBorder="1"/>
    <xf numFmtId="0" fontId="0" fillId="0" borderId="8" xfId="0" applyBorder="1" applyAlignment="1">
      <alignment horizontal="right" indent="1"/>
    </xf>
    <xf numFmtId="164" fontId="4" fillId="4" borderId="0" xfId="0" applyNumberFormat="1" applyFont="1" applyFill="1" applyAlignment="1">
      <alignment horizontal="right"/>
    </xf>
    <xf numFmtId="1" fontId="13" fillId="4" borderId="20" xfId="0" applyNumberFormat="1" applyFont="1" applyFill="1" applyBorder="1" applyAlignment="1" applyProtection="1">
      <alignment horizontal="left" vertical="center"/>
      <protection hidden="1"/>
    </xf>
    <xf numFmtId="1" fontId="13" fillId="4" borderId="25" xfId="0" applyNumberFormat="1" applyFont="1" applyFill="1" applyBorder="1" applyAlignment="1" applyProtection="1">
      <alignment horizontal="left" vertical="center"/>
      <protection hidden="1"/>
    </xf>
    <xf numFmtId="0" fontId="252" fillId="56" borderId="365" xfId="0" applyFont="1" applyFill="1" applyBorder="1" applyAlignment="1">
      <alignment horizontal="center" vertical="center" wrapText="1"/>
    </xf>
    <xf numFmtId="0" fontId="252" fillId="55" borderId="366" xfId="0" applyFont="1" applyFill="1" applyBorder="1" applyAlignment="1">
      <alignment horizontal="center" vertical="center" wrapText="1"/>
    </xf>
    <xf numFmtId="9" fontId="252" fillId="56" borderId="362" xfId="0" applyNumberFormat="1" applyFont="1" applyFill="1" applyBorder="1" applyAlignment="1">
      <alignment horizontal="center"/>
    </xf>
    <xf numFmtId="9" fontId="252" fillId="55" borderId="23" xfId="0" applyNumberFormat="1" applyFont="1" applyFill="1" applyBorder="1" applyAlignment="1">
      <alignment horizontal="center"/>
    </xf>
    <xf numFmtId="9" fontId="252" fillId="56" borderId="363" xfId="0" applyNumberFormat="1" applyFont="1" applyFill="1" applyBorder="1" applyAlignment="1">
      <alignment horizontal="center" vertical="center"/>
    </xf>
    <xf numFmtId="9" fontId="252" fillId="55" borderId="26" xfId="0" applyNumberFormat="1" applyFont="1" applyFill="1" applyBorder="1" applyAlignment="1">
      <alignment horizontal="center" vertical="center"/>
    </xf>
    <xf numFmtId="0" fontId="0" fillId="4" borderId="25" xfId="0" applyFill="1" applyBorder="1" applyAlignment="1">
      <alignment horizontal="right" indent="1"/>
    </xf>
    <xf numFmtId="164" fontId="4" fillId="4" borderId="26" xfId="0" applyNumberFormat="1" applyFont="1" applyFill="1" applyBorder="1"/>
    <xf numFmtId="9" fontId="100" fillId="4" borderId="19" xfId="0" applyNumberFormat="1" applyFont="1" applyFill="1" applyBorder="1" applyAlignment="1">
      <alignment horizontal="right" indent="2"/>
    </xf>
    <xf numFmtId="9" fontId="100" fillId="4" borderId="24" xfId="0" applyNumberFormat="1" applyFont="1" applyFill="1" applyBorder="1" applyAlignment="1">
      <alignment horizontal="right" vertical="center" indent="2"/>
    </xf>
    <xf numFmtId="0" fontId="98" fillId="4" borderId="0" xfId="0" applyFont="1" applyFill="1" applyAlignment="1">
      <alignment horizontal="right" indent="2"/>
    </xf>
    <xf numFmtId="0" fontId="98" fillId="4" borderId="25" xfId="0" applyFont="1" applyFill="1" applyBorder="1" applyAlignment="1">
      <alignment horizontal="right" vertical="center" indent="2"/>
    </xf>
    <xf numFmtId="164" fontId="228" fillId="0" borderId="0" xfId="0" applyNumberFormat="1" applyFont="1" applyAlignment="1">
      <alignment horizontal="left" vertical="top"/>
    </xf>
    <xf numFmtId="0" fontId="140" fillId="58" borderId="22" xfId="0" applyFont="1" applyFill="1" applyBorder="1" applyAlignment="1" applyProtection="1">
      <alignment horizontal="right" vertical="center"/>
      <protection hidden="1"/>
    </xf>
    <xf numFmtId="0" fontId="140" fillId="58" borderId="348" xfId="0" applyFont="1" applyFill="1" applyBorder="1" applyAlignment="1" applyProtection="1">
      <alignment horizontal="right" vertical="center"/>
      <protection hidden="1"/>
    </xf>
    <xf numFmtId="0" fontId="252" fillId="58" borderId="364" xfId="0" applyFont="1" applyFill="1" applyBorder="1" applyAlignment="1">
      <alignment horizontal="center" vertical="center" wrapText="1"/>
    </xf>
    <xf numFmtId="9" fontId="252" fillId="58" borderId="22" xfId="0" applyNumberFormat="1" applyFont="1" applyFill="1" applyBorder="1" applyAlignment="1">
      <alignment horizontal="center"/>
    </xf>
    <xf numFmtId="9" fontId="252" fillId="58" borderId="24" xfId="0" applyNumberFormat="1" applyFont="1" applyFill="1" applyBorder="1" applyAlignment="1">
      <alignment horizontal="center" vertical="center"/>
    </xf>
    <xf numFmtId="0" fontId="85" fillId="4" borderId="131" xfId="0" applyFont="1" applyFill="1" applyBorder="1" applyAlignment="1" applyProtection="1">
      <alignment horizontal="right" vertical="center" indent="1"/>
      <protection hidden="1"/>
    </xf>
    <xf numFmtId="167" fontId="258" fillId="4" borderId="0" xfId="0" applyNumberFormat="1" applyFont="1" applyFill="1" applyAlignment="1">
      <alignment horizontal="right" vertical="top"/>
    </xf>
    <xf numFmtId="167" fontId="262" fillId="4" borderId="0" xfId="0" applyNumberFormat="1" applyFont="1" applyFill="1" applyAlignment="1">
      <alignment horizontal="right" vertical="top"/>
    </xf>
    <xf numFmtId="0" fontId="191" fillId="58" borderId="23" xfId="0" applyFont="1" applyFill="1" applyBorder="1" applyAlignment="1" applyProtection="1">
      <alignment horizontal="left" vertical="center"/>
      <protection hidden="1"/>
    </xf>
    <xf numFmtId="0" fontId="191" fillId="56" borderId="23" xfId="0" applyFont="1" applyFill="1" applyBorder="1" applyAlignment="1" applyProtection="1">
      <alignment horizontal="left" vertical="center"/>
      <protection hidden="1"/>
    </xf>
    <xf numFmtId="0" fontId="191" fillId="55" borderId="23" xfId="0" applyFont="1" applyFill="1" applyBorder="1" applyAlignment="1" applyProtection="1">
      <alignment horizontal="left" vertical="center"/>
      <protection hidden="1"/>
    </xf>
    <xf numFmtId="0" fontId="191" fillId="58" borderId="349" xfId="0" applyFont="1" applyFill="1" applyBorder="1" applyAlignment="1" applyProtection="1">
      <alignment horizontal="left" vertical="center"/>
      <protection hidden="1"/>
    </xf>
    <xf numFmtId="0" fontId="191" fillId="56" borderId="349" xfId="0" applyFont="1" applyFill="1" applyBorder="1" applyAlignment="1" applyProtection="1">
      <alignment horizontal="left" vertical="center"/>
      <protection hidden="1"/>
    </xf>
    <xf numFmtId="0" fontId="191" fillId="55" borderId="349" xfId="0" applyFont="1" applyFill="1" applyBorder="1" applyAlignment="1" applyProtection="1">
      <alignment horizontal="left" vertical="center"/>
      <protection hidden="1"/>
    </xf>
    <xf numFmtId="0" fontId="5" fillId="4" borderId="0" xfId="0" applyFont="1" applyFill="1" applyAlignment="1">
      <alignment horizontal="left" indent="1"/>
    </xf>
    <xf numFmtId="0" fontId="4" fillId="4" borderId="0" xfId="0" applyFont="1" applyFill="1"/>
    <xf numFmtId="167" fontId="247" fillId="4" borderId="0" xfId="0" applyNumberFormat="1" applyFont="1" applyFill="1" applyAlignment="1">
      <alignment horizontal="right" vertical="top"/>
    </xf>
    <xf numFmtId="167" fontId="248" fillId="4" borderId="0" xfId="0" applyNumberFormat="1" applyFont="1" applyFill="1" applyAlignment="1">
      <alignment horizontal="right" vertical="top"/>
    </xf>
    <xf numFmtId="167" fontId="249" fillId="4" borderId="0" xfId="0" applyNumberFormat="1" applyFont="1" applyFill="1" applyAlignment="1">
      <alignment horizontal="right" vertical="top"/>
    </xf>
    <xf numFmtId="167" fontId="260" fillId="4" borderId="0" xfId="0" applyNumberFormat="1" applyFont="1" applyFill="1" applyAlignment="1">
      <alignment horizontal="right" vertical="top"/>
    </xf>
    <xf numFmtId="167" fontId="261" fillId="4" borderId="0" xfId="0" applyNumberFormat="1" applyFont="1" applyFill="1" applyAlignment="1">
      <alignment horizontal="right" vertical="top"/>
    </xf>
    <xf numFmtId="167" fontId="259" fillId="4" borderId="0" xfId="0" applyNumberFormat="1" applyFont="1" applyFill="1" applyAlignment="1">
      <alignment horizontal="right" vertical="top"/>
    </xf>
    <xf numFmtId="170" fontId="0" fillId="4" borderId="0" xfId="0" applyNumberFormat="1" applyFill="1" applyAlignment="1">
      <alignment horizontal="center" vertical="center"/>
    </xf>
    <xf numFmtId="1" fontId="0" fillId="4" borderId="0" xfId="0" applyNumberFormat="1" applyFill="1" applyAlignment="1">
      <alignment horizontal="center" vertical="center"/>
    </xf>
    <xf numFmtId="167" fontId="263" fillId="4" borderId="0" xfId="0" applyNumberFormat="1" applyFont="1" applyFill="1" applyAlignment="1">
      <alignment horizontal="right" vertical="top"/>
    </xf>
    <xf numFmtId="167" fontId="264" fillId="4" borderId="0" xfId="0" applyNumberFormat="1" applyFont="1" applyFill="1" applyAlignment="1">
      <alignment horizontal="right" vertical="top"/>
    </xf>
    <xf numFmtId="167" fontId="265" fillId="4" borderId="0" xfId="0" applyNumberFormat="1" applyFont="1" applyFill="1" applyAlignment="1">
      <alignment horizontal="right" vertical="top"/>
    </xf>
    <xf numFmtId="167" fontId="266" fillId="4" borderId="0" xfId="0" applyNumberFormat="1" applyFont="1" applyFill="1" applyAlignment="1">
      <alignment horizontal="right" vertical="top"/>
    </xf>
    <xf numFmtId="167" fontId="267" fillId="4" borderId="0" xfId="0" applyNumberFormat="1" applyFont="1" applyFill="1" applyAlignment="1">
      <alignment horizontal="right" vertical="top"/>
    </xf>
    <xf numFmtId="167" fontId="268" fillId="4" borderId="0" xfId="0" applyNumberFormat="1" applyFont="1" applyFill="1" applyAlignment="1">
      <alignment horizontal="right" vertical="top"/>
    </xf>
    <xf numFmtId="167" fontId="269" fillId="4" borderId="0" xfId="0" applyNumberFormat="1" applyFont="1" applyFill="1" applyAlignment="1">
      <alignment horizontal="right" vertical="top"/>
    </xf>
    <xf numFmtId="167" fontId="270" fillId="4" borderId="0" xfId="0" applyNumberFormat="1" applyFont="1" applyFill="1" applyAlignment="1">
      <alignment horizontal="right" vertical="top"/>
    </xf>
    <xf numFmtId="167" fontId="271" fillId="4" borderId="0" xfId="0" applyNumberFormat="1" applyFont="1" applyFill="1" applyAlignment="1">
      <alignment horizontal="right" vertical="top"/>
    </xf>
    <xf numFmtId="167" fontId="272" fillId="4" borderId="0" xfId="0" applyNumberFormat="1" applyFont="1" applyFill="1" applyAlignment="1">
      <alignment horizontal="right" vertical="top"/>
    </xf>
    <xf numFmtId="167" fontId="273" fillId="4" borderId="0" xfId="0" applyNumberFormat="1" applyFont="1" applyFill="1" applyAlignment="1">
      <alignment horizontal="right" vertical="top"/>
    </xf>
    <xf numFmtId="167" fontId="274" fillId="4" borderId="0" xfId="0" applyNumberFormat="1" applyFont="1" applyFill="1" applyAlignment="1" applyProtection="1">
      <alignment horizontal="right" vertical="center"/>
      <protection hidden="1"/>
    </xf>
    <xf numFmtId="167" fontId="275" fillId="4" borderId="0" xfId="0" applyNumberFormat="1" applyFont="1" applyFill="1" applyAlignment="1" applyProtection="1">
      <alignment horizontal="right" vertical="center"/>
      <protection hidden="1"/>
    </xf>
    <xf numFmtId="167" fontId="276" fillId="4" borderId="0" xfId="0" applyNumberFormat="1" applyFont="1" applyFill="1" applyAlignment="1" applyProtection="1">
      <alignment horizontal="right" vertical="center"/>
      <protection hidden="1"/>
    </xf>
    <xf numFmtId="167" fontId="277" fillId="4" borderId="0" xfId="0" applyNumberFormat="1" applyFont="1" applyFill="1" applyAlignment="1" applyProtection="1">
      <alignment horizontal="right" vertical="center"/>
      <protection hidden="1"/>
    </xf>
    <xf numFmtId="167" fontId="278" fillId="4" borderId="0" xfId="0" applyNumberFormat="1" applyFont="1" applyFill="1" applyAlignment="1" applyProtection="1">
      <alignment horizontal="right" vertical="center"/>
      <protection hidden="1"/>
    </xf>
    <xf numFmtId="167" fontId="279" fillId="4" borderId="0" xfId="0" applyNumberFormat="1" applyFont="1" applyFill="1" applyAlignment="1">
      <alignment horizontal="right"/>
    </xf>
    <xf numFmtId="167" fontId="280" fillId="4" borderId="0" xfId="0" applyNumberFormat="1" applyFont="1" applyFill="1" applyAlignment="1">
      <alignment horizontal="right"/>
    </xf>
    <xf numFmtId="167" fontId="281" fillId="4" borderId="0" xfId="0" applyNumberFormat="1" applyFont="1" applyFill="1" applyAlignment="1">
      <alignment horizontal="right"/>
    </xf>
    <xf numFmtId="0" fontId="282" fillId="0" borderId="0" xfId="0" applyFont="1" applyAlignment="1" applyProtection="1">
      <alignment horizontal="center" vertical="center" wrapText="1"/>
      <protection hidden="1"/>
    </xf>
    <xf numFmtId="0" fontId="284" fillId="0" borderId="0" xfId="0" applyFont="1" applyProtection="1">
      <protection hidden="1"/>
    </xf>
    <xf numFmtId="0" fontId="284" fillId="0" borderId="0" xfId="0" applyFont="1" applyAlignment="1" applyProtection="1">
      <alignment vertical="center"/>
      <protection hidden="1"/>
    </xf>
    <xf numFmtId="0" fontId="284" fillId="0" borderId="0" xfId="0" applyFont="1" applyAlignment="1" applyProtection="1">
      <alignment vertical="top"/>
      <protection hidden="1"/>
    </xf>
    <xf numFmtId="0" fontId="250" fillId="4" borderId="54" xfId="0" applyFont="1" applyFill="1" applyBorder="1" applyAlignment="1" applyProtection="1">
      <alignment vertical="center" wrapText="1"/>
      <protection hidden="1"/>
    </xf>
    <xf numFmtId="0" fontId="250" fillId="4" borderId="7" xfId="0" applyFont="1" applyFill="1" applyBorder="1" applyAlignment="1" applyProtection="1">
      <alignment vertical="top" wrapText="1"/>
      <protection hidden="1"/>
    </xf>
    <xf numFmtId="0" fontId="250" fillId="4" borderId="46" xfId="0" applyFont="1" applyFill="1" applyBorder="1" applyAlignment="1" applyProtection="1">
      <alignment horizontal="left" vertical="center" wrapText="1" indent="9"/>
      <protection hidden="1"/>
    </xf>
    <xf numFmtId="0" fontId="287" fillId="52" borderId="0" xfId="0" applyFont="1" applyFill="1" applyProtection="1">
      <protection hidden="1"/>
    </xf>
    <xf numFmtId="0" fontId="288" fillId="52" borderId="0" xfId="0" applyFont="1" applyFill="1" applyAlignment="1" applyProtection="1">
      <alignment vertical="center" wrapText="1"/>
      <protection hidden="1"/>
    </xf>
    <xf numFmtId="0" fontId="287" fillId="52" borderId="0" xfId="0" applyFont="1" applyFill="1" applyAlignment="1" applyProtection="1">
      <alignment horizontal="left" vertical="center" indent="3"/>
      <protection hidden="1"/>
    </xf>
    <xf numFmtId="0" fontId="283" fillId="52" borderId="0" xfId="0" applyFont="1" applyFill="1" applyProtection="1">
      <protection hidden="1"/>
    </xf>
    <xf numFmtId="0" fontId="288" fillId="52" borderId="0" xfId="0" applyFont="1" applyFill="1" applyAlignment="1" applyProtection="1">
      <alignment vertical="center"/>
      <protection hidden="1"/>
    </xf>
    <xf numFmtId="0" fontId="148" fillId="4" borderId="7" xfId="0" applyFont="1" applyFill="1" applyBorder="1" applyAlignment="1" applyProtection="1">
      <alignment horizontal="left" wrapText="1" indent="1"/>
      <protection hidden="1"/>
    </xf>
    <xf numFmtId="0" fontId="6" fillId="4" borderId="0" xfId="0" applyFont="1" applyFill="1" applyAlignment="1" applyProtection="1">
      <alignment vertical="center"/>
      <protection hidden="1"/>
    </xf>
    <xf numFmtId="0" fontId="9" fillId="47" borderId="0" xfId="0" applyFont="1" applyFill="1" applyAlignment="1" applyProtection="1">
      <alignment horizontal="left" vertical="center" wrapText="1" indent="9"/>
      <protection hidden="1"/>
    </xf>
    <xf numFmtId="0" fontId="9" fillId="47" borderId="0" xfId="0" applyFont="1" applyFill="1" applyProtection="1">
      <protection hidden="1"/>
    </xf>
    <xf numFmtId="0" fontId="43" fillId="47" borderId="0" xfId="0" applyFont="1" applyFill="1" applyAlignment="1" applyProtection="1">
      <alignment vertical="center" wrapText="1"/>
      <protection hidden="1"/>
    </xf>
    <xf numFmtId="0" fontId="9" fillId="47" borderId="0" xfId="0" applyFont="1" applyFill="1" applyAlignment="1" applyProtection="1">
      <alignment horizontal="left" vertical="center" indent="3"/>
      <protection hidden="1"/>
    </xf>
    <xf numFmtId="0" fontId="44" fillId="47" borderId="0" xfId="0" applyFont="1" applyFill="1" applyProtection="1">
      <protection hidden="1"/>
    </xf>
    <xf numFmtId="0" fontId="88" fillId="51" borderId="44" xfId="0" applyFont="1" applyFill="1" applyBorder="1" applyAlignment="1" applyProtection="1">
      <alignment horizontal="left" vertical="center"/>
      <protection hidden="1"/>
    </xf>
    <xf numFmtId="0" fontId="88" fillId="51" borderId="44" xfId="0" applyFont="1" applyFill="1" applyBorder="1" applyAlignment="1" applyProtection="1">
      <alignment horizontal="left" vertical="center" indent="1"/>
      <protection hidden="1"/>
    </xf>
    <xf numFmtId="0" fontId="18" fillId="4" borderId="131" xfId="0" applyFont="1" applyFill="1" applyBorder="1" applyAlignment="1" applyProtection="1">
      <alignment horizontal="left" vertical="center" indent="1"/>
      <protection hidden="1"/>
    </xf>
    <xf numFmtId="0" fontId="88" fillId="4" borderId="131" xfId="0" applyFont="1" applyFill="1" applyBorder="1" applyAlignment="1" applyProtection="1">
      <alignment horizontal="right" vertical="center" indent="8"/>
      <protection hidden="1"/>
    </xf>
    <xf numFmtId="0" fontId="289" fillId="46" borderId="0" xfId="0" applyFont="1" applyFill="1" applyAlignment="1" applyProtection="1">
      <alignment vertical="center"/>
      <protection hidden="1"/>
    </xf>
    <xf numFmtId="0" fontId="88" fillId="51" borderId="44" xfId="0" applyFont="1" applyFill="1" applyBorder="1" applyAlignment="1" applyProtection="1">
      <alignment horizontal="right" vertical="center"/>
      <protection hidden="1"/>
    </xf>
    <xf numFmtId="0" fontId="289" fillId="46" borderId="0" xfId="0" applyFont="1" applyFill="1" applyAlignment="1" applyProtection="1">
      <alignment horizontal="right" vertical="center"/>
      <protection hidden="1"/>
    </xf>
    <xf numFmtId="0" fontId="88" fillId="51" borderId="43" xfId="0" applyFont="1" applyFill="1" applyBorder="1" applyAlignment="1" applyProtection="1">
      <alignment horizontal="left" vertical="center"/>
      <protection hidden="1"/>
    </xf>
    <xf numFmtId="0" fontId="85" fillId="4" borderId="131" xfId="0" applyFont="1" applyFill="1" applyBorder="1" applyAlignment="1" applyProtection="1">
      <alignment vertical="center"/>
      <protection hidden="1"/>
    </xf>
    <xf numFmtId="0" fontId="88" fillId="45" borderId="44" xfId="0" applyFont="1" applyFill="1" applyBorder="1" applyAlignment="1" applyProtection="1">
      <alignment horizontal="right" vertical="center"/>
      <protection hidden="1"/>
    </xf>
    <xf numFmtId="0" fontId="88" fillId="4" borderId="367" xfId="0" applyFont="1" applyFill="1" applyBorder="1" applyAlignment="1" applyProtection="1">
      <alignment horizontal="right" vertical="center" indent="1"/>
      <protection hidden="1"/>
    </xf>
    <xf numFmtId="0" fontId="88" fillId="37" borderId="44" xfId="0" applyFont="1" applyFill="1" applyBorder="1" applyAlignment="1" applyProtection="1">
      <alignment horizontal="right" vertical="center"/>
      <protection hidden="1"/>
    </xf>
    <xf numFmtId="0" fontId="88" fillId="4" borderId="20" xfId="0" applyFont="1" applyFill="1" applyBorder="1" applyAlignment="1" applyProtection="1">
      <alignment horizontal="right"/>
      <protection hidden="1"/>
    </xf>
    <xf numFmtId="0" fontId="290" fillId="48" borderId="0" xfId="0" applyFont="1" applyFill="1" applyAlignment="1" applyProtection="1">
      <alignment horizontal="left" vertical="center"/>
      <protection hidden="1"/>
    </xf>
    <xf numFmtId="0" fontId="290" fillId="36" borderId="0" xfId="0" applyFont="1" applyFill="1" applyAlignment="1" applyProtection="1">
      <alignment horizontal="left" vertical="center"/>
      <protection hidden="1"/>
    </xf>
    <xf numFmtId="0" fontId="290" fillId="36" borderId="0" xfId="0" applyFont="1" applyFill="1" applyAlignment="1" applyProtection="1">
      <alignment horizontal="right" vertical="center" indent="2"/>
      <protection hidden="1"/>
    </xf>
    <xf numFmtId="167" fontId="292" fillId="4" borderId="0" xfId="0" applyNumberFormat="1" applyFont="1" applyFill="1" applyAlignment="1">
      <alignment horizontal="right" vertical="top"/>
    </xf>
    <xf numFmtId="167" fontId="293" fillId="4" borderId="0" xfId="0" applyNumberFormat="1" applyFont="1" applyFill="1" applyAlignment="1">
      <alignment horizontal="right" vertical="top"/>
    </xf>
    <xf numFmtId="167" fontId="307" fillId="4" borderId="0" xfId="0" applyNumberFormat="1" applyFont="1" applyFill="1" applyAlignment="1">
      <alignment horizontal="right" vertical="top"/>
    </xf>
    <xf numFmtId="167" fontId="308" fillId="4" borderId="0" xfId="0" applyNumberFormat="1" applyFont="1" applyFill="1" applyAlignment="1">
      <alignment horizontal="right" vertical="top"/>
    </xf>
    <xf numFmtId="167" fontId="309" fillId="4" borderId="0" xfId="0" applyNumberFormat="1" applyFont="1" applyFill="1" applyAlignment="1">
      <alignment horizontal="right" vertical="top"/>
    </xf>
    <xf numFmtId="0" fontId="0" fillId="59" borderId="368" xfId="0" applyFill="1" applyBorder="1" applyProtection="1">
      <protection hidden="1"/>
    </xf>
    <xf numFmtId="0" fontId="217" fillId="4" borderId="368" xfId="0" applyFont="1" applyFill="1" applyBorder="1" applyAlignment="1" applyProtection="1">
      <alignment horizontal="right" vertical="center" wrapText="1"/>
      <protection hidden="1"/>
    </xf>
    <xf numFmtId="1" fontId="217" fillId="4" borderId="368" xfId="0" applyNumberFormat="1" applyFont="1" applyFill="1" applyBorder="1" applyAlignment="1" applyProtection="1">
      <alignment horizontal="right" vertical="center" wrapText="1"/>
      <protection hidden="1"/>
    </xf>
    <xf numFmtId="0" fontId="10" fillId="60" borderId="0" xfId="0" applyFont="1" applyFill="1" applyAlignment="1" applyProtection="1">
      <alignment horizontal="left" vertical="center"/>
      <protection hidden="1"/>
    </xf>
    <xf numFmtId="0" fontId="110" fillId="60" borderId="0" xfId="0" applyFont="1" applyFill="1" applyAlignment="1" applyProtection="1">
      <alignment horizontal="left" vertical="top" wrapText="1" indent="5"/>
      <protection hidden="1"/>
    </xf>
    <xf numFmtId="0" fontId="282" fillId="0" borderId="0" xfId="0" applyFont="1" applyAlignment="1" applyProtection="1">
      <alignment vertical="center" wrapText="1"/>
      <protection hidden="1"/>
    </xf>
    <xf numFmtId="0" fontId="282" fillId="4" borderId="0" xfId="0" applyFont="1" applyFill="1" applyAlignment="1" applyProtection="1">
      <alignment vertical="center" wrapText="1"/>
      <protection hidden="1"/>
    </xf>
    <xf numFmtId="0" fontId="282" fillId="4" borderId="0" xfId="0" applyFont="1" applyFill="1" applyAlignment="1" applyProtection="1">
      <alignment horizontal="right" vertical="top" wrapText="1"/>
      <protection hidden="1"/>
    </xf>
    <xf numFmtId="0" fontId="36" fillId="4" borderId="0" xfId="0" applyFont="1" applyFill="1" applyAlignment="1" applyProtection="1">
      <alignment horizontal="left" indent="1"/>
      <protection hidden="1"/>
    </xf>
    <xf numFmtId="0" fontId="310" fillId="4" borderId="0" xfId="0" applyFont="1" applyFill="1" applyAlignment="1" applyProtection="1">
      <alignment horizontal="right"/>
      <protection hidden="1"/>
    </xf>
    <xf numFmtId="0" fontId="310" fillId="4" borderId="0" xfId="0" applyFont="1" applyFill="1" applyAlignment="1" applyProtection="1">
      <alignment horizontal="left" vertical="center" indent="1"/>
      <protection hidden="1"/>
    </xf>
    <xf numFmtId="0" fontId="310" fillId="4" borderId="0" xfId="0" applyFont="1" applyFill="1" applyAlignment="1" applyProtection="1">
      <alignment horizontal="right" vertical="center" indent="1"/>
      <protection hidden="1"/>
    </xf>
    <xf numFmtId="0" fontId="310" fillId="4" borderId="0" xfId="0" applyFont="1" applyFill="1" applyAlignment="1" applyProtection="1">
      <alignment horizontal="right" vertical="center" indent="7"/>
      <protection hidden="1"/>
    </xf>
    <xf numFmtId="14" fontId="0" fillId="4" borderId="58" xfId="0" applyNumberFormat="1" applyFill="1" applyBorder="1" applyAlignment="1" applyProtection="1">
      <alignment horizontal="left" wrapText="1"/>
      <protection hidden="1"/>
    </xf>
    <xf numFmtId="0" fontId="163" fillId="4" borderId="0" xfId="0" applyFont="1" applyFill="1" applyAlignment="1" applyProtection="1">
      <alignment horizontal="right" indent="1"/>
      <protection hidden="1"/>
    </xf>
    <xf numFmtId="0" fontId="163" fillId="4" borderId="0" xfId="0" applyFont="1" applyFill="1" applyAlignment="1" applyProtection="1">
      <alignment horizontal="right" vertical="center" wrapText="1" indent="1"/>
      <protection hidden="1"/>
    </xf>
    <xf numFmtId="0" fontId="0" fillId="27" borderId="0" xfId="0" applyFill="1" applyAlignment="1" applyProtection="1">
      <alignment horizontal="left" vertical="center" indent="2"/>
      <protection hidden="1"/>
    </xf>
    <xf numFmtId="0" fontId="0" fillId="61" borderId="0" xfId="0" applyFill="1" applyAlignment="1" applyProtection="1">
      <alignment horizontal="left" indent="2"/>
      <protection hidden="1"/>
    </xf>
    <xf numFmtId="0" fontId="0" fillId="61" borderId="0" xfId="0" applyFill="1" applyProtection="1">
      <protection hidden="1"/>
    </xf>
    <xf numFmtId="164" fontId="4" fillId="61" borderId="0" xfId="0" applyNumberFormat="1" applyFont="1" applyFill="1" applyProtection="1">
      <protection hidden="1"/>
    </xf>
    <xf numFmtId="168" fontId="4" fillId="61" borderId="0" xfId="0" applyNumberFormat="1" applyFont="1" applyFill="1" applyProtection="1">
      <protection hidden="1"/>
    </xf>
    <xf numFmtId="167" fontId="4" fillId="61" borderId="0" xfId="0" applyNumberFormat="1" applyFont="1" applyFill="1" applyProtection="1">
      <protection hidden="1"/>
    </xf>
    <xf numFmtId="0" fontId="0" fillId="61" borderId="0" xfId="0" applyFill="1" applyAlignment="1" applyProtection="1">
      <alignment horizontal="right" vertical="center"/>
      <protection hidden="1"/>
    </xf>
    <xf numFmtId="0" fontId="0" fillId="61" borderId="0" xfId="0" applyFill="1" applyAlignment="1" applyProtection="1">
      <alignment vertical="center"/>
      <protection hidden="1"/>
    </xf>
    <xf numFmtId="164" fontId="4" fillId="61" borderId="0" xfId="0" applyNumberFormat="1" applyFont="1" applyFill="1" applyAlignment="1" applyProtection="1">
      <alignment vertical="center"/>
      <protection hidden="1"/>
    </xf>
    <xf numFmtId="168" fontId="4" fillId="61" borderId="0" xfId="0" applyNumberFormat="1" applyFont="1" applyFill="1" applyAlignment="1" applyProtection="1">
      <alignment vertical="center"/>
      <protection hidden="1"/>
    </xf>
    <xf numFmtId="167" fontId="4" fillId="61" borderId="0" xfId="0" applyNumberFormat="1" applyFont="1" applyFill="1" applyAlignment="1" applyProtection="1">
      <alignment vertical="center"/>
      <protection hidden="1"/>
    </xf>
    <xf numFmtId="0" fontId="38" fillId="61" borderId="0" xfId="0" applyFont="1" applyFill="1" applyAlignment="1" applyProtection="1">
      <alignment horizontal="right"/>
      <protection hidden="1"/>
    </xf>
    <xf numFmtId="0" fontId="0" fillId="61" borderId="0" xfId="0" applyFill="1" applyAlignment="1" applyProtection="1">
      <alignment horizontal="right" indent="1"/>
      <protection hidden="1"/>
    </xf>
    <xf numFmtId="0" fontId="87" fillId="61" borderId="0" xfId="0" applyFont="1" applyFill="1" applyAlignment="1" applyProtection="1">
      <alignment horizontal="left" vertical="center" wrapText="1" indent="1"/>
      <protection hidden="1"/>
    </xf>
    <xf numFmtId="0" fontId="0" fillId="62" borderId="79" xfId="0" applyFill="1" applyBorder="1" applyProtection="1">
      <protection hidden="1"/>
    </xf>
    <xf numFmtId="168" fontId="0" fillId="61" borderId="0" xfId="0" applyNumberFormat="1" applyFill="1" applyProtection="1">
      <protection hidden="1"/>
    </xf>
    <xf numFmtId="0" fontId="0" fillId="61" borderId="0" xfId="0" applyFill="1" applyAlignment="1" applyProtection="1">
      <alignment horizontal="center" vertical="center"/>
      <protection hidden="1"/>
    </xf>
    <xf numFmtId="0" fontId="311" fillId="4" borderId="0" xfId="0" applyFont="1" applyFill="1" applyAlignment="1" applyProtection="1">
      <alignment vertical="center"/>
      <protection hidden="1"/>
    </xf>
    <xf numFmtId="0" fontId="75" fillId="4" borderId="0" xfId="0" applyFont="1" applyFill="1" applyAlignment="1" applyProtection="1">
      <alignment vertical="center"/>
      <protection hidden="1"/>
    </xf>
    <xf numFmtId="0" fontId="5" fillId="0" borderId="8" xfId="0" applyFont="1" applyBorder="1" applyAlignment="1" applyProtection="1">
      <alignment vertical="top"/>
      <protection hidden="1"/>
    </xf>
    <xf numFmtId="165" fontId="4" fillId="0" borderId="8" xfId="0" applyNumberFormat="1" applyFont="1" applyBorder="1" applyAlignment="1" applyProtection="1">
      <alignment vertical="top"/>
      <protection hidden="1"/>
    </xf>
    <xf numFmtId="0" fontId="0" fillId="0" borderId="8" xfId="0" applyBorder="1" applyAlignment="1" applyProtection="1">
      <alignment vertical="top"/>
      <protection hidden="1"/>
    </xf>
    <xf numFmtId="165" fontId="4" fillId="0" borderId="7" xfId="0" applyNumberFormat="1" applyFont="1" applyBorder="1" applyAlignment="1" applyProtection="1">
      <alignment vertical="top"/>
      <protection hidden="1"/>
    </xf>
    <xf numFmtId="165" fontId="4" fillId="0" borderId="4" xfId="0" applyNumberFormat="1" applyFont="1" applyBorder="1" applyAlignment="1" applyProtection="1">
      <alignment vertical="top"/>
      <protection hidden="1"/>
    </xf>
    <xf numFmtId="165" fontId="38" fillId="0" borderId="46" xfId="0" applyNumberFormat="1" applyFont="1" applyBorder="1" applyAlignment="1" applyProtection="1">
      <alignment vertical="top"/>
      <protection hidden="1"/>
    </xf>
    <xf numFmtId="165" fontId="38" fillId="0" borderId="5" xfId="0" applyNumberFormat="1" applyFont="1" applyBorder="1" applyAlignment="1" applyProtection="1">
      <alignment vertical="top"/>
      <protection hidden="1"/>
    </xf>
    <xf numFmtId="0" fontId="4" fillId="0" borderId="58" xfId="0" applyFont="1" applyBorder="1" applyAlignment="1" applyProtection="1">
      <alignment horizontal="left" vertical="top" wrapText="1"/>
      <protection hidden="1"/>
    </xf>
    <xf numFmtId="0" fontId="4" fillId="0" borderId="48" xfId="0" applyFont="1" applyBorder="1" applyAlignment="1" applyProtection="1">
      <alignment horizontal="left" vertical="top" wrapText="1"/>
      <protection hidden="1"/>
    </xf>
    <xf numFmtId="0" fontId="4" fillId="0" borderId="59" xfId="0" applyFont="1" applyBorder="1" applyAlignment="1" applyProtection="1">
      <alignment horizontal="left" vertical="top" wrapText="1"/>
      <protection hidden="1"/>
    </xf>
    <xf numFmtId="0" fontId="0" fillId="4" borderId="4" xfId="0" applyFill="1" applyBorder="1" applyAlignment="1">
      <alignment horizontal="center"/>
    </xf>
    <xf numFmtId="0" fontId="5" fillId="61" borderId="0" xfId="0" applyFont="1" applyFill="1" applyAlignment="1">
      <alignment horizontal="right" vertical="center" wrapText="1" indent="1"/>
    </xf>
    <xf numFmtId="0" fontId="0" fillId="61" borderId="0" xfId="0" applyFill="1" applyAlignment="1">
      <alignment horizontal="right" vertical="center" indent="1"/>
    </xf>
    <xf numFmtId="170" fontId="0" fillId="0" borderId="2" xfId="0" applyNumberFormat="1" applyBorder="1" applyAlignment="1">
      <alignment horizontal="center" vertical="center"/>
    </xf>
    <xf numFmtId="0" fontId="6" fillId="0" borderId="0" xfId="0" applyFont="1" applyAlignment="1" applyProtection="1">
      <alignment horizontal="left" indent="1"/>
      <protection hidden="1"/>
    </xf>
    <xf numFmtId="0" fontId="6" fillId="0" borderId="8" xfId="0" applyFont="1" applyBorder="1" applyProtection="1">
      <protection hidden="1"/>
    </xf>
    <xf numFmtId="0" fontId="6" fillId="0" borderId="8" xfId="0" applyFont="1" applyBorder="1" applyAlignment="1" applyProtection="1">
      <alignment horizontal="left" indent="1"/>
      <protection hidden="1"/>
    </xf>
    <xf numFmtId="0" fontId="76" fillId="0" borderId="8" xfId="0" applyFont="1" applyBorder="1"/>
    <xf numFmtId="0" fontId="8" fillId="0" borderId="0" xfId="0" applyFont="1" applyAlignment="1" applyProtection="1">
      <alignment horizontal="left" vertical="top" indent="1"/>
      <protection hidden="1"/>
    </xf>
    <xf numFmtId="0" fontId="0" fillId="27" borderId="0" xfId="0" applyFill="1" applyAlignment="1" applyProtection="1">
      <alignment horizontal="left" vertical="top" indent="1"/>
      <protection hidden="1"/>
    </xf>
    <xf numFmtId="0" fontId="0" fillId="27" borderId="0" xfId="0" applyFill="1" applyAlignment="1" applyProtection="1">
      <alignment horizontal="left" vertical="top" wrapText="1" indent="1"/>
      <protection hidden="1"/>
    </xf>
    <xf numFmtId="0" fontId="26" fillId="28" borderId="0" xfId="0" applyFont="1" applyFill="1" applyProtection="1">
      <protection hidden="1"/>
    </xf>
    <xf numFmtId="0" fontId="169" fillId="28" borderId="0" xfId="0" applyFont="1" applyFill="1" applyAlignment="1" applyProtection="1">
      <alignment horizontal="right" vertical="center" indent="1"/>
      <protection hidden="1"/>
    </xf>
    <xf numFmtId="0" fontId="28" fillId="28" borderId="0" xfId="0" applyFont="1" applyFill="1" applyProtection="1">
      <protection hidden="1"/>
    </xf>
    <xf numFmtId="0" fontId="44" fillId="27" borderId="0" xfId="0" applyFont="1" applyFill="1" applyAlignment="1" applyProtection="1">
      <alignment horizontal="left" vertical="center" indent="3"/>
      <protection hidden="1"/>
    </xf>
    <xf numFmtId="0" fontId="7" fillId="0" borderId="0" xfId="0" applyFont="1" applyAlignment="1" applyProtection="1">
      <alignment horizontal="left" vertical="center" indent="1"/>
      <protection hidden="1"/>
    </xf>
    <xf numFmtId="0" fontId="1" fillId="0" borderId="0" xfId="0" applyFont="1" applyAlignment="1" applyProtection="1">
      <alignment horizontal="left" vertical="center"/>
      <protection hidden="1"/>
    </xf>
    <xf numFmtId="0" fontId="2" fillId="0" borderId="0" xfId="0" applyFont="1" applyAlignment="1" applyProtection="1">
      <alignment horizontal="left" vertical="center"/>
      <protection hidden="1"/>
    </xf>
    <xf numFmtId="0" fontId="315" fillId="27" borderId="0" xfId="0" applyFont="1" applyFill="1" applyProtection="1">
      <protection hidden="1"/>
    </xf>
    <xf numFmtId="0" fontId="61" fillId="28" borderId="0" xfId="0" applyFont="1" applyFill="1" applyAlignment="1" applyProtection="1">
      <alignment vertical="center"/>
      <protection hidden="1"/>
    </xf>
    <xf numFmtId="0" fontId="44" fillId="27" borderId="0" xfId="0" applyFont="1" applyFill="1" applyAlignment="1" applyProtection="1">
      <alignment vertical="center"/>
      <protection hidden="1"/>
    </xf>
    <xf numFmtId="0" fontId="7" fillId="0" borderId="0" xfId="0" applyFont="1" applyAlignment="1" applyProtection="1">
      <alignment vertical="center"/>
      <protection hidden="1"/>
    </xf>
    <xf numFmtId="0" fontId="28" fillId="0" borderId="0" xfId="0" applyFont="1" applyProtection="1">
      <protection hidden="1"/>
    </xf>
    <xf numFmtId="0" fontId="26" fillId="0" borderId="0" xfId="0" applyFont="1" applyProtection="1">
      <protection hidden="1"/>
    </xf>
    <xf numFmtId="0" fontId="169" fillId="0" borderId="0" xfId="0" applyFont="1" applyAlignment="1" applyProtection="1">
      <alignment horizontal="right" vertical="center" indent="1"/>
      <protection hidden="1"/>
    </xf>
    <xf numFmtId="0" fontId="9" fillId="0" borderId="0" xfId="0" applyFont="1" applyAlignment="1" applyProtection="1">
      <alignment vertical="center"/>
      <protection hidden="1"/>
    </xf>
    <xf numFmtId="0" fontId="3" fillId="27" borderId="52" xfId="0" applyFont="1" applyFill="1" applyBorder="1" applyAlignment="1" applyProtection="1">
      <alignment vertical="center"/>
      <protection hidden="1"/>
    </xf>
    <xf numFmtId="0" fontId="44" fillId="27" borderId="53" xfId="0" applyFont="1" applyFill="1" applyBorder="1" applyAlignment="1" applyProtection="1">
      <alignment vertical="center"/>
      <protection hidden="1"/>
    </xf>
    <xf numFmtId="0" fontId="44" fillId="27" borderId="49" xfId="0" applyFont="1" applyFill="1" applyBorder="1" applyAlignment="1" applyProtection="1">
      <alignment vertical="center"/>
      <protection hidden="1"/>
    </xf>
    <xf numFmtId="0" fontId="61" fillId="27" borderId="50" xfId="0" applyFont="1" applyFill="1" applyBorder="1" applyAlignment="1" applyProtection="1">
      <alignment vertical="center"/>
      <protection hidden="1"/>
    </xf>
    <xf numFmtId="0" fontId="61" fillId="27" borderId="51" xfId="0" applyFont="1" applyFill="1" applyBorder="1" applyAlignment="1" applyProtection="1">
      <alignment vertical="center"/>
      <protection hidden="1"/>
    </xf>
    <xf numFmtId="0" fontId="44" fillId="27" borderId="52" xfId="0" applyFont="1" applyFill="1" applyBorder="1" applyAlignment="1" applyProtection="1">
      <alignment vertical="center"/>
      <protection hidden="1"/>
    </xf>
    <xf numFmtId="0" fontId="61" fillId="27" borderId="0" xfId="0" applyFont="1" applyFill="1" applyAlignment="1" applyProtection="1">
      <alignment vertical="center"/>
      <protection hidden="1"/>
    </xf>
    <xf numFmtId="0" fontId="61" fillId="27" borderId="53" xfId="0" applyFont="1" applyFill="1" applyBorder="1" applyAlignment="1" applyProtection="1">
      <alignment vertical="center"/>
      <protection hidden="1"/>
    </xf>
    <xf numFmtId="0" fontId="148" fillId="27" borderId="0" xfId="0" applyFont="1" applyFill="1" applyAlignment="1" applyProtection="1">
      <alignment vertical="center"/>
      <protection hidden="1"/>
    </xf>
    <xf numFmtId="0" fontId="44" fillId="27" borderId="55" xfId="0" applyFont="1" applyFill="1" applyBorder="1" applyAlignment="1" applyProtection="1">
      <alignment vertical="center"/>
      <protection hidden="1"/>
    </xf>
    <xf numFmtId="0" fontId="61" fillId="27" borderId="56" xfId="0" applyFont="1" applyFill="1" applyBorder="1" applyAlignment="1" applyProtection="1">
      <alignment vertical="center"/>
      <protection hidden="1"/>
    </xf>
    <xf numFmtId="0" fontId="61" fillId="27" borderId="57" xfId="0" applyFont="1" applyFill="1" applyBorder="1" applyAlignment="1" applyProtection="1">
      <alignment vertical="center"/>
      <protection hidden="1"/>
    </xf>
    <xf numFmtId="0" fontId="0" fillId="27" borderId="49" xfId="0" applyFill="1" applyBorder="1" applyAlignment="1" applyProtection="1">
      <alignment horizontal="left" indent="1"/>
      <protection hidden="1"/>
    </xf>
    <xf numFmtId="0" fontId="0" fillId="27" borderId="50" xfId="0" applyFill="1" applyBorder="1" applyAlignment="1" applyProtection="1">
      <alignment horizontal="left" indent="1"/>
      <protection hidden="1"/>
    </xf>
    <xf numFmtId="0" fontId="0" fillId="27" borderId="50" xfId="0" applyFill="1" applyBorder="1" applyProtection="1">
      <protection hidden="1"/>
    </xf>
    <xf numFmtId="0" fontId="0" fillId="27" borderId="51" xfId="0" applyFill="1" applyBorder="1" applyProtection="1">
      <protection hidden="1"/>
    </xf>
    <xf numFmtId="0" fontId="313" fillId="27" borderId="0" xfId="0" applyFont="1" applyFill="1" applyAlignment="1" applyProtection="1">
      <alignment horizontal="left" indent="1"/>
      <protection hidden="1"/>
    </xf>
    <xf numFmtId="0" fontId="148" fillId="27" borderId="0" xfId="0" applyFont="1" applyFill="1" applyAlignment="1" applyProtection="1">
      <alignment horizontal="left" vertical="center" indent="3"/>
      <protection hidden="1"/>
    </xf>
    <xf numFmtId="0" fontId="0" fillId="27" borderId="53" xfId="0" applyFill="1" applyBorder="1" applyAlignment="1" applyProtection="1">
      <alignment horizontal="left"/>
      <protection hidden="1"/>
    </xf>
    <xf numFmtId="0" fontId="44" fillId="27" borderId="53" xfId="0" applyFont="1" applyFill="1" applyBorder="1" applyAlignment="1" applyProtection="1">
      <alignment horizontal="center" vertical="center"/>
      <protection hidden="1"/>
    </xf>
    <xf numFmtId="0" fontId="315" fillId="27" borderId="0" xfId="0" applyFont="1" applyFill="1" applyAlignment="1" applyProtection="1">
      <alignment horizontal="left" indent="1"/>
      <protection hidden="1"/>
    </xf>
    <xf numFmtId="0" fontId="3" fillId="27" borderId="53" xfId="0" applyFont="1" applyFill="1" applyBorder="1" applyAlignment="1" applyProtection="1">
      <alignment vertical="center"/>
      <protection hidden="1"/>
    </xf>
    <xf numFmtId="0" fontId="313" fillId="27" borderId="0" xfId="0" applyFont="1" applyFill="1" applyAlignment="1" applyProtection="1">
      <alignment horizontal="center"/>
      <protection hidden="1"/>
    </xf>
    <xf numFmtId="0" fontId="0" fillId="27" borderId="0" xfId="0" applyFill="1" applyAlignment="1" applyProtection="1">
      <alignment horizontal="center"/>
      <protection hidden="1"/>
    </xf>
    <xf numFmtId="0" fontId="315" fillId="27" borderId="0" xfId="0" applyFont="1" applyFill="1" applyAlignment="1" applyProtection="1">
      <alignment horizontal="center"/>
      <protection hidden="1"/>
    </xf>
    <xf numFmtId="0" fontId="315" fillId="27" borderId="0" xfId="0" applyFont="1" applyFill="1" applyAlignment="1" applyProtection="1">
      <alignment horizontal="left"/>
      <protection hidden="1"/>
    </xf>
    <xf numFmtId="0" fontId="313" fillId="27" borderId="0" xfId="0" applyFont="1" applyFill="1" applyAlignment="1" applyProtection="1">
      <alignment horizontal="left"/>
      <protection hidden="1"/>
    </xf>
    <xf numFmtId="0" fontId="0" fillId="27" borderId="248" xfId="0" applyFill="1" applyBorder="1" applyAlignment="1" applyProtection="1">
      <alignment horizontal="left" indent="1"/>
      <protection hidden="1"/>
    </xf>
    <xf numFmtId="0" fontId="0" fillId="27" borderId="8" xfId="0" applyFill="1" applyBorder="1" applyAlignment="1" applyProtection="1">
      <alignment horizontal="left" indent="1"/>
      <protection hidden="1"/>
    </xf>
    <xf numFmtId="0" fontId="0" fillId="27" borderId="247" xfId="0" applyFill="1" applyBorder="1" applyProtection="1">
      <protection hidden="1"/>
    </xf>
    <xf numFmtId="0" fontId="35" fillId="27" borderId="0" xfId="0" applyFont="1" applyFill="1" applyAlignment="1" applyProtection="1">
      <alignment horizontal="left" vertical="center"/>
      <protection hidden="1"/>
    </xf>
    <xf numFmtId="0" fontId="36" fillId="27" borderId="0" xfId="0" applyFont="1" applyFill="1" applyAlignment="1" applyProtection="1">
      <alignment horizontal="left"/>
      <protection hidden="1"/>
    </xf>
    <xf numFmtId="0" fontId="35" fillId="27" borderId="0" xfId="0" applyFont="1" applyFill="1" applyAlignment="1" applyProtection="1">
      <alignment vertical="center"/>
      <protection hidden="1"/>
    </xf>
    <xf numFmtId="0" fontId="7" fillId="27" borderId="49" xfId="0" applyFont="1" applyFill="1" applyBorder="1" applyAlignment="1" applyProtection="1">
      <alignment horizontal="left" vertical="center" indent="1"/>
      <protection hidden="1"/>
    </xf>
    <xf numFmtId="0" fontId="1" fillId="27" borderId="50" xfId="0" applyFont="1" applyFill="1" applyBorder="1" applyAlignment="1" applyProtection="1">
      <alignment horizontal="left" vertical="center"/>
      <protection hidden="1"/>
    </xf>
    <xf numFmtId="0" fontId="2" fillId="27" borderId="50" xfId="0" applyFont="1" applyFill="1" applyBorder="1" applyAlignment="1" applyProtection="1">
      <alignment horizontal="left" vertical="center"/>
      <protection hidden="1"/>
    </xf>
    <xf numFmtId="0" fontId="7" fillId="27" borderId="52" xfId="0" applyFont="1" applyFill="1" applyBorder="1" applyAlignment="1" applyProtection="1">
      <alignment horizontal="left" vertical="center" indent="1"/>
      <protection hidden="1"/>
    </xf>
    <xf numFmtId="0" fontId="1" fillId="27" borderId="0" xfId="0" applyFont="1" applyFill="1" applyAlignment="1" applyProtection="1">
      <alignment horizontal="left" vertical="center"/>
      <protection hidden="1"/>
    </xf>
    <xf numFmtId="0" fontId="2" fillId="27" borderId="0" xfId="0" applyFont="1" applyFill="1" applyAlignment="1" applyProtection="1">
      <alignment horizontal="left" vertical="center"/>
      <protection hidden="1"/>
    </xf>
    <xf numFmtId="0" fontId="7" fillId="27" borderId="52" xfId="0" applyFont="1" applyFill="1" applyBorder="1" applyAlignment="1" applyProtection="1">
      <alignment horizontal="left" vertical="top" indent="1"/>
      <protection hidden="1"/>
    </xf>
    <xf numFmtId="0" fontId="35" fillId="27" borderId="52" xfId="0" applyFont="1" applyFill="1" applyBorder="1" applyAlignment="1" applyProtection="1">
      <alignment horizontal="left" vertical="center"/>
      <protection hidden="1"/>
    </xf>
    <xf numFmtId="0" fontId="35" fillId="27" borderId="53" xfId="0" applyFont="1" applyFill="1" applyBorder="1" applyAlignment="1" applyProtection="1">
      <alignment vertical="center"/>
      <protection hidden="1"/>
    </xf>
    <xf numFmtId="0" fontId="36" fillId="27" borderId="2" xfId="0" applyFont="1" applyFill="1" applyBorder="1" applyAlignment="1" applyProtection="1">
      <alignment horizontal="left"/>
      <protection hidden="1"/>
    </xf>
    <xf numFmtId="0" fontId="35" fillId="27" borderId="2" xfId="0" applyFont="1" applyFill="1" applyBorder="1" applyAlignment="1" applyProtection="1">
      <alignment horizontal="left" vertical="center"/>
      <protection hidden="1"/>
    </xf>
    <xf numFmtId="0" fontId="35" fillId="27" borderId="2" xfId="0" applyFont="1" applyFill="1" applyBorder="1" applyAlignment="1" applyProtection="1">
      <alignment vertical="center"/>
      <protection hidden="1"/>
    </xf>
    <xf numFmtId="0" fontId="38" fillId="27" borderId="49" xfId="0" applyFont="1" applyFill="1" applyBorder="1" applyProtection="1">
      <protection hidden="1"/>
    </xf>
    <xf numFmtId="0" fontId="35" fillId="27" borderId="244" xfId="0" applyFont="1" applyFill="1" applyBorder="1" applyAlignment="1" applyProtection="1">
      <alignment horizontal="left" vertical="center"/>
      <protection hidden="1"/>
    </xf>
    <xf numFmtId="0" fontId="35" fillId="27" borderId="243" xfId="0" applyFont="1" applyFill="1" applyBorder="1" applyAlignment="1" applyProtection="1">
      <alignment vertical="center"/>
      <protection hidden="1"/>
    </xf>
    <xf numFmtId="0" fontId="0" fillId="0" borderId="52" xfId="0" applyBorder="1" applyProtection="1">
      <protection hidden="1"/>
    </xf>
    <xf numFmtId="0" fontId="1" fillId="27" borderId="0" xfId="0" applyFont="1" applyFill="1" applyAlignment="1" applyProtection="1">
      <alignment horizontal="left"/>
      <protection hidden="1"/>
    </xf>
    <xf numFmtId="0" fontId="2" fillId="27" borderId="0" xfId="0" applyFont="1" applyFill="1" applyAlignment="1" applyProtection="1">
      <alignment horizontal="left"/>
      <protection hidden="1"/>
    </xf>
    <xf numFmtId="0" fontId="7" fillId="27" borderId="52" xfId="0" applyFont="1" applyFill="1" applyBorder="1" applyAlignment="1" applyProtection="1">
      <alignment horizontal="center"/>
      <protection hidden="1"/>
    </xf>
    <xf numFmtId="0" fontId="44" fillId="27" borderId="0" xfId="0" applyFont="1" applyFill="1" applyAlignment="1" applyProtection="1">
      <alignment horizontal="center" vertical="center"/>
      <protection hidden="1"/>
    </xf>
    <xf numFmtId="0" fontId="314" fillId="27" borderId="0" xfId="0" applyFont="1" applyFill="1" applyAlignment="1" applyProtection="1">
      <alignment horizontal="left" vertical="center"/>
      <protection hidden="1"/>
    </xf>
    <xf numFmtId="0" fontId="314" fillId="27" borderId="0" xfId="0" applyFont="1" applyFill="1" applyProtection="1">
      <protection hidden="1"/>
    </xf>
    <xf numFmtId="0" fontId="0" fillId="27" borderId="52" xfId="0" applyFill="1" applyBorder="1" applyAlignment="1" applyProtection="1">
      <alignment vertical="center"/>
      <protection hidden="1"/>
    </xf>
    <xf numFmtId="0" fontId="3" fillId="27" borderId="52" xfId="0" applyFont="1" applyFill="1" applyBorder="1" applyAlignment="1" applyProtection="1">
      <alignment horizontal="left" vertical="center"/>
      <protection hidden="1"/>
    </xf>
    <xf numFmtId="0" fontId="0" fillId="27" borderId="0" xfId="0" applyFill="1" applyAlignment="1" applyProtection="1">
      <alignment vertical="top" wrapText="1"/>
      <protection hidden="1"/>
    </xf>
    <xf numFmtId="0" fontId="44" fillId="27" borderId="0" xfId="0" applyFont="1" applyFill="1" applyAlignment="1" applyProtection="1">
      <alignment horizontal="left" vertical="center"/>
      <protection hidden="1"/>
    </xf>
    <xf numFmtId="0" fontId="0" fillId="27" borderId="49" xfId="0" applyFill="1" applyBorder="1" applyProtection="1">
      <protection hidden="1"/>
    </xf>
    <xf numFmtId="0" fontId="0" fillId="27" borderId="52" xfId="0" applyFill="1" applyBorder="1" applyAlignment="1" applyProtection="1">
      <alignment horizontal="left" vertical="center"/>
      <protection hidden="1"/>
    </xf>
    <xf numFmtId="0" fontId="148" fillId="40" borderId="0" xfId="0" applyFont="1" applyFill="1" applyAlignment="1" applyProtection="1">
      <alignment vertical="center"/>
      <protection hidden="1"/>
    </xf>
    <xf numFmtId="0" fontId="0" fillId="27" borderId="0" xfId="0" applyFill="1" applyAlignment="1" applyProtection="1">
      <alignment horizontal="left" vertical="center"/>
      <protection hidden="1"/>
    </xf>
    <xf numFmtId="0" fontId="313" fillId="27" borderId="50" xfId="0" applyFont="1" applyFill="1" applyBorder="1" applyAlignment="1" applyProtection="1">
      <alignment horizontal="left" indent="1"/>
      <protection hidden="1"/>
    </xf>
    <xf numFmtId="0" fontId="313" fillId="27" borderId="50" xfId="0" applyFont="1" applyFill="1" applyBorder="1" applyProtection="1">
      <protection hidden="1"/>
    </xf>
    <xf numFmtId="0" fontId="313" fillId="27" borderId="0" xfId="0" applyFont="1" applyFill="1" applyAlignment="1" applyProtection="1">
      <alignment horizontal="left" vertical="center"/>
      <protection hidden="1"/>
    </xf>
    <xf numFmtId="0" fontId="44" fillId="0" borderId="0" xfId="0" applyFont="1" applyAlignment="1" applyProtection="1">
      <alignment vertical="top"/>
      <protection hidden="1"/>
    </xf>
    <xf numFmtId="0" fontId="44" fillId="27" borderId="0" xfId="0" applyFont="1" applyFill="1" applyAlignment="1" applyProtection="1">
      <alignment horizontal="left" vertical="top" indent="1"/>
      <protection hidden="1"/>
    </xf>
    <xf numFmtId="0" fontId="44" fillId="27" borderId="0" xfId="0" applyFont="1" applyFill="1" applyAlignment="1" applyProtection="1">
      <alignment horizontal="left" vertical="top"/>
      <protection hidden="1"/>
    </xf>
    <xf numFmtId="0" fontId="44" fillId="27" borderId="53" xfId="0" applyFont="1" applyFill="1" applyBorder="1" applyAlignment="1" applyProtection="1">
      <alignment horizontal="left" vertical="top"/>
      <protection hidden="1"/>
    </xf>
    <xf numFmtId="0" fontId="44" fillId="27" borderId="56" xfId="0" applyFont="1" applyFill="1" applyBorder="1" applyAlignment="1" applyProtection="1">
      <alignment horizontal="left" vertical="top" indent="1"/>
      <protection hidden="1"/>
    </xf>
    <xf numFmtId="0" fontId="44" fillId="27" borderId="56" xfId="0" applyFont="1" applyFill="1" applyBorder="1" applyAlignment="1" applyProtection="1">
      <alignment horizontal="left" vertical="top"/>
      <protection hidden="1"/>
    </xf>
    <xf numFmtId="0" fontId="44" fillId="27" borderId="57" xfId="0" applyFont="1" applyFill="1" applyBorder="1" applyAlignment="1" applyProtection="1">
      <alignment horizontal="left" vertical="top"/>
      <protection hidden="1"/>
    </xf>
    <xf numFmtId="0" fontId="314" fillId="27" borderId="50" xfId="0" applyFont="1" applyFill="1" applyBorder="1" applyProtection="1">
      <protection hidden="1"/>
    </xf>
    <xf numFmtId="0" fontId="44" fillId="27" borderId="52" xfId="0" applyFont="1" applyFill="1" applyBorder="1" applyProtection="1">
      <protection hidden="1"/>
    </xf>
    <xf numFmtId="0" fontId="61" fillId="27" borderId="53" xfId="0" applyFont="1" applyFill="1" applyBorder="1" applyProtection="1">
      <protection hidden="1"/>
    </xf>
    <xf numFmtId="0" fontId="61" fillId="40" borderId="0" xfId="0" applyFont="1" applyFill="1" applyProtection="1">
      <protection hidden="1"/>
    </xf>
    <xf numFmtId="0" fontId="316" fillId="27" borderId="0" xfId="0" applyFont="1" applyFill="1" applyProtection="1">
      <protection hidden="1"/>
    </xf>
    <xf numFmtId="0" fontId="38" fillId="27" borderId="52" xfId="0" applyFont="1" applyFill="1" applyBorder="1" applyProtection="1">
      <protection hidden="1"/>
    </xf>
    <xf numFmtId="0" fontId="313" fillId="27" borderId="0" xfId="0" applyFont="1" applyFill="1" applyProtection="1">
      <protection hidden="1"/>
    </xf>
    <xf numFmtId="0" fontId="7" fillId="44" borderId="0" xfId="0" applyFont="1" applyFill="1" applyAlignment="1" applyProtection="1">
      <alignment horizontal="left" vertical="center" indent="1"/>
      <protection hidden="1"/>
    </xf>
    <xf numFmtId="0" fontId="319" fillId="0" borderId="0" xfId="0" applyFont="1" applyAlignment="1" applyProtection="1">
      <alignment vertical="center"/>
      <protection hidden="1"/>
    </xf>
    <xf numFmtId="0" fontId="320" fillId="0" borderId="0" xfId="0" applyFont="1" applyAlignment="1" applyProtection="1">
      <alignment horizontal="left" vertical="center" indent="1"/>
      <protection hidden="1"/>
    </xf>
    <xf numFmtId="0" fontId="320" fillId="0" borderId="0" xfId="0" applyFont="1" applyAlignment="1" applyProtection="1">
      <alignment horizontal="left" vertical="center"/>
      <protection hidden="1"/>
    </xf>
    <xf numFmtId="0" fontId="54" fillId="27" borderId="56" xfId="0" applyFont="1" applyFill="1" applyBorder="1" applyAlignment="1" applyProtection="1">
      <alignment vertical="top" wrapText="1"/>
      <protection hidden="1"/>
    </xf>
    <xf numFmtId="0" fontId="321" fillId="4" borderId="0" xfId="0" applyFont="1" applyFill="1" applyAlignment="1" applyProtection="1">
      <alignment horizontal="left" vertical="top"/>
      <protection hidden="1"/>
    </xf>
    <xf numFmtId="0" fontId="317" fillId="27" borderId="0" xfId="0" applyFont="1" applyFill="1" applyAlignment="1" applyProtection="1">
      <alignment horizontal="left" vertical="center"/>
      <protection hidden="1"/>
    </xf>
    <xf numFmtId="0" fontId="9" fillId="27" borderId="0" xfId="0" applyFont="1" applyFill="1" applyAlignment="1" applyProtection="1">
      <alignment horizontal="left" vertical="center"/>
      <protection hidden="1"/>
    </xf>
    <xf numFmtId="0" fontId="0" fillId="27" borderId="52" xfId="0" applyFill="1" applyBorder="1" applyAlignment="1" applyProtection="1">
      <alignment horizontal="left" indent="2"/>
      <protection hidden="1"/>
    </xf>
    <xf numFmtId="0" fontId="44" fillId="27" borderId="0" xfId="0" applyFont="1" applyFill="1" applyAlignment="1" applyProtection="1">
      <alignment horizontal="left" indent="3"/>
      <protection hidden="1"/>
    </xf>
    <xf numFmtId="0" fontId="0" fillId="27" borderId="52" xfId="0" applyFill="1" applyBorder="1" applyAlignment="1" applyProtection="1">
      <alignment horizontal="left" vertical="top" indent="2"/>
      <protection hidden="1"/>
    </xf>
    <xf numFmtId="0" fontId="44" fillId="27" borderId="0" xfId="0" applyFont="1" applyFill="1" applyAlignment="1" applyProtection="1">
      <alignment vertical="top"/>
      <protection hidden="1"/>
    </xf>
    <xf numFmtId="0" fontId="44" fillId="27" borderId="0" xfId="0" applyFont="1" applyFill="1" applyProtection="1">
      <protection hidden="1"/>
    </xf>
    <xf numFmtId="0" fontId="323" fillId="52" borderId="0" xfId="0" applyFont="1" applyFill="1" applyAlignment="1" applyProtection="1">
      <alignment vertical="center"/>
      <protection hidden="1"/>
    </xf>
    <xf numFmtId="0" fontId="324" fillId="52" borderId="0" xfId="0" applyFont="1" applyFill="1" applyAlignment="1" applyProtection="1">
      <alignment vertical="center" wrapText="1"/>
      <protection hidden="1"/>
    </xf>
    <xf numFmtId="0" fontId="324" fillId="52" borderId="56" xfId="0" applyFont="1" applyFill="1" applyBorder="1" applyAlignment="1" applyProtection="1">
      <alignment vertical="center" wrapText="1"/>
      <protection hidden="1"/>
    </xf>
    <xf numFmtId="0" fontId="141" fillId="28" borderId="49" xfId="0" applyFont="1" applyFill="1" applyBorder="1" applyAlignment="1" applyProtection="1">
      <alignment horizontal="center" vertical="center"/>
      <protection hidden="1"/>
    </xf>
    <xf numFmtId="0" fontId="141" fillId="28" borderId="50" xfId="0" applyFont="1" applyFill="1" applyBorder="1" applyAlignment="1" applyProtection="1">
      <alignment horizontal="center" vertical="center"/>
      <protection hidden="1"/>
    </xf>
    <xf numFmtId="0" fontId="141" fillId="28" borderId="51" xfId="0" applyFont="1" applyFill="1" applyBorder="1" applyAlignment="1" applyProtection="1">
      <alignment horizontal="center" vertical="center"/>
      <protection hidden="1"/>
    </xf>
    <xf numFmtId="0" fontId="141" fillId="28" borderId="52" xfId="0" applyFont="1" applyFill="1" applyBorder="1" applyAlignment="1" applyProtection="1">
      <alignment horizontal="center" vertical="center"/>
      <protection hidden="1"/>
    </xf>
    <xf numFmtId="0" fontId="141" fillId="28" borderId="0" xfId="0" applyFont="1" applyFill="1" applyAlignment="1" applyProtection="1">
      <alignment horizontal="center" vertical="center"/>
      <protection hidden="1"/>
    </xf>
    <xf numFmtId="0" fontId="141" fillId="28" borderId="53" xfId="0" applyFont="1" applyFill="1" applyBorder="1" applyAlignment="1" applyProtection="1">
      <alignment horizontal="center" vertical="center"/>
      <protection hidden="1"/>
    </xf>
    <xf numFmtId="0" fontId="141" fillId="28" borderId="55" xfId="0" applyFont="1" applyFill="1" applyBorder="1" applyAlignment="1" applyProtection="1">
      <alignment horizontal="center" vertical="center"/>
      <protection hidden="1"/>
    </xf>
    <xf numFmtId="0" fontId="141" fillId="28" borderId="56" xfId="0" applyFont="1" applyFill="1" applyBorder="1" applyAlignment="1" applyProtection="1">
      <alignment horizontal="center" vertical="center"/>
      <protection hidden="1"/>
    </xf>
    <xf numFmtId="0" fontId="141" fillId="28" borderId="57" xfId="0" applyFont="1" applyFill="1" applyBorder="1" applyAlignment="1" applyProtection="1">
      <alignment horizontal="center" vertical="center"/>
      <protection hidden="1"/>
    </xf>
    <xf numFmtId="0" fontId="74" fillId="28" borderId="0" xfId="0" applyFont="1" applyFill="1" applyAlignment="1" applyProtection="1">
      <alignment horizontal="center" vertical="center"/>
      <protection hidden="1"/>
    </xf>
    <xf numFmtId="0" fontId="0" fillId="27" borderId="49" xfId="0" applyFill="1" applyBorder="1" applyAlignment="1" applyProtection="1">
      <alignment horizontal="center" vertical="top" wrapText="1"/>
      <protection hidden="1"/>
    </xf>
    <xf numFmtId="0" fontId="0" fillId="27" borderId="50" xfId="0" applyFill="1" applyBorder="1" applyAlignment="1" applyProtection="1">
      <alignment horizontal="center" vertical="top" wrapText="1"/>
      <protection hidden="1"/>
    </xf>
    <xf numFmtId="0" fontId="0" fillId="27" borderId="51" xfId="0" applyFill="1" applyBorder="1" applyAlignment="1" applyProtection="1">
      <alignment horizontal="center" vertical="top" wrapText="1"/>
      <protection hidden="1"/>
    </xf>
    <xf numFmtId="0" fontId="0" fillId="27" borderId="52" xfId="0" applyFill="1" applyBorder="1" applyAlignment="1" applyProtection="1">
      <alignment horizontal="center" vertical="top" wrapText="1"/>
      <protection hidden="1"/>
    </xf>
    <xf numFmtId="0" fontId="0" fillId="27" borderId="0" xfId="0" applyFill="1" applyAlignment="1" applyProtection="1">
      <alignment horizontal="center" vertical="top" wrapText="1"/>
      <protection hidden="1"/>
    </xf>
    <xf numFmtId="0" fontId="0" fillId="27" borderId="53" xfId="0" applyFill="1" applyBorder="1" applyAlignment="1" applyProtection="1">
      <alignment horizontal="center" vertical="top" wrapText="1"/>
      <protection hidden="1"/>
    </xf>
    <xf numFmtId="0" fontId="0" fillId="27" borderId="55" xfId="0" applyFill="1" applyBorder="1" applyAlignment="1" applyProtection="1">
      <alignment horizontal="center" vertical="top" wrapText="1"/>
      <protection hidden="1"/>
    </xf>
    <xf numFmtId="0" fontId="0" fillId="27" borderId="56" xfId="0" applyFill="1" applyBorder="1" applyAlignment="1" applyProtection="1">
      <alignment horizontal="center" vertical="top" wrapText="1"/>
      <protection hidden="1"/>
    </xf>
    <xf numFmtId="0" fontId="0" fillId="27" borderId="57" xfId="0" applyFill="1" applyBorder="1" applyAlignment="1" applyProtection="1">
      <alignment horizontal="center" vertical="top" wrapText="1"/>
      <protection hidden="1"/>
    </xf>
    <xf numFmtId="0" fontId="155" fillId="4" borderId="246" xfId="0" applyFont="1" applyFill="1" applyBorder="1" applyAlignment="1" applyProtection="1">
      <alignment horizontal="left" vertical="center" indent="1"/>
      <protection hidden="1"/>
    </xf>
    <xf numFmtId="0" fontId="155" fillId="4" borderId="50" xfId="0" applyFont="1" applyFill="1" applyBorder="1" applyAlignment="1" applyProtection="1">
      <alignment horizontal="left" vertical="center" indent="1"/>
      <protection hidden="1"/>
    </xf>
    <xf numFmtId="0" fontId="155" fillId="4" borderId="250" xfId="0" applyFont="1" applyFill="1" applyBorder="1" applyAlignment="1" applyProtection="1">
      <alignment horizontal="left" vertical="center" indent="1"/>
      <protection hidden="1"/>
    </xf>
    <xf numFmtId="0" fontId="155" fillId="4" borderId="7" xfId="0" applyFont="1" applyFill="1" applyBorder="1" applyAlignment="1" applyProtection="1">
      <alignment horizontal="left" vertical="center" indent="1"/>
      <protection hidden="1"/>
    </xf>
    <xf numFmtId="0" fontId="155" fillId="4" borderId="0" xfId="0" applyFont="1" applyFill="1" applyAlignment="1" applyProtection="1">
      <alignment horizontal="left" vertical="center" indent="1"/>
      <protection hidden="1"/>
    </xf>
    <xf numFmtId="0" fontId="155" fillId="4" borderId="46" xfId="0" applyFont="1" applyFill="1" applyBorder="1" applyAlignment="1" applyProtection="1">
      <alignment horizontal="left" vertical="center" indent="1"/>
      <protection hidden="1"/>
    </xf>
    <xf numFmtId="0" fontId="155" fillId="4" borderId="245" xfId="0" applyFont="1" applyFill="1" applyBorder="1" applyAlignment="1" applyProtection="1">
      <alignment horizontal="left" vertical="center" indent="1"/>
      <protection hidden="1"/>
    </xf>
    <xf numFmtId="0" fontId="155" fillId="4" borderId="56" xfId="0" applyFont="1" applyFill="1" applyBorder="1" applyAlignment="1" applyProtection="1">
      <alignment horizontal="left" vertical="center" indent="1"/>
      <protection hidden="1"/>
    </xf>
    <xf numFmtId="0" fontId="155" fillId="4" borderId="249" xfId="0" applyFont="1" applyFill="1" applyBorder="1" applyAlignment="1" applyProtection="1">
      <alignment horizontal="left" vertical="center" indent="1"/>
      <protection hidden="1"/>
    </xf>
    <xf numFmtId="0" fontId="155" fillId="4" borderId="246" xfId="0" applyFont="1" applyFill="1" applyBorder="1" applyAlignment="1" applyProtection="1">
      <alignment horizontal="left" vertical="center" wrapText="1" indent="1"/>
      <protection hidden="1"/>
    </xf>
    <xf numFmtId="0" fontId="155" fillId="4" borderId="250" xfId="0" applyFont="1" applyFill="1" applyBorder="1" applyAlignment="1" applyProtection="1">
      <alignment horizontal="left" vertical="center" wrapText="1" indent="1"/>
      <protection hidden="1"/>
    </xf>
    <xf numFmtId="0" fontId="155" fillId="4" borderId="7" xfId="0" applyFont="1" applyFill="1" applyBorder="1" applyAlignment="1" applyProtection="1">
      <alignment horizontal="left" vertical="center" wrapText="1" indent="1"/>
      <protection hidden="1"/>
    </xf>
    <xf numFmtId="0" fontId="155" fillId="4" borderId="46" xfId="0" applyFont="1" applyFill="1" applyBorder="1" applyAlignment="1" applyProtection="1">
      <alignment horizontal="left" vertical="center" wrapText="1" indent="1"/>
      <protection hidden="1"/>
    </xf>
    <xf numFmtId="0" fontId="155" fillId="4" borderId="245" xfId="0" applyFont="1" applyFill="1" applyBorder="1" applyAlignment="1" applyProtection="1">
      <alignment horizontal="left" vertical="center" wrapText="1" indent="1"/>
      <protection hidden="1"/>
    </xf>
    <xf numFmtId="0" fontId="155" fillId="4" borderId="249" xfId="0" applyFont="1" applyFill="1" applyBorder="1" applyAlignment="1" applyProtection="1">
      <alignment horizontal="left" vertical="center" wrapText="1" indent="1"/>
      <protection hidden="1"/>
    </xf>
    <xf numFmtId="0" fontId="155" fillId="4" borderId="51" xfId="0" applyFont="1" applyFill="1" applyBorder="1" applyAlignment="1" applyProtection="1">
      <alignment horizontal="left" vertical="center" indent="1"/>
      <protection hidden="1"/>
    </xf>
    <xf numFmtId="0" fontId="155" fillId="4" borderId="53" xfId="0" applyFont="1" applyFill="1" applyBorder="1" applyAlignment="1" applyProtection="1">
      <alignment horizontal="left" vertical="center" indent="1"/>
      <protection hidden="1"/>
    </xf>
    <xf numFmtId="0" fontId="155" fillId="4" borderId="57" xfId="0" applyFont="1" applyFill="1" applyBorder="1" applyAlignment="1" applyProtection="1">
      <alignment horizontal="left" vertical="center" indent="1"/>
      <protection hidden="1"/>
    </xf>
    <xf numFmtId="0" fontId="173" fillId="4" borderId="50" xfId="0" applyFont="1" applyFill="1" applyBorder="1" applyAlignment="1" applyProtection="1">
      <alignment horizontal="left" vertical="center" wrapText="1" indent="1"/>
      <protection hidden="1"/>
    </xf>
    <xf numFmtId="0" fontId="174" fillId="4" borderId="50" xfId="0" applyFont="1" applyFill="1" applyBorder="1" applyAlignment="1" applyProtection="1">
      <alignment horizontal="left" vertical="center" wrapText="1" indent="1"/>
      <protection hidden="1"/>
    </xf>
    <xf numFmtId="0" fontId="173" fillId="4" borderId="0" xfId="0" applyFont="1" applyFill="1" applyAlignment="1" applyProtection="1">
      <alignment horizontal="left" vertical="center" wrapText="1" indent="1"/>
      <protection hidden="1"/>
    </xf>
    <xf numFmtId="0" fontId="174" fillId="4" borderId="0" xfId="0" applyFont="1" applyFill="1" applyAlignment="1" applyProtection="1">
      <alignment horizontal="left" vertical="center" wrapText="1" indent="1"/>
      <protection hidden="1"/>
    </xf>
    <xf numFmtId="0" fontId="44" fillId="4" borderId="7" xfId="0" applyFont="1" applyFill="1" applyBorder="1" applyAlignment="1" applyProtection="1">
      <alignment horizontal="left" vertical="top" wrapText="1" indent="1"/>
      <protection hidden="1"/>
    </xf>
    <xf numFmtId="0" fontId="44" fillId="4" borderId="0" xfId="0" applyFont="1" applyFill="1" applyAlignment="1" applyProtection="1">
      <alignment horizontal="left" vertical="top" wrapText="1" indent="1"/>
      <protection hidden="1"/>
    </xf>
    <xf numFmtId="0" fontId="44" fillId="4" borderId="46" xfId="0" applyFont="1" applyFill="1" applyBorder="1" applyAlignment="1" applyProtection="1">
      <alignment horizontal="left" vertical="top" wrapText="1" indent="1"/>
      <protection hidden="1"/>
    </xf>
    <xf numFmtId="0" fontId="44" fillId="4" borderId="53" xfId="0" applyFont="1" applyFill="1" applyBorder="1" applyAlignment="1" applyProtection="1">
      <alignment horizontal="left" vertical="top" indent="1"/>
      <protection hidden="1"/>
    </xf>
    <xf numFmtId="0" fontId="155" fillId="4" borderId="49" xfId="0" applyFont="1" applyFill="1" applyBorder="1" applyAlignment="1" applyProtection="1">
      <alignment horizontal="left" vertical="center" indent="1"/>
      <protection hidden="1"/>
    </xf>
    <xf numFmtId="0" fontId="155" fillId="4" borderId="52" xfId="0" applyFont="1" applyFill="1" applyBorder="1" applyAlignment="1" applyProtection="1">
      <alignment horizontal="left" vertical="center" indent="1"/>
      <protection hidden="1"/>
    </xf>
    <xf numFmtId="0" fontId="155" fillId="4" borderId="55" xfId="0" applyFont="1" applyFill="1" applyBorder="1" applyAlignment="1" applyProtection="1">
      <alignment horizontal="left" vertical="center" indent="1"/>
      <protection hidden="1"/>
    </xf>
    <xf numFmtId="0" fontId="168" fillId="4" borderId="0" xfId="0" applyFont="1" applyFill="1" applyAlignment="1" applyProtection="1">
      <alignment horizontal="left" vertical="center" wrapText="1" indent="1"/>
      <protection hidden="1"/>
    </xf>
    <xf numFmtId="0" fontId="168" fillId="4" borderId="56" xfId="0" applyFont="1" applyFill="1" applyBorder="1" applyAlignment="1" applyProtection="1">
      <alignment horizontal="left" vertical="center" wrapText="1" indent="1"/>
      <protection hidden="1"/>
    </xf>
    <xf numFmtId="0" fontId="44" fillId="4" borderId="245" xfId="0" applyFont="1" applyFill="1" applyBorder="1" applyAlignment="1" applyProtection="1">
      <alignment horizontal="left" vertical="top" wrapText="1" indent="1"/>
      <protection hidden="1"/>
    </xf>
    <xf numFmtId="0" fontId="44" fillId="4" borderId="56" xfId="0" applyFont="1" applyFill="1" applyBorder="1" applyAlignment="1" applyProtection="1">
      <alignment horizontal="left" vertical="top" wrapText="1" indent="1"/>
      <protection hidden="1"/>
    </xf>
    <xf numFmtId="0" fontId="44" fillId="4" borderId="249" xfId="0" applyFont="1" applyFill="1" applyBorder="1" applyAlignment="1" applyProtection="1">
      <alignment horizontal="left" vertical="top" wrapText="1" indent="1"/>
      <protection hidden="1"/>
    </xf>
    <xf numFmtId="0" fontId="44" fillId="4" borderId="53" xfId="0" applyFont="1" applyFill="1" applyBorder="1" applyAlignment="1" applyProtection="1">
      <alignment horizontal="left" vertical="top" wrapText="1" indent="1"/>
      <protection hidden="1"/>
    </xf>
    <xf numFmtId="0" fontId="44" fillId="4" borderId="57" xfId="0" applyFont="1" applyFill="1" applyBorder="1" applyAlignment="1" applyProtection="1">
      <alignment horizontal="left" vertical="top" wrapText="1" indent="1"/>
      <protection hidden="1"/>
    </xf>
    <xf numFmtId="0" fontId="168" fillId="4" borderId="2" xfId="0" applyFont="1" applyFill="1" applyBorder="1" applyAlignment="1" applyProtection="1">
      <alignment horizontal="left" vertical="center" wrapText="1" indent="1"/>
      <protection hidden="1"/>
    </xf>
    <xf numFmtId="0" fontId="168" fillId="4" borderId="8" xfId="0" applyFont="1" applyFill="1" applyBorder="1" applyAlignment="1" applyProtection="1">
      <alignment horizontal="left" vertical="center" wrapText="1" indent="1"/>
      <protection hidden="1"/>
    </xf>
    <xf numFmtId="0" fontId="44" fillId="4" borderId="4" xfId="0" applyFont="1" applyFill="1" applyBorder="1" applyAlignment="1" applyProtection="1">
      <alignment horizontal="left" vertical="top" wrapText="1" indent="1"/>
      <protection hidden="1"/>
    </xf>
    <xf numFmtId="0" fontId="44" fillId="4" borderId="8" xfId="0" applyFont="1" applyFill="1" applyBorder="1" applyAlignment="1" applyProtection="1">
      <alignment horizontal="left" vertical="top" wrapText="1" indent="1"/>
      <protection hidden="1"/>
    </xf>
    <xf numFmtId="0" fontId="44" fillId="4" borderId="5" xfId="0" applyFont="1" applyFill="1" applyBorder="1" applyAlignment="1" applyProtection="1">
      <alignment horizontal="left" vertical="top" wrapText="1" indent="1"/>
      <protection hidden="1"/>
    </xf>
    <xf numFmtId="0" fontId="44" fillId="4" borderId="247" xfId="0" applyFont="1" applyFill="1" applyBorder="1" applyAlignment="1" applyProtection="1">
      <alignment horizontal="left" vertical="top" indent="1"/>
      <protection hidden="1"/>
    </xf>
    <xf numFmtId="0" fontId="44" fillId="27" borderId="0" xfId="0" applyFont="1" applyFill="1" applyAlignment="1" applyProtection="1">
      <alignment horizontal="right" vertical="top" wrapText="1" indent="1"/>
      <protection hidden="1"/>
    </xf>
    <xf numFmtId="0" fontId="38" fillId="27" borderId="0" xfId="0" applyFont="1" applyFill="1" applyAlignment="1" applyProtection="1">
      <alignment horizontal="left" vertical="top" wrapText="1" indent="2"/>
      <protection hidden="1"/>
    </xf>
    <xf numFmtId="0" fontId="54" fillId="27" borderId="0" xfId="0" applyFont="1" applyFill="1" applyAlignment="1" applyProtection="1">
      <alignment horizontal="right" wrapText="1"/>
      <protection hidden="1"/>
    </xf>
    <xf numFmtId="0" fontId="0" fillId="27" borderId="0" xfId="0" applyFill="1" applyAlignment="1" applyProtection="1">
      <alignment horizontal="left" vertical="top" wrapText="1" indent="4"/>
      <protection hidden="1"/>
    </xf>
    <xf numFmtId="0" fontId="0" fillId="27" borderId="7" xfId="0" applyFill="1" applyBorder="1" applyAlignment="1" applyProtection="1">
      <alignment horizontal="left" vertical="top" wrapText="1" indent="2"/>
      <protection hidden="1"/>
    </xf>
    <xf numFmtId="0" fontId="0" fillId="27" borderId="0" xfId="0" applyFill="1" applyAlignment="1" applyProtection="1">
      <alignment horizontal="left" vertical="top" wrapText="1" indent="2"/>
      <protection hidden="1"/>
    </xf>
    <xf numFmtId="0" fontId="0" fillId="27" borderId="0" xfId="0" applyFill="1" applyAlignment="1" applyProtection="1">
      <alignment horizontal="left" vertical="top" wrapText="1"/>
      <protection hidden="1"/>
    </xf>
    <xf numFmtId="0" fontId="0" fillId="27" borderId="0" xfId="0" applyFill="1" applyAlignment="1" applyProtection="1">
      <alignment horizontal="right" vertical="top" wrapText="1" indent="1"/>
      <protection hidden="1"/>
    </xf>
    <xf numFmtId="0" fontId="123" fillId="27" borderId="0" xfId="3" applyFill="1" applyBorder="1" applyAlignment="1" applyProtection="1">
      <alignment horizontal="left" vertical="top" wrapText="1"/>
      <protection locked="0" hidden="1"/>
    </xf>
    <xf numFmtId="0" fontId="10" fillId="29" borderId="0" xfId="0" applyFont="1" applyFill="1" applyAlignment="1" applyProtection="1">
      <alignment horizontal="center" vertical="center" wrapText="1"/>
      <protection hidden="1"/>
    </xf>
    <xf numFmtId="0" fontId="0" fillId="27" borderId="0" xfId="0" applyFill="1" applyAlignment="1" applyProtection="1">
      <alignment horizontal="left" vertical="center" wrapText="1" indent="4"/>
      <protection hidden="1"/>
    </xf>
    <xf numFmtId="0" fontId="97" fillId="27" borderId="0" xfId="0" applyFont="1" applyFill="1" applyAlignment="1" applyProtection="1">
      <alignment horizontal="left" vertical="center" wrapText="1"/>
      <protection hidden="1"/>
    </xf>
    <xf numFmtId="0" fontId="0" fillId="27" borderId="0" xfId="0" applyFill="1" applyAlignment="1" applyProtection="1">
      <alignment horizontal="left" vertical="top" wrapText="1" indent="1"/>
      <protection hidden="1"/>
    </xf>
    <xf numFmtId="0" fontId="44" fillId="27" borderId="7" xfId="0" applyFont="1" applyFill="1" applyBorder="1" applyAlignment="1" applyProtection="1">
      <alignment horizontal="left" vertical="top" wrapText="1" indent="2"/>
      <protection hidden="1"/>
    </xf>
    <xf numFmtId="0" fontId="44" fillId="27" borderId="0" xfId="0" applyFont="1" applyFill="1" applyAlignment="1" applyProtection="1">
      <alignment horizontal="left" vertical="top" wrapText="1" indent="2"/>
      <protection hidden="1"/>
    </xf>
    <xf numFmtId="0" fontId="282" fillId="0" borderId="0" xfId="0" applyFont="1" applyAlignment="1" applyProtection="1">
      <alignment horizontal="right" vertical="center" wrapText="1"/>
      <protection hidden="1"/>
    </xf>
    <xf numFmtId="0" fontId="282" fillId="0" borderId="0" xfId="0" applyFont="1" applyAlignment="1" applyProtection="1">
      <alignment horizontal="right" vertical="center"/>
      <protection hidden="1"/>
    </xf>
    <xf numFmtId="0" fontId="44" fillId="27" borderId="46" xfId="0" applyFont="1" applyFill="1" applyBorder="1" applyAlignment="1" applyProtection="1">
      <alignment horizontal="right" vertical="top" wrapText="1" indent="1"/>
      <protection hidden="1"/>
    </xf>
    <xf numFmtId="0" fontId="0" fillId="27" borderId="46" xfId="0" applyFill="1" applyBorder="1" applyAlignment="1" applyProtection="1">
      <alignment horizontal="right" vertical="top" wrapText="1" indent="1"/>
      <protection hidden="1"/>
    </xf>
    <xf numFmtId="0" fontId="38" fillId="27" borderId="7" xfId="0" applyFont="1" applyFill="1" applyBorder="1" applyAlignment="1" applyProtection="1">
      <alignment horizontal="left" vertical="top" wrapText="1" indent="2"/>
      <protection hidden="1"/>
    </xf>
    <xf numFmtId="0" fontId="10" fillId="21" borderId="0" xfId="0" applyFont="1" applyFill="1" applyAlignment="1" applyProtection="1">
      <alignment horizontal="center" vertical="center" wrapText="1"/>
      <protection hidden="1"/>
    </xf>
    <xf numFmtId="0" fontId="10" fillId="28" borderId="0" xfId="0" applyFont="1" applyFill="1" applyAlignment="1" applyProtection="1">
      <alignment horizontal="center" vertical="center"/>
      <protection hidden="1"/>
    </xf>
    <xf numFmtId="0" fontId="10" fillId="29" borderId="0" xfId="0" applyFont="1" applyFill="1" applyAlignment="1" applyProtection="1">
      <alignment horizontal="center" vertical="center"/>
      <protection hidden="1"/>
    </xf>
    <xf numFmtId="0" fontId="9" fillId="27" borderId="0" xfId="0" applyFont="1" applyFill="1" applyAlignment="1" applyProtection="1">
      <alignment horizontal="left" vertical="top" wrapText="1" indent="1"/>
      <protection hidden="1"/>
    </xf>
    <xf numFmtId="0" fontId="0" fillId="27" borderId="0" xfId="0" applyFill="1" applyAlignment="1" applyProtection="1">
      <alignment horizontal="left" vertical="top" wrapText="1" indent="10"/>
      <protection hidden="1"/>
    </xf>
    <xf numFmtId="0" fontId="0" fillId="27" borderId="0" xfId="0" applyFill="1" applyAlignment="1" applyProtection="1">
      <alignment horizontal="left" vertical="top" indent="10"/>
      <protection hidden="1"/>
    </xf>
    <xf numFmtId="0" fontId="9" fillId="27" borderId="7" xfId="0" applyFont="1" applyFill="1" applyBorder="1" applyAlignment="1" applyProtection="1">
      <alignment horizontal="left" vertical="top" wrapText="1" indent="2"/>
      <protection hidden="1"/>
    </xf>
    <xf numFmtId="0" fontId="9" fillId="27" borderId="0" xfId="0" applyFont="1" applyFill="1" applyAlignment="1" applyProtection="1">
      <alignment horizontal="left" vertical="top" wrapText="1" indent="2"/>
      <protection hidden="1"/>
    </xf>
    <xf numFmtId="0" fontId="97" fillId="27" borderId="0" xfId="0" applyFont="1" applyFill="1" applyAlignment="1" applyProtection="1">
      <alignment horizontal="left" vertical="top" wrapText="1"/>
      <protection hidden="1"/>
    </xf>
    <xf numFmtId="0" fontId="144" fillId="23" borderId="58" xfId="0" applyFont="1" applyFill="1" applyBorder="1" applyAlignment="1" applyProtection="1">
      <alignment horizontal="left" vertical="center" wrapText="1" indent="1"/>
      <protection locked="0"/>
    </xf>
    <xf numFmtId="0" fontId="144" fillId="23" borderId="59" xfId="0" applyFont="1" applyFill="1" applyBorder="1" applyAlignment="1" applyProtection="1">
      <alignment horizontal="left" vertical="center" wrapText="1" indent="1"/>
      <protection locked="0"/>
    </xf>
    <xf numFmtId="0" fontId="144" fillId="23" borderId="58" xfId="1" applyFont="1" applyFill="1" applyBorder="1" applyAlignment="1" applyProtection="1">
      <alignment horizontal="left" vertical="center" wrapText="1" indent="1"/>
      <protection locked="0"/>
    </xf>
    <xf numFmtId="0" fontId="144" fillId="23" borderId="59" xfId="1" applyFont="1" applyFill="1" applyBorder="1" applyAlignment="1" applyProtection="1">
      <alignment horizontal="left" vertical="center" wrapText="1" indent="1"/>
      <protection locked="0"/>
    </xf>
    <xf numFmtId="0" fontId="5" fillId="27" borderId="0" xfId="0" applyFont="1" applyFill="1" applyAlignment="1" applyProtection="1">
      <alignment horizontal="center" vertical="top"/>
      <protection hidden="1"/>
    </xf>
    <xf numFmtId="0" fontId="144" fillId="31" borderId="58" xfId="0" applyFont="1" applyFill="1" applyBorder="1" applyAlignment="1" applyProtection="1">
      <alignment horizontal="left" vertical="center" wrapText="1" indent="1"/>
      <protection locked="0"/>
    </xf>
    <xf numFmtId="0" fontId="144" fillId="31" borderId="59" xfId="0" applyFont="1" applyFill="1" applyBorder="1" applyAlignment="1" applyProtection="1">
      <alignment horizontal="left" vertical="center" wrapText="1" indent="1"/>
      <protection locked="0"/>
    </xf>
    <xf numFmtId="0" fontId="162" fillId="4" borderId="7" xfId="0" applyFont="1" applyFill="1" applyBorder="1" applyAlignment="1" applyProtection="1">
      <alignment horizontal="right" vertical="center" wrapText="1" indent="1"/>
      <protection hidden="1"/>
    </xf>
    <xf numFmtId="0" fontId="144" fillId="31" borderId="58" xfId="1" applyFont="1" applyFill="1" applyBorder="1" applyAlignment="1" applyProtection="1">
      <alignment horizontal="left" vertical="center" wrapText="1" indent="1"/>
      <protection locked="0"/>
    </xf>
    <xf numFmtId="0" fontId="144" fillId="31" borderId="59" xfId="1" applyFont="1" applyFill="1" applyBorder="1" applyAlignment="1" applyProtection="1">
      <alignment horizontal="left" vertical="center" wrapText="1" indent="1"/>
      <protection locked="0"/>
    </xf>
    <xf numFmtId="0" fontId="35" fillId="4" borderId="7" xfId="0" applyFont="1" applyFill="1" applyBorder="1" applyAlignment="1" applyProtection="1">
      <alignment horizontal="left" vertical="center" wrapText="1" indent="2"/>
      <protection hidden="1"/>
    </xf>
    <xf numFmtId="0" fontId="35" fillId="4" borderId="0" xfId="0" applyFont="1" applyFill="1" applyAlignment="1" applyProtection="1">
      <alignment horizontal="left" vertical="center" wrapText="1" indent="2"/>
      <protection hidden="1"/>
    </xf>
    <xf numFmtId="0" fontId="148" fillId="4" borderId="4" xfId="0" applyFont="1" applyFill="1" applyBorder="1" applyAlignment="1" applyProtection="1">
      <alignment horizontal="left" vertical="top" wrapText="1" indent="2"/>
      <protection hidden="1"/>
    </xf>
    <xf numFmtId="0" fontId="148" fillId="4" borderId="8" xfId="0" applyFont="1" applyFill="1" applyBorder="1" applyAlignment="1" applyProtection="1">
      <alignment horizontal="left" vertical="top" wrapText="1" indent="2"/>
      <protection hidden="1"/>
    </xf>
    <xf numFmtId="0" fontId="6" fillId="23" borderId="58" xfId="0" applyFont="1" applyFill="1" applyBorder="1" applyAlignment="1" applyProtection="1">
      <alignment horizontal="left" vertical="center" wrapText="1" indent="1"/>
      <protection locked="0"/>
    </xf>
    <xf numFmtId="0" fontId="6" fillId="23" borderId="48" xfId="0" applyFont="1" applyFill="1" applyBorder="1" applyAlignment="1" applyProtection="1">
      <alignment horizontal="left" vertical="center" wrapText="1" indent="1"/>
      <protection locked="0"/>
    </xf>
    <xf numFmtId="0" fontId="6" fillId="23" borderId="59" xfId="0" applyFont="1" applyFill="1" applyBorder="1" applyAlignment="1" applyProtection="1">
      <alignment horizontal="left" vertical="center" wrapText="1" indent="1"/>
      <protection locked="0"/>
    </xf>
    <xf numFmtId="0" fontId="38" fillId="27" borderId="0" xfId="0" applyFont="1" applyFill="1" applyAlignment="1" applyProtection="1">
      <alignment horizontal="left" vertical="center" wrapText="1" indent="3"/>
      <protection hidden="1"/>
    </xf>
    <xf numFmtId="0" fontId="160" fillId="4" borderId="3" xfId="0" applyFont="1" applyFill="1" applyBorder="1" applyAlignment="1" applyProtection="1">
      <alignment horizontal="left" wrapText="1" indent="2"/>
      <protection hidden="1"/>
    </xf>
    <xf numFmtId="0" fontId="160" fillId="4" borderId="2" xfId="0" applyFont="1" applyFill="1" applyBorder="1" applyAlignment="1" applyProtection="1">
      <alignment horizontal="left" wrapText="1" indent="2"/>
      <protection hidden="1"/>
    </xf>
    <xf numFmtId="0" fontId="0" fillId="4" borderId="7" xfId="0" applyFill="1" applyBorder="1" applyAlignment="1" applyProtection="1">
      <alignment horizontal="left" wrapText="1" indent="2"/>
      <protection hidden="1"/>
    </xf>
    <xf numFmtId="0" fontId="0" fillId="4" borderId="0" xfId="0" applyFill="1" applyAlignment="1" applyProtection="1">
      <alignment horizontal="left" wrapText="1" indent="2"/>
      <protection hidden="1"/>
    </xf>
    <xf numFmtId="0" fontId="35" fillId="4" borderId="7" xfId="0" applyFont="1" applyFill="1" applyBorder="1" applyAlignment="1" applyProtection="1">
      <alignment horizontal="left" wrapText="1" indent="2"/>
      <protection hidden="1"/>
    </xf>
    <xf numFmtId="0" fontId="35" fillId="4" borderId="0" xfId="0" applyFont="1" applyFill="1" applyAlignment="1" applyProtection="1">
      <alignment horizontal="left" wrapText="1" indent="2"/>
      <protection hidden="1"/>
    </xf>
    <xf numFmtId="0" fontId="44" fillId="4" borderId="7" xfId="0" applyFont="1" applyFill="1" applyBorder="1" applyAlignment="1" applyProtection="1">
      <alignment horizontal="right" vertical="center" wrapText="1" indent="2"/>
      <protection hidden="1"/>
    </xf>
    <xf numFmtId="0" fontId="44" fillId="4" borderId="0" xfId="0" applyFont="1" applyFill="1" applyAlignment="1" applyProtection="1">
      <alignment horizontal="right" vertical="center" wrapText="1" indent="2"/>
      <protection hidden="1"/>
    </xf>
    <xf numFmtId="0" fontId="5" fillId="30" borderId="58" xfId="0" applyFont="1" applyFill="1" applyBorder="1" applyAlignment="1" applyProtection="1">
      <alignment horizontal="center" vertical="center" wrapText="1"/>
      <protection locked="0"/>
    </xf>
    <xf numFmtId="0" fontId="5" fillId="30" borderId="59" xfId="0" applyFont="1" applyFill="1" applyBorder="1" applyAlignment="1" applyProtection="1">
      <alignment horizontal="center" vertical="center" wrapText="1"/>
      <protection locked="0"/>
    </xf>
    <xf numFmtId="0" fontId="0" fillId="4" borderId="7" xfId="0" applyFill="1" applyBorder="1" applyAlignment="1" applyProtection="1">
      <alignment horizontal="left" vertical="center" wrapText="1" indent="2"/>
      <protection hidden="1"/>
    </xf>
    <xf numFmtId="0" fontId="0" fillId="4" borderId="0" xfId="0" applyFill="1" applyAlignment="1" applyProtection="1">
      <alignment horizontal="left" vertical="center" wrapText="1" indent="2"/>
      <protection hidden="1"/>
    </xf>
    <xf numFmtId="0" fontId="0" fillId="4" borderId="7" xfId="0" applyFill="1" applyBorder="1" applyAlignment="1" applyProtection="1">
      <alignment horizontal="right" vertical="center" wrapText="1" indent="2"/>
      <protection hidden="1"/>
    </xf>
    <xf numFmtId="0" fontId="0" fillId="4" borderId="0" xfId="0" applyFill="1" applyAlignment="1" applyProtection="1">
      <alignment horizontal="right" vertical="center" wrapText="1" indent="2"/>
      <protection hidden="1"/>
    </xf>
    <xf numFmtId="0" fontId="144" fillId="23" borderId="48" xfId="0" applyFont="1" applyFill="1" applyBorder="1" applyAlignment="1" applyProtection="1">
      <alignment horizontal="left" vertical="center" wrapText="1" indent="1"/>
      <protection locked="0"/>
    </xf>
    <xf numFmtId="0" fontId="163" fillId="4" borderId="7" xfId="0" applyFont="1" applyFill="1" applyBorder="1" applyAlignment="1" applyProtection="1">
      <alignment horizontal="right" vertical="top" wrapText="1" indent="1"/>
      <protection hidden="1"/>
    </xf>
    <xf numFmtId="0" fontId="163" fillId="4" borderId="0" xfId="0" applyFont="1" applyFill="1" applyAlignment="1" applyProtection="1">
      <alignment horizontal="right" vertical="top" wrapText="1" indent="1"/>
      <protection hidden="1"/>
    </xf>
    <xf numFmtId="0" fontId="5" fillId="23" borderId="58" xfId="0" applyFont="1" applyFill="1" applyBorder="1" applyAlignment="1" applyProtection="1">
      <alignment horizontal="left" vertical="center" wrapText="1" indent="1"/>
      <protection locked="0"/>
    </xf>
    <xf numFmtId="0" fontId="5" fillId="23" borderId="48" xfId="0" applyFont="1" applyFill="1" applyBorder="1" applyAlignment="1" applyProtection="1">
      <alignment horizontal="left" vertical="center" wrapText="1" indent="1"/>
      <protection locked="0"/>
    </xf>
    <xf numFmtId="0" fontId="5" fillId="23" borderId="59" xfId="0" applyFont="1" applyFill="1" applyBorder="1" applyAlignment="1" applyProtection="1">
      <alignment horizontal="left" vertical="center" wrapText="1" indent="1"/>
      <protection locked="0"/>
    </xf>
    <xf numFmtId="0" fontId="148" fillId="4" borderId="4" xfId="0" applyFont="1" applyFill="1" applyBorder="1" applyAlignment="1" applyProtection="1">
      <alignment horizontal="left" vertical="center" wrapText="1" indent="2"/>
      <protection hidden="1"/>
    </xf>
    <xf numFmtId="0" fontId="148" fillId="4" borderId="8" xfId="0" applyFont="1" applyFill="1" applyBorder="1" applyAlignment="1" applyProtection="1">
      <alignment horizontal="left" vertical="center" wrapText="1" indent="2"/>
      <protection hidden="1"/>
    </xf>
    <xf numFmtId="0" fontId="148" fillId="4" borderId="5" xfId="0" applyFont="1" applyFill="1" applyBorder="1" applyAlignment="1" applyProtection="1">
      <alignment horizontal="left" vertical="center" wrapText="1" indent="2"/>
      <protection hidden="1"/>
    </xf>
    <xf numFmtId="0" fontId="6" fillId="31" borderId="58" xfId="0" applyFont="1" applyFill="1" applyBorder="1" applyAlignment="1" applyProtection="1">
      <alignment horizontal="left" vertical="center" wrapText="1" indent="1"/>
      <protection locked="0"/>
    </xf>
    <xf numFmtId="0" fontId="6" fillId="31" borderId="48" xfId="0" applyFont="1" applyFill="1" applyBorder="1" applyAlignment="1" applyProtection="1">
      <alignment horizontal="left" vertical="center" wrapText="1" indent="1"/>
      <protection locked="0"/>
    </xf>
    <xf numFmtId="0" fontId="6" fillId="31" borderId="59" xfId="0" applyFont="1" applyFill="1" applyBorder="1" applyAlignment="1" applyProtection="1">
      <alignment horizontal="left" vertical="center" wrapText="1" indent="1"/>
      <protection locked="0"/>
    </xf>
    <xf numFmtId="0" fontId="6" fillId="4" borderId="58" xfId="0" applyFont="1" applyFill="1" applyBorder="1" applyAlignment="1" applyProtection="1">
      <alignment horizontal="left" vertical="center" wrapText="1" indent="1"/>
      <protection hidden="1"/>
    </xf>
    <xf numFmtId="0" fontId="6" fillId="4" borderId="48" xfId="0" applyFont="1" applyFill="1" applyBorder="1" applyAlignment="1" applyProtection="1">
      <alignment horizontal="left" vertical="center" wrapText="1" indent="1"/>
      <protection hidden="1"/>
    </xf>
    <xf numFmtId="0" fontId="6" fillId="4" borderId="59" xfId="0" applyFont="1" applyFill="1" applyBorder="1" applyAlignment="1" applyProtection="1">
      <alignment horizontal="left" vertical="center" wrapText="1" indent="1"/>
      <protection hidden="1"/>
    </xf>
    <xf numFmtId="0" fontId="64" fillId="4" borderId="2" xfId="0" applyFont="1" applyFill="1" applyBorder="1" applyAlignment="1" applyProtection="1">
      <alignment horizontal="left" wrapText="1" indent="1"/>
      <protection hidden="1"/>
    </xf>
    <xf numFmtId="0" fontId="162" fillId="4" borderId="7" xfId="0" applyFont="1" applyFill="1" applyBorder="1" applyAlignment="1" applyProtection="1">
      <alignment horizontal="right" vertical="center" indent="1"/>
      <protection hidden="1"/>
    </xf>
    <xf numFmtId="0" fontId="162" fillId="4" borderId="0" xfId="0" applyFont="1" applyFill="1" applyAlignment="1" applyProtection="1">
      <alignment horizontal="right" vertical="center" indent="1"/>
      <protection hidden="1"/>
    </xf>
    <xf numFmtId="0" fontId="162" fillId="4" borderId="46" xfId="0" applyFont="1" applyFill="1" applyBorder="1" applyAlignment="1" applyProtection="1">
      <alignment horizontal="right" vertical="center" indent="1"/>
      <protection hidden="1"/>
    </xf>
    <xf numFmtId="14" fontId="144" fillId="23" borderId="58" xfId="0" applyNumberFormat="1" applyFont="1" applyFill="1" applyBorder="1" applyAlignment="1" applyProtection="1">
      <alignment horizontal="left" vertical="center" wrapText="1" indent="1"/>
      <protection locked="0"/>
    </xf>
    <xf numFmtId="14" fontId="144" fillId="23" borderId="59" xfId="0" applyNumberFormat="1" applyFont="1" applyFill="1" applyBorder="1" applyAlignment="1" applyProtection="1">
      <alignment horizontal="left" vertical="center" wrapText="1" indent="1"/>
      <protection locked="0"/>
    </xf>
    <xf numFmtId="14" fontId="144" fillId="23" borderId="58" xfId="1" applyNumberFormat="1" applyFont="1" applyFill="1" applyBorder="1" applyAlignment="1" applyProtection="1">
      <alignment horizontal="left" vertical="center" wrapText="1" indent="1"/>
      <protection locked="0"/>
    </xf>
    <xf numFmtId="14" fontId="144" fillId="23" borderId="59" xfId="1" applyNumberFormat="1" applyFont="1" applyFill="1" applyBorder="1" applyAlignment="1" applyProtection="1">
      <alignment horizontal="left" vertical="center" wrapText="1" indent="1"/>
      <protection locked="0"/>
    </xf>
    <xf numFmtId="14" fontId="144" fillId="31" borderId="58" xfId="1" applyNumberFormat="1" applyFont="1" applyFill="1" applyBorder="1" applyAlignment="1" applyProtection="1">
      <alignment horizontal="left" vertical="center" wrapText="1" indent="1"/>
      <protection locked="0"/>
    </xf>
    <xf numFmtId="14" fontId="144" fillId="31" borderId="48" xfId="1" applyNumberFormat="1" applyFont="1" applyFill="1" applyBorder="1" applyAlignment="1" applyProtection="1">
      <alignment horizontal="left" vertical="center" wrapText="1" indent="1"/>
      <protection locked="0"/>
    </xf>
    <xf numFmtId="14" fontId="144" fillId="31" borderId="59" xfId="1" applyNumberFormat="1" applyFont="1" applyFill="1" applyBorder="1" applyAlignment="1" applyProtection="1">
      <alignment horizontal="left" vertical="center" wrapText="1" indent="1"/>
      <protection locked="0"/>
    </xf>
    <xf numFmtId="14" fontId="144" fillId="31" borderId="58" xfId="0" applyNumberFormat="1" applyFont="1" applyFill="1" applyBorder="1" applyAlignment="1" applyProtection="1">
      <alignment horizontal="left" vertical="center" wrapText="1" indent="1"/>
      <protection locked="0"/>
    </xf>
    <xf numFmtId="14" fontId="144" fillId="31" borderId="59" xfId="0" applyNumberFormat="1" applyFont="1" applyFill="1" applyBorder="1" applyAlignment="1" applyProtection="1">
      <alignment horizontal="left" vertical="center" wrapText="1" indent="1"/>
      <protection locked="0"/>
    </xf>
    <xf numFmtId="0" fontId="129" fillId="27" borderId="0" xfId="0" applyFont="1" applyFill="1" applyAlignment="1" applyProtection="1">
      <alignment horizontal="left" vertical="top" wrapText="1"/>
      <protection hidden="1"/>
    </xf>
    <xf numFmtId="0" fontId="129" fillId="27" borderId="242" xfId="0" applyFont="1" applyFill="1" applyBorder="1" applyAlignment="1" applyProtection="1">
      <alignment horizontal="left" vertical="top"/>
      <protection hidden="1"/>
    </xf>
    <xf numFmtId="0" fontId="6" fillId="31" borderId="58" xfId="0" applyFont="1" applyFill="1" applyBorder="1" applyAlignment="1" applyProtection="1">
      <alignment horizontal="left" vertical="center" indent="1"/>
      <protection locked="0"/>
    </xf>
    <xf numFmtId="0" fontId="6" fillId="31" borderId="48" xfId="0" applyFont="1" applyFill="1" applyBorder="1" applyAlignment="1" applyProtection="1">
      <alignment horizontal="left" vertical="center" indent="1"/>
      <protection locked="0"/>
    </xf>
    <xf numFmtId="0" fontId="6" fillId="31" borderId="59" xfId="0" applyFont="1" applyFill="1" applyBorder="1" applyAlignment="1" applyProtection="1">
      <alignment horizontal="left" vertical="center" indent="1"/>
      <protection locked="0"/>
    </xf>
    <xf numFmtId="0" fontId="144" fillId="4" borderId="48" xfId="1" applyFont="1" applyFill="1" applyBorder="1" applyAlignment="1" applyProtection="1">
      <alignment horizontal="left" vertical="center" wrapText="1" indent="1"/>
      <protection locked="0"/>
    </xf>
    <xf numFmtId="0" fontId="144" fillId="4" borderId="48" xfId="0" applyFont="1" applyFill="1" applyBorder="1" applyAlignment="1" applyProtection="1">
      <alignment horizontal="left" vertical="center" wrapText="1" indent="1"/>
      <protection locked="0"/>
    </xf>
    <xf numFmtId="0" fontId="144" fillId="4" borderId="58" xfId="1" applyFont="1" applyFill="1" applyBorder="1" applyAlignment="1" applyProtection="1">
      <alignment horizontal="left" vertical="center" wrapText="1" indent="1"/>
      <protection hidden="1"/>
    </xf>
    <xf numFmtId="0" fontId="144" fillId="4" borderId="59" xfId="1" applyFont="1" applyFill="1" applyBorder="1" applyAlignment="1" applyProtection="1">
      <alignment horizontal="left" vertical="center" wrapText="1" indent="1"/>
      <protection hidden="1"/>
    </xf>
    <xf numFmtId="0" fontId="144" fillId="4" borderId="58" xfId="0" applyFont="1" applyFill="1" applyBorder="1" applyAlignment="1" applyProtection="1">
      <alignment horizontal="left" vertical="center" wrapText="1" indent="1"/>
      <protection hidden="1"/>
    </xf>
    <xf numFmtId="0" fontId="144" fillId="4" borderId="59" xfId="0" applyFont="1" applyFill="1" applyBorder="1" applyAlignment="1" applyProtection="1">
      <alignment horizontal="left" vertical="center" wrapText="1" indent="1"/>
      <protection hidden="1"/>
    </xf>
    <xf numFmtId="0" fontId="144" fillId="23" borderId="182" xfId="0" applyFont="1" applyFill="1" applyBorder="1" applyAlignment="1" applyProtection="1">
      <alignment horizontal="left" vertical="top" wrapText="1" indent="1"/>
      <protection locked="0"/>
    </xf>
    <xf numFmtId="0" fontId="144" fillId="23" borderId="180" xfId="0" applyFont="1" applyFill="1" applyBorder="1" applyAlignment="1" applyProtection="1">
      <alignment horizontal="left" vertical="top" wrapText="1" indent="1"/>
      <protection locked="0"/>
    </xf>
    <xf numFmtId="0" fontId="144" fillId="23" borderId="182" xfId="0" applyFont="1" applyFill="1" applyBorder="1" applyAlignment="1" applyProtection="1">
      <alignment horizontal="left" vertical="top" indent="1"/>
      <protection locked="0"/>
    </xf>
    <xf numFmtId="0" fontId="144" fillId="23" borderId="181" xfId="0" applyFont="1" applyFill="1" applyBorder="1" applyAlignment="1" applyProtection="1">
      <alignment horizontal="left" vertical="top" indent="1"/>
      <protection locked="0"/>
    </xf>
    <xf numFmtId="0" fontId="144" fillId="23" borderId="180" xfId="0" applyFont="1" applyFill="1" applyBorder="1" applyAlignment="1" applyProtection="1">
      <alignment horizontal="left" vertical="top" indent="1"/>
      <protection locked="0"/>
    </xf>
    <xf numFmtId="0" fontId="144" fillId="23" borderId="181" xfId="0" applyFont="1" applyFill="1" applyBorder="1" applyAlignment="1" applyProtection="1">
      <alignment horizontal="left" vertical="top" wrapText="1" indent="1"/>
      <protection locked="0"/>
    </xf>
    <xf numFmtId="0" fontId="143" fillId="40" borderId="102" xfId="0" applyFont="1" applyFill="1" applyBorder="1" applyAlignment="1" applyProtection="1">
      <alignment horizontal="left" vertical="center" wrapText="1" indent="1"/>
      <protection locked="0"/>
    </xf>
    <xf numFmtId="0" fontId="143" fillId="40" borderId="103" xfId="0" applyFont="1" applyFill="1" applyBorder="1" applyAlignment="1" applyProtection="1">
      <alignment horizontal="left" vertical="center" wrapText="1" indent="1"/>
      <protection locked="0"/>
    </xf>
    <xf numFmtId="0" fontId="144" fillId="23" borderId="104" xfId="0" applyFont="1" applyFill="1" applyBorder="1" applyAlignment="1" applyProtection="1">
      <alignment horizontal="left" vertical="center" wrapText="1" indent="1"/>
      <protection locked="0"/>
    </xf>
    <xf numFmtId="0" fontId="144" fillId="23" borderId="45" xfId="0" applyFont="1" applyFill="1" applyBorder="1" applyAlignment="1" applyProtection="1">
      <alignment horizontal="left" vertical="center" wrapText="1" indent="1"/>
      <protection locked="0"/>
    </xf>
    <xf numFmtId="0" fontId="144" fillId="23" borderId="105" xfId="0" applyFont="1" applyFill="1" applyBorder="1" applyAlignment="1" applyProtection="1">
      <alignment horizontal="left" vertical="center" wrapText="1" indent="1"/>
      <protection locked="0"/>
    </xf>
    <xf numFmtId="0" fontId="64" fillId="4" borderId="7" xfId="0" applyFont="1" applyFill="1" applyBorder="1" applyAlignment="1" applyProtection="1">
      <alignment horizontal="left" vertical="center" wrapText="1" indent="1"/>
      <protection hidden="1"/>
    </xf>
    <xf numFmtId="0" fontId="64" fillId="4" borderId="0" xfId="0" applyFont="1" applyFill="1" applyAlignment="1" applyProtection="1">
      <alignment horizontal="left" vertical="center" wrapText="1" indent="1"/>
      <protection hidden="1"/>
    </xf>
    <xf numFmtId="0" fontId="64" fillId="4" borderId="0" xfId="0" applyFont="1" applyFill="1" applyAlignment="1" applyProtection="1">
      <alignment horizontal="left" vertical="top" wrapText="1" indent="1"/>
      <protection hidden="1"/>
    </xf>
    <xf numFmtId="0" fontId="64" fillId="4" borderId="8" xfId="0" applyFont="1" applyFill="1" applyBorder="1" applyAlignment="1" applyProtection="1">
      <alignment horizontal="left" vertical="top" wrapText="1" indent="1"/>
      <protection hidden="1"/>
    </xf>
    <xf numFmtId="0" fontId="125" fillId="5" borderId="0" xfId="3" applyFont="1" applyFill="1" applyBorder="1" applyAlignment="1" applyProtection="1">
      <alignment horizontal="left"/>
      <protection locked="0" hidden="1"/>
    </xf>
    <xf numFmtId="0" fontId="51" fillId="25" borderId="104" xfId="0" applyFont="1" applyFill="1" applyBorder="1" applyAlignment="1" applyProtection="1">
      <alignment horizontal="left" vertical="center" wrapText="1" indent="1"/>
      <protection locked="0"/>
    </xf>
    <xf numFmtId="0" fontId="51" fillId="25" borderId="45" xfId="0" applyFont="1" applyFill="1" applyBorder="1" applyAlignment="1" applyProtection="1">
      <alignment horizontal="left" vertical="center" wrapText="1" indent="1"/>
      <protection locked="0"/>
    </xf>
    <xf numFmtId="0" fontId="51" fillId="25" borderId="105" xfId="0" applyFont="1" applyFill="1" applyBorder="1" applyAlignment="1" applyProtection="1">
      <alignment horizontal="left" vertical="center" wrapText="1" indent="1"/>
      <protection locked="0"/>
    </xf>
    <xf numFmtId="0" fontId="51" fillId="25" borderId="133" xfId="0" applyFont="1" applyFill="1" applyBorder="1" applyAlignment="1" applyProtection="1">
      <alignment horizontal="left" vertical="center" wrapText="1" indent="1"/>
      <protection locked="0"/>
    </xf>
    <xf numFmtId="0" fontId="51" fillId="25" borderId="134" xfId="0" applyFont="1" applyFill="1" applyBorder="1" applyAlignment="1" applyProtection="1">
      <alignment horizontal="left" vertical="center" wrapText="1" indent="1"/>
      <protection locked="0"/>
    </xf>
    <xf numFmtId="0" fontId="51" fillId="25" borderId="136" xfId="0" applyFont="1" applyFill="1" applyBorder="1" applyAlignment="1" applyProtection="1">
      <alignment horizontal="left" vertical="center" wrapText="1" indent="1"/>
      <protection locked="0"/>
    </xf>
    <xf numFmtId="0" fontId="5" fillId="5" borderId="0" xfId="0" applyFont="1" applyFill="1" applyAlignment="1" applyProtection="1">
      <alignment horizontal="right" wrapText="1" indent="1"/>
      <protection hidden="1"/>
    </xf>
    <xf numFmtId="0" fontId="5" fillId="5" borderId="46" xfId="0" applyFont="1" applyFill="1" applyBorder="1" applyAlignment="1" applyProtection="1">
      <alignment horizontal="right" wrapText="1" indent="1"/>
      <protection hidden="1"/>
    </xf>
    <xf numFmtId="0" fontId="125" fillId="5" borderId="0" xfId="3" applyFont="1" applyFill="1" applyAlignment="1" applyProtection="1">
      <alignment horizontal="left" indent="1"/>
      <protection locked="0" hidden="1"/>
    </xf>
    <xf numFmtId="0" fontId="5" fillId="4" borderId="102" xfId="0" applyFont="1" applyFill="1" applyBorder="1" applyAlignment="1" applyProtection="1">
      <alignment horizontal="right" vertical="center" wrapText="1" indent="2"/>
      <protection hidden="1"/>
    </xf>
    <xf numFmtId="0" fontId="5" fillId="4" borderId="103" xfId="0" applyFont="1" applyFill="1" applyBorder="1" applyAlignment="1" applyProtection="1">
      <alignment horizontal="right" vertical="center" wrapText="1" indent="2"/>
      <protection hidden="1"/>
    </xf>
    <xf numFmtId="0" fontId="144" fillId="23" borderId="191" xfId="0" applyFont="1" applyFill="1" applyBorder="1" applyAlignment="1" applyProtection="1">
      <alignment horizontal="left" vertical="center" wrapText="1" indent="1"/>
      <protection locked="0"/>
    </xf>
    <xf numFmtId="0" fontId="144" fillId="23" borderId="190" xfId="0" applyFont="1" applyFill="1" applyBorder="1" applyAlignment="1" applyProtection="1">
      <alignment horizontal="left" vertical="center" wrapText="1" indent="1"/>
      <protection locked="0"/>
    </xf>
    <xf numFmtId="0" fontId="144" fillId="23" borderId="192" xfId="0" applyFont="1" applyFill="1" applyBorder="1" applyAlignment="1" applyProtection="1">
      <alignment horizontal="left" vertical="center" wrapText="1" indent="1"/>
      <protection locked="0"/>
    </xf>
    <xf numFmtId="0" fontId="9" fillId="4" borderId="7" xfId="0" applyFont="1" applyFill="1" applyBorder="1" applyAlignment="1" applyProtection="1">
      <alignment horizontal="right" vertical="center" wrapText="1" indent="1"/>
      <protection hidden="1"/>
    </xf>
    <xf numFmtId="0" fontId="9" fillId="4" borderId="0" xfId="0" applyFont="1" applyFill="1" applyAlignment="1" applyProtection="1">
      <alignment horizontal="right" vertical="center" wrapText="1" indent="1"/>
      <protection hidden="1"/>
    </xf>
    <xf numFmtId="0" fontId="144" fillId="23" borderId="102" xfId="0" applyFont="1" applyFill="1" applyBorder="1" applyAlignment="1" applyProtection="1">
      <alignment horizontal="left" vertical="center" wrapText="1" indent="1"/>
      <protection locked="0"/>
    </xf>
    <xf numFmtId="0" fontId="144" fillId="23" borderId="103" xfId="0" applyFont="1" applyFill="1" applyBorder="1" applyAlignment="1" applyProtection="1">
      <alignment horizontal="left" vertical="center" wrapText="1" indent="1"/>
      <protection locked="0"/>
    </xf>
    <xf numFmtId="0" fontId="143" fillId="23" borderId="104" xfId="0" applyFont="1" applyFill="1" applyBorder="1" applyAlignment="1" applyProtection="1">
      <alignment horizontal="left" vertical="center" wrapText="1" indent="1"/>
      <protection locked="0"/>
    </xf>
    <xf numFmtId="0" fontId="143" fillId="23" borderId="45" xfId="0" applyFont="1" applyFill="1" applyBorder="1" applyAlignment="1" applyProtection="1">
      <alignment horizontal="left" vertical="center" wrapText="1" indent="1"/>
      <protection locked="0"/>
    </xf>
    <xf numFmtId="0" fontId="143" fillId="23" borderId="105" xfId="0" applyFont="1" applyFill="1" applyBorder="1" applyAlignment="1" applyProtection="1">
      <alignment horizontal="left" vertical="center" wrapText="1" indent="1"/>
      <protection locked="0"/>
    </xf>
    <xf numFmtId="0" fontId="37" fillId="4" borderId="80" xfId="0" applyFont="1" applyFill="1" applyBorder="1" applyAlignment="1" applyProtection="1">
      <alignment horizontal="center" vertical="center" wrapText="1"/>
      <protection hidden="1"/>
    </xf>
    <xf numFmtId="0" fontId="37" fillId="4" borderId="132" xfId="0" applyFont="1" applyFill="1" applyBorder="1" applyAlignment="1" applyProtection="1">
      <alignment horizontal="center" vertical="center" wrapText="1"/>
      <protection hidden="1"/>
    </xf>
    <xf numFmtId="0" fontId="37" fillId="4" borderId="125" xfId="0" applyFont="1" applyFill="1" applyBorder="1" applyAlignment="1" applyProtection="1">
      <alignment horizontal="center" vertical="center" wrapText="1"/>
      <protection hidden="1"/>
    </xf>
    <xf numFmtId="0" fontId="5" fillId="4" borderId="0" xfId="0" applyFont="1" applyFill="1" applyAlignment="1" applyProtection="1">
      <alignment horizontal="right" vertical="center" wrapText="1" indent="1"/>
      <protection hidden="1"/>
    </xf>
    <xf numFmtId="0" fontId="37" fillId="4" borderId="62" xfId="0" applyFont="1" applyFill="1" applyBorder="1" applyAlignment="1" applyProtection="1">
      <alignment horizontal="right" vertical="center" wrapText="1" indent="2"/>
      <protection hidden="1"/>
    </xf>
    <xf numFmtId="0" fontId="38" fillId="4" borderId="7" xfId="0" applyFont="1" applyFill="1" applyBorder="1" applyAlignment="1" applyProtection="1">
      <alignment horizontal="left" vertical="center" wrapText="1" indent="5"/>
      <protection hidden="1"/>
    </xf>
    <xf numFmtId="0" fontId="38" fillId="4" borderId="0" xfId="0" applyFont="1" applyFill="1" applyAlignment="1" applyProtection="1">
      <alignment horizontal="left" vertical="center" wrapText="1" indent="5"/>
      <protection hidden="1"/>
    </xf>
    <xf numFmtId="0" fontId="38" fillId="4" borderId="46" xfId="0" applyFont="1" applyFill="1" applyBorder="1" applyAlignment="1" applyProtection="1">
      <alignment horizontal="left" vertical="center" wrapText="1" indent="5"/>
      <protection hidden="1"/>
    </xf>
    <xf numFmtId="0" fontId="51" fillId="23" borderId="58" xfId="0" applyFont="1" applyFill="1" applyBorder="1" applyAlignment="1" applyProtection="1">
      <alignment horizontal="left" vertical="center" wrapText="1" indent="1"/>
      <protection locked="0"/>
    </xf>
    <xf numFmtId="0" fontId="51" fillId="23" borderId="48" xfId="0" applyFont="1" applyFill="1" applyBorder="1" applyAlignment="1" applyProtection="1">
      <alignment horizontal="left" vertical="center" wrapText="1" indent="1"/>
      <protection locked="0"/>
    </xf>
    <xf numFmtId="0" fontId="51" fillId="23" borderId="59" xfId="0" applyFont="1" applyFill="1" applyBorder="1" applyAlignment="1" applyProtection="1">
      <alignment horizontal="left" vertical="center" wrapText="1" indent="1"/>
      <protection locked="0"/>
    </xf>
    <xf numFmtId="0" fontId="5" fillId="31" borderId="3" xfId="0" applyFont="1" applyFill="1" applyBorder="1" applyAlignment="1" applyProtection="1">
      <alignment horizontal="left" vertical="center" wrapText="1" indent="1"/>
      <protection locked="0"/>
    </xf>
    <xf numFmtId="0" fontId="5" fillId="31" borderId="2" xfId="0" applyFont="1" applyFill="1" applyBorder="1" applyAlignment="1" applyProtection="1">
      <alignment horizontal="left" vertical="center" wrapText="1" indent="1"/>
      <protection locked="0"/>
    </xf>
    <xf numFmtId="0" fontId="5" fillId="31" borderId="54" xfId="0" applyFont="1" applyFill="1" applyBorder="1" applyAlignment="1" applyProtection="1">
      <alignment horizontal="left" vertical="center" wrapText="1" indent="1"/>
      <protection locked="0"/>
    </xf>
    <xf numFmtId="0" fontId="5" fillId="31" borderId="4" xfId="0" applyFont="1" applyFill="1" applyBorder="1" applyAlignment="1" applyProtection="1">
      <alignment horizontal="left" vertical="center" wrapText="1" indent="1"/>
      <protection locked="0"/>
    </xf>
    <xf numFmtId="0" fontId="5" fillId="31" borderId="8" xfId="0" applyFont="1" applyFill="1" applyBorder="1" applyAlignment="1" applyProtection="1">
      <alignment horizontal="left" vertical="center" wrapText="1" indent="1"/>
      <protection locked="0"/>
    </xf>
    <xf numFmtId="0" fontId="5" fillId="31" borderId="5" xfId="0" applyFont="1" applyFill="1" applyBorder="1" applyAlignment="1" applyProtection="1">
      <alignment horizontal="left" vertical="center" wrapText="1" indent="1"/>
      <protection locked="0"/>
    </xf>
    <xf numFmtId="0" fontId="143" fillId="23" borderId="102" xfId="0" applyFont="1" applyFill="1" applyBorder="1" applyAlignment="1" applyProtection="1">
      <alignment horizontal="left" vertical="center" wrapText="1" indent="1"/>
      <protection locked="0"/>
    </xf>
    <xf numFmtId="0" fontId="143" fillId="23" borderId="103" xfId="0" applyFont="1" applyFill="1" applyBorder="1" applyAlignment="1" applyProtection="1">
      <alignment horizontal="left" vertical="center" wrapText="1" indent="1"/>
      <protection locked="0"/>
    </xf>
    <xf numFmtId="0" fontId="144" fillId="25" borderId="104" xfId="0" applyFont="1" applyFill="1" applyBorder="1" applyAlignment="1" applyProtection="1">
      <alignment horizontal="left" vertical="center" wrapText="1" indent="1"/>
      <protection locked="0"/>
    </xf>
    <xf numFmtId="0" fontId="144" fillId="25" borderId="105" xfId="0" applyFont="1" applyFill="1" applyBorder="1" applyAlignment="1" applyProtection="1">
      <alignment horizontal="left" vertical="center" wrapText="1" indent="1"/>
      <protection locked="0"/>
    </xf>
    <xf numFmtId="0" fontId="144" fillId="23" borderId="4" xfId="0" applyFont="1" applyFill="1" applyBorder="1" applyAlignment="1" applyProtection="1">
      <alignment horizontal="left" vertical="center" wrapText="1" indent="1"/>
      <protection locked="0"/>
    </xf>
    <xf numFmtId="0" fontId="144" fillId="23" borderId="5" xfId="0" applyFont="1" applyFill="1" applyBorder="1" applyAlignment="1" applyProtection="1">
      <alignment horizontal="left" vertical="center" wrapText="1" indent="1"/>
      <protection locked="0"/>
    </xf>
    <xf numFmtId="0" fontId="35" fillId="4" borderId="58" xfId="0" applyFont="1" applyFill="1" applyBorder="1" applyAlignment="1" applyProtection="1">
      <alignment horizontal="left" vertical="center" wrapText="1" indent="1"/>
      <protection hidden="1"/>
    </xf>
    <xf numFmtId="0" fontId="35" fillId="4" borderId="48" xfId="0" applyFont="1" applyFill="1" applyBorder="1" applyAlignment="1" applyProtection="1">
      <alignment horizontal="left" vertical="center" wrapText="1" indent="1"/>
      <protection hidden="1"/>
    </xf>
    <xf numFmtId="0" fontId="5" fillId="4" borderId="104" xfId="0" applyFont="1" applyFill="1" applyBorder="1" applyAlignment="1" applyProtection="1">
      <alignment horizontal="right" vertical="center" wrapText="1" indent="2"/>
      <protection hidden="1"/>
    </xf>
    <xf numFmtId="0" fontId="5" fillId="4" borderId="105" xfId="0" applyFont="1" applyFill="1" applyBorder="1" applyAlignment="1" applyProtection="1">
      <alignment horizontal="right" vertical="center" wrapText="1" indent="2"/>
      <protection hidden="1"/>
    </xf>
    <xf numFmtId="0" fontId="38" fillId="4" borderId="7" xfId="0" applyFont="1" applyFill="1" applyBorder="1" applyAlignment="1" applyProtection="1">
      <alignment horizontal="left" vertical="top" wrapText="1" indent="4"/>
      <protection hidden="1"/>
    </xf>
    <xf numFmtId="0" fontId="38" fillId="4" borderId="0" xfId="0" applyFont="1" applyFill="1" applyAlignment="1" applyProtection="1">
      <alignment horizontal="left" vertical="top" wrapText="1" indent="4"/>
      <protection hidden="1"/>
    </xf>
    <xf numFmtId="0" fontId="38" fillId="4" borderId="46" xfId="0" applyFont="1" applyFill="1" applyBorder="1" applyAlignment="1" applyProtection="1">
      <alignment horizontal="left" vertical="top" wrapText="1" indent="4"/>
      <protection hidden="1"/>
    </xf>
    <xf numFmtId="0" fontId="37" fillId="4" borderId="80" xfId="0" applyFont="1" applyFill="1" applyBorder="1" applyAlignment="1" applyProtection="1">
      <alignment horizontal="left" vertical="center" wrapText="1" indent="1"/>
      <protection hidden="1"/>
    </xf>
    <xf numFmtId="0" fontId="37" fillId="4" borderId="132" xfId="0" applyFont="1" applyFill="1" applyBorder="1" applyAlignment="1" applyProtection="1">
      <alignment horizontal="left" vertical="center" wrapText="1" indent="1"/>
      <protection hidden="1"/>
    </xf>
    <xf numFmtId="0" fontId="37" fillId="4" borderId="125" xfId="0" applyFont="1" applyFill="1" applyBorder="1" applyAlignment="1" applyProtection="1">
      <alignment horizontal="left" vertical="center" wrapText="1" indent="1"/>
      <protection hidden="1"/>
    </xf>
    <xf numFmtId="0" fontId="144" fillId="25" borderId="133" xfId="0" applyFont="1" applyFill="1" applyBorder="1" applyAlignment="1" applyProtection="1">
      <alignment horizontal="left" vertical="center" wrapText="1" indent="1"/>
      <protection locked="0"/>
    </xf>
    <xf numFmtId="0" fontId="144" fillId="25" borderId="136" xfId="0" applyFont="1" applyFill="1" applyBorder="1" applyAlignment="1" applyProtection="1">
      <alignment horizontal="left" vertical="center" wrapText="1" indent="1"/>
      <protection locked="0"/>
    </xf>
    <xf numFmtId="0" fontId="144" fillId="25" borderId="102" xfId="0" applyFont="1" applyFill="1" applyBorder="1" applyAlignment="1" applyProtection="1">
      <alignment horizontal="left" vertical="center" wrapText="1" indent="1"/>
      <protection locked="0"/>
    </xf>
    <xf numFmtId="0" fontId="144" fillId="25" borderId="103" xfId="0" applyFont="1" applyFill="1" applyBorder="1" applyAlignment="1" applyProtection="1">
      <alignment horizontal="left" vertical="center" wrapText="1" indent="1"/>
      <protection locked="0"/>
    </xf>
    <xf numFmtId="0" fontId="37" fillId="4" borderId="62" xfId="0" applyFont="1" applyFill="1" applyBorder="1" applyAlignment="1" applyProtection="1">
      <alignment horizontal="left" vertical="center" wrapText="1" indent="1"/>
      <protection hidden="1"/>
    </xf>
    <xf numFmtId="0" fontId="38" fillId="4" borderId="0" xfId="0" applyFont="1" applyFill="1" applyAlignment="1" applyProtection="1">
      <alignment horizontal="left" vertical="top" indent="4"/>
      <protection hidden="1"/>
    </xf>
    <xf numFmtId="0" fontId="38" fillId="4" borderId="46" xfId="0" applyFont="1" applyFill="1" applyBorder="1" applyAlignment="1" applyProtection="1">
      <alignment horizontal="left" vertical="top" indent="4"/>
      <protection hidden="1"/>
    </xf>
    <xf numFmtId="0" fontId="143" fillId="23" borderId="133" xfId="0" applyFont="1" applyFill="1" applyBorder="1" applyAlignment="1" applyProtection="1">
      <alignment horizontal="left" vertical="center" wrapText="1" indent="1"/>
      <protection locked="0"/>
    </xf>
    <xf numFmtId="0" fontId="143" fillId="23" borderId="134" xfId="0" applyFont="1" applyFill="1" applyBorder="1" applyAlignment="1" applyProtection="1">
      <alignment horizontal="left" vertical="center" wrapText="1" indent="1"/>
      <protection locked="0"/>
    </xf>
    <xf numFmtId="0" fontId="143" fillId="23" borderId="136" xfId="0" applyFont="1" applyFill="1" applyBorder="1" applyAlignment="1" applyProtection="1">
      <alignment horizontal="left" vertical="center" wrapText="1" indent="1"/>
      <protection locked="0"/>
    </xf>
    <xf numFmtId="0" fontId="144" fillId="23" borderId="68" xfId="0" applyFont="1" applyFill="1" applyBorder="1" applyAlignment="1" applyProtection="1">
      <alignment horizontal="left" vertical="center" wrapText="1" indent="1"/>
      <protection locked="0"/>
    </xf>
    <xf numFmtId="0" fontId="144" fillId="23" borderId="119" xfId="0" applyFont="1" applyFill="1" applyBorder="1" applyAlignment="1" applyProtection="1">
      <alignment horizontal="left" vertical="center" wrapText="1" indent="1"/>
      <protection locked="0"/>
    </xf>
    <xf numFmtId="0" fontId="144" fillId="23" borderId="118" xfId="0" applyFont="1" applyFill="1" applyBorder="1" applyAlignment="1" applyProtection="1">
      <alignment horizontal="left" vertical="center" wrapText="1" indent="1"/>
      <protection locked="0"/>
    </xf>
    <xf numFmtId="0" fontId="143" fillId="23" borderId="106" xfId="0" applyFont="1" applyFill="1" applyBorder="1" applyAlignment="1" applyProtection="1">
      <alignment horizontal="left" vertical="center" wrapText="1" indent="1"/>
      <protection locked="0"/>
    </xf>
    <xf numFmtId="0" fontId="143" fillId="23" borderId="107" xfId="0" applyFont="1" applyFill="1" applyBorder="1" applyAlignment="1" applyProtection="1">
      <alignment horizontal="left" vertical="center" wrapText="1" indent="1"/>
      <protection locked="0"/>
    </xf>
    <xf numFmtId="0" fontId="35" fillId="4" borderId="7" xfId="0" applyFont="1" applyFill="1" applyBorder="1" applyAlignment="1" applyProtection="1">
      <alignment horizontal="right" vertical="top" wrapText="1"/>
      <protection hidden="1"/>
    </xf>
    <xf numFmtId="0" fontId="5" fillId="4" borderId="46" xfId="0" applyFont="1" applyFill="1" applyBorder="1" applyAlignment="1" applyProtection="1">
      <alignment horizontal="right" vertical="center" wrapText="1" indent="1"/>
      <protection hidden="1"/>
    </xf>
    <xf numFmtId="0" fontId="96" fillId="4" borderId="0" xfId="0" applyFont="1" applyFill="1" applyAlignment="1" applyProtection="1">
      <alignment horizontal="left" vertical="top" wrapText="1"/>
      <protection hidden="1"/>
    </xf>
    <xf numFmtId="0" fontId="5" fillId="0" borderId="0" xfId="0" applyFont="1" applyAlignment="1" applyProtection="1">
      <alignment horizontal="right" wrapText="1" indent="1"/>
      <protection hidden="1"/>
    </xf>
    <xf numFmtId="0" fontId="5" fillId="31" borderId="58" xfId="0" applyFont="1" applyFill="1" applyBorder="1" applyAlignment="1" applyProtection="1">
      <alignment horizontal="left" vertical="center" indent="1"/>
      <protection locked="0"/>
    </xf>
    <xf numFmtId="0" fontId="5" fillId="31" borderId="48" xfId="0" applyFont="1" applyFill="1" applyBorder="1" applyAlignment="1" applyProtection="1">
      <alignment horizontal="left" vertical="center" indent="1"/>
      <protection locked="0"/>
    </xf>
    <xf numFmtId="0" fontId="5" fillId="31" borderId="59" xfId="0" applyFont="1" applyFill="1" applyBorder="1" applyAlignment="1" applyProtection="1">
      <alignment horizontal="left" vertical="center" indent="1"/>
      <protection locked="0"/>
    </xf>
    <xf numFmtId="0" fontId="64" fillId="4" borderId="2" xfId="0" applyFont="1" applyFill="1" applyBorder="1" applyAlignment="1" applyProtection="1">
      <alignment horizontal="left" vertical="center" wrapText="1" indent="2"/>
      <protection hidden="1"/>
    </xf>
    <xf numFmtId="3" fontId="144" fillId="23" borderId="124" xfId="0" applyNumberFormat="1" applyFont="1" applyFill="1" applyBorder="1" applyAlignment="1" applyProtection="1">
      <alignment horizontal="left" vertical="center" wrapText="1" indent="1"/>
      <protection locked="0"/>
    </xf>
    <xf numFmtId="3" fontId="144" fillId="23" borderId="126" xfId="0" applyNumberFormat="1" applyFont="1" applyFill="1" applyBorder="1" applyAlignment="1" applyProtection="1">
      <alignment horizontal="left" vertical="center" wrapText="1" indent="1"/>
      <protection locked="0"/>
    </xf>
    <xf numFmtId="0" fontId="145" fillId="32" borderId="180" xfId="0" applyFont="1" applyFill="1" applyBorder="1" applyAlignment="1" applyProtection="1">
      <alignment horizontal="left" vertical="center" wrapText="1" indent="1"/>
      <protection hidden="1"/>
    </xf>
    <xf numFmtId="0" fontId="145" fillId="32" borderId="181" xfId="0" applyFont="1" applyFill="1" applyBorder="1" applyAlignment="1" applyProtection="1">
      <alignment horizontal="left" vertical="center" wrapText="1" indent="1"/>
      <protection hidden="1"/>
    </xf>
    <xf numFmtId="3" fontId="144" fillId="23" borderId="104" xfId="0" applyNumberFormat="1" applyFont="1" applyFill="1" applyBorder="1" applyAlignment="1" applyProtection="1">
      <alignment horizontal="left" vertical="center" wrapText="1" indent="1"/>
      <protection locked="0"/>
    </xf>
    <xf numFmtId="3" fontId="144" fillId="23" borderId="105" xfId="0" applyNumberFormat="1" applyFont="1" applyFill="1" applyBorder="1" applyAlignment="1" applyProtection="1">
      <alignment horizontal="left" vertical="center" wrapText="1" indent="1"/>
      <protection locked="0"/>
    </xf>
    <xf numFmtId="3" fontId="144" fillId="23" borderId="106" xfId="0" applyNumberFormat="1" applyFont="1" applyFill="1" applyBorder="1" applyAlignment="1" applyProtection="1">
      <alignment horizontal="left" vertical="center" wrapText="1" indent="1"/>
      <protection locked="0"/>
    </xf>
    <xf numFmtId="3" fontId="144" fillId="23" borderId="107" xfId="0" applyNumberFormat="1" applyFont="1" applyFill="1" applyBorder="1" applyAlignment="1" applyProtection="1">
      <alignment horizontal="left" vertical="center" wrapText="1" indent="1"/>
      <protection locked="0"/>
    </xf>
    <xf numFmtId="3" fontId="144" fillId="23" borderId="137" xfId="0" applyNumberFormat="1" applyFont="1" applyFill="1" applyBorder="1" applyAlignment="1" applyProtection="1">
      <alignment horizontal="left" vertical="center" wrapText="1" indent="1"/>
      <protection locked="0"/>
    </xf>
    <xf numFmtId="9" fontId="144" fillId="23" borderId="124" xfId="0" applyNumberFormat="1" applyFont="1" applyFill="1" applyBorder="1" applyAlignment="1" applyProtection="1">
      <alignment horizontal="left" vertical="center" wrapText="1" indent="1"/>
      <protection locked="0"/>
    </xf>
    <xf numFmtId="9" fontId="144" fillId="23" borderId="126" xfId="0" applyNumberFormat="1" applyFont="1" applyFill="1" applyBorder="1" applyAlignment="1" applyProtection="1">
      <alignment horizontal="left" vertical="center" wrapText="1" indent="1"/>
      <protection locked="0"/>
    </xf>
    <xf numFmtId="9" fontId="144" fillId="23" borderId="106" xfId="0" applyNumberFormat="1" applyFont="1" applyFill="1" applyBorder="1" applyAlignment="1" applyProtection="1">
      <alignment horizontal="left" vertical="center" wrapText="1" indent="1"/>
      <protection locked="0"/>
    </xf>
    <xf numFmtId="9" fontId="144" fillId="23" borderId="107" xfId="0" applyNumberFormat="1" applyFont="1" applyFill="1" applyBorder="1" applyAlignment="1" applyProtection="1">
      <alignment horizontal="left" vertical="center" wrapText="1" indent="1"/>
      <protection locked="0"/>
    </xf>
    <xf numFmtId="3" fontId="144" fillId="23" borderId="104" xfId="0" applyNumberFormat="1" applyFont="1" applyFill="1" applyBorder="1" applyAlignment="1" applyProtection="1">
      <alignment horizontal="left" vertical="center" indent="2"/>
      <protection locked="0"/>
    </xf>
    <xf numFmtId="3" fontId="144" fillId="23" borderId="105" xfId="0" applyNumberFormat="1" applyFont="1" applyFill="1" applyBorder="1" applyAlignment="1" applyProtection="1">
      <alignment horizontal="left" vertical="center" indent="2"/>
      <protection locked="0"/>
    </xf>
    <xf numFmtId="3" fontId="144" fillId="23" borderId="102" xfId="0" applyNumberFormat="1" applyFont="1" applyFill="1" applyBorder="1" applyAlignment="1" applyProtection="1">
      <alignment horizontal="left" vertical="center" indent="2"/>
      <protection locked="0"/>
    </xf>
    <xf numFmtId="3" fontId="144" fillId="23" borderId="103" xfId="0" applyNumberFormat="1" applyFont="1" applyFill="1" applyBorder="1" applyAlignment="1" applyProtection="1">
      <alignment horizontal="left" vertical="center" indent="2"/>
      <protection locked="0"/>
    </xf>
    <xf numFmtId="3" fontId="144" fillId="23" borderId="124" xfId="0" applyNumberFormat="1" applyFont="1" applyFill="1" applyBorder="1" applyAlignment="1" applyProtection="1">
      <alignment horizontal="left" vertical="center" indent="2"/>
      <protection locked="0"/>
    </xf>
    <xf numFmtId="3" fontId="144" fillId="23" borderId="126" xfId="0" applyNumberFormat="1" applyFont="1" applyFill="1" applyBorder="1" applyAlignment="1" applyProtection="1">
      <alignment horizontal="left" vertical="center" indent="2"/>
      <protection locked="0"/>
    </xf>
    <xf numFmtId="0" fontId="5" fillId="4" borderId="8" xfId="0" applyFont="1" applyFill="1" applyBorder="1" applyAlignment="1" applyProtection="1">
      <alignment horizontal="left" vertical="top" wrapText="1"/>
      <protection hidden="1"/>
    </xf>
    <xf numFmtId="0" fontId="38" fillId="5" borderId="0" xfId="0" applyFont="1" applyFill="1" applyAlignment="1" applyProtection="1">
      <alignment horizontal="left" vertical="center" indent="12"/>
      <protection hidden="1"/>
    </xf>
    <xf numFmtId="0" fontId="5" fillId="5" borderId="0" xfId="0" applyFont="1" applyFill="1" applyAlignment="1" applyProtection="1">
      <alignment horizontal="center" vertical="top"/>
      <protection hidden="1"/>
    </xf>
    <xf numFmtId="3" fontId="144" fillId="23" borderId="135" xfId="0" applyNumberFormat="1" applyFont="1" applyFill="1" applyBorder="1" applyAlignment="1" applyProtection="1">
      <alignment horizontal="left" vertical="center" wrapText="1" indent="1"/>
      <protection locked="0"/>
    </xf>
    <xf numFmtId="3" fontId="144" fillId="23" borderId="45" xfId="0" applyNumberFormat="1" applyFont="1" applyFill="1" applyBorder="1" applyAlignment="1" applyProtection="1">
      <alignment horizontal="left" vertical="center" wrapText="1" indent="1"/>
      <protection locked="0"/>
    </xf>
    <xf numFmtId="0" fontId="9" fillId="5" borderId="0" xfId="0" applyFont="1" applyFill="1" applyAlignment="1" applyProtection="1">
      <alignment horizontal="left" vertical="center" wrapText="1" indent="9"/>
      <protection hidden="1"/>
    </xf>
    <xf numFmtId="0" fontId="6" fillId="4" borderId="7" xfId="0" applyFont="1" applyFill="1" applyBorder="1" applyAlignment="1" applyProtection="1">
      <alignment horizontal="right" wrapText="1" indent="1"/>
      <protection hidden="1"/>
    </xf>
    <xf numFmtId="0" fontId="6" fillId="4" borderId="0" xfId="0" applyFont="1" applyFill="1" applyAlignment="1" applyProtection="1">
      <alignment horizontal="right" wrapText="1" indent="1"/>
      <protection hidden="1"/>
    </xf>
    <xf numFmtId="0" fontId="9" fillId="5" borderId="0" xfId="0" applyFont="1" applyFill="1" applyAlignment="1" applyProtection="1">
      <alignment horizontal="left" vertical="top" wrapText="1" indent="12"/>
      <protection hidden="1"/>
    </xf>
    <xf numFmtId="0" fontId="9" fillId="5" borderId="0" xfId="0" applyFont="1" applyFill="1" applyAlignment="1" applyProtection="1">
      <alignment horizontal="left" vertical="center" indent="1"/>
      <protection hidden="1"/>
    </xf>
    <xf numFmtId="0" fontId="162" fillId="4" borderId="7" xfId="0" applyFont="1" applyFill="1" applyBorder="1" applyAlignment="1" applyProtection="1">
      <alignment horizontal="right" vertical="top" wrapText="1" indent="1"/>
      <protection hidden="1"/>
    </xf>
    <xf numFmtId="9" fontId="144" fillId="23" borderId="104" xfId="0" applyNumberFormat="1" applyFont="1" applyFill="1" applyBorder="1" applyAlignment="1" applyProtection="1">
      <alignment horizontal="left" vertical="center" wrapText="1" indent="1"/>
      <protection locked="0"/>
    </xf>
    <xf numFmtId="9" fontId="144" fillId="23" borderId="105" xfId="0" applyNumberFormat="1" applyFont="1" applyFill="1" applyBorder="1" applyAlignment="1" applyProtection="1">
      <alignment horizontal="left" vertical="center" wrapText="1" indent="1"/>
      <protection locked="0"/>
    </xf>
    <xf numFmtId="3" fontId="51" fillId="4" borderId="3" xfId="0" applyNumberFormat="1" applyFont="1" applyFill="1" applyBorder="1" applyAlignment="1" applyProtection="1">
      <alignment horizontal="left" vertical="center" indent="1"/>
      <protection hidden="1"/>
    </xf>
    <xf numFmtId="3" fontId="51" fillId="4" borderId="54" xfId="0" applyNumberFormat="1" applyFont="1" applyFill="1" applyBorder="1" applyAlignment="1" applyProtection="1">
      <alignment horizontal="left" vertical="center" indent="1"/>
      <protection hidden="1"/>
    </xf>
    <xf numFmtId="3" fontId="51" fillId="4" borderId="7" xfId="0" applyNumberFormat="1" applyFont="1" applyFill="1" applyBorder="1" applyAlignment="1" applyProtection="1">
      <alignment horizontal="left" vertical="center" indent="1"/>
      <protection hidden="1"/>
    </xf>
    <xf numFmtId="3" fontId="51" fillId="4" borderId="46" xfId="0" applyNumberFormat="1" applyFont="1" applyFill="1" applyBorder="1" applyAlignment="1" applyProtection="1">
      <alignment horizontal="left" vertical="center" indent="1"/>
      <protection hidden="1"/>
    </xf>
    <xf numFmtId="3" fontId="51" fillId="4" borderId="4" xfId="0" applyNumberFormat="1" applyFont="1" applyFill="1" applyBorder="1" applyAlignment="1" applyProtection="1">
      <alignment horizontal="left" vertical="center" indent="1"/>
      <protection hidden="1"/>
    </xf>
    <xf numFmtId="3" fontId="51" fillId="4" borderId="5" xfId="0" applyNumberFormat="1" applyFont="1" applyFill="1" applyBorder="1" applyAlignment="1" applyProtection="1">
      <alignment horizontal="left" vertical="center" indent="1"/>
      <protection hidden="1"/>
    </xf>
    <xf numFmtId="3" fontId="144" fillId="23" borderId="106" xfId="0" applyNumberFormat="1" applyFont="1" applyFill="1" applyBorder="1" applyAlignment="1" applyProtection="1">
      <alignment horizontal="left" vertical="center" indent="1"/>
      <protection locked="0"/>
    </xf>
    <xf numFmtId="3" fontId="144" fillId="23" borderId="107" xfId="0" applyNumberFormat="1" applyFont="1" applyFill="1" applyBorder="1" applyAlignment="1" applyProtection="1">
      <alignment horizontal="left" vertical="center" indent="1"/>
      <protection locked="0"/>
    </xf>
    <xf numFmtId="0" fontId="37" fillId="4" borderId="49" xfId="0" applyFont="1" applyFill="1" applyBorder="1" applyAlignment="1" applyProtection="1">
      <alignment horizontal="left" vertical="center" wrapText="1" indent="1"/>
      <protection hidden="1"/>
    </xf>
    <xf numFmtId="0" fontId="37" fillId="4" borderId="250" xfId="0" applyFont="1" applyFill="1" applyBorder="1" applyAlignment="1" applyProtection="1">
      <alignment horizontal="left" vertical="center" wrapText="1" indent="1"/>
      <protection hidden="1"/>
    </xf>
    <xf numFmtId="0" fontId="37" fillId="4" borderId="305" xfId="0" applyFont="1" applyFill="1" applyBorder="1" applyAlignment="1" applyProtection="1">
      <alignment horizontal="left" vertical="center" wrapText="1" indent="1"/>
      <protection hidden="1"/>
    </xf>
    <xf numFmtId="0" fontId="37" fillId="4" borderId="84" xfId="0" applyFont="1" applyFill="1" applyBorder="1" applyAlignment="1" applyProtection="1">
      <alignment horizontal="left" vertical="center" wrapText="1" indent="1"/>
      <protection hidden="1"/>
    </xf>
    <xf numFmtId="0" fontId="3" fillId="5" borderId="2" xfId="0" applyFont="1" applyFill="1" applyBorder="1" applyAlignment="1" applyProtection="1">
      <alignment horizontal="right" vertical="center" wrapText="1" indent="1"/>
      <protection hidden="1"/>
    </xf>
    <xf numFmtId="0" fontId="3" fillId="4" borderId="277" xfId="0" applyFont="1" applyFill="1" applyBorder="1" applyAlignment="1" applyProtection="1">
      <alignment horizontal="left" vertical="center" indent="2"/>
      <protection hidden="1"/>
    </xf>
    <xf numFmtId="0" fontId="3" fillId="4" borderId="206" xfId="0" applyFont="1" applyFill="1" applyBorder="1" applyAlignment="1" applyProtection="1">
      <alignment horizontal="left" vertical="center" indent="2"/>
      <protection hidden="1"/>
    </xf>
    <xf numFmtId="0" fontId="3" fillId="4" borderId="281" xfId="0" applyFont="1" applyFill="1" applyBorder="1" applyAlignment="1" applyProtection="1">
      <alignment horizontal="left" vertical="center" indent="2"/>
      <protection hidden="1"/>
    </xf>
    <xf numFmtId="0" fontId="3" fillId="4" borderId="212" xfId="0" applyFont="1" applyFill="1" applyBorder="1" applyAlignment="1" applyProtection="1">
      <alignment horizontal="left" vertical="center" indent="2"/>
      <protection hidden="1"/>
    </xf>
    <xf numFmtId="0" fontId="38" fillId="4" borderId="7" xfId="0" applyFont="1" applyFill="1" applyBorder="1" applyAlignment="1" applyProtection="1">
      <alignment horizontal="right" vertical="center" wrapText="1" indent="1"/>
      <protection hidden="1"/>
    </xf>
    <xf numFmtId="0" fontId="38" fillId="4" borderId="0" xfId="0" applyFont="1" applyFill="1" applyAlignment="1" applyProtection="1">
      <alignment horizontal="right" vertical="center" wrapText="1" indent="1"/>
      <protection hidden="1"/>
    </xf>
    <xf numFmtId="0" fontId="38" fillId="4" borderId="46" xfId="0" applyFont="1" applyFill="1" applyBorder="1" applyAlignment="1" applyProtection="1">
      <alignment horizontal="right" vertical="center" wrapText="1" indent="1"/>
      <protection hidden="1"/>
    </xf>
    <xf numFmtId="0" fontId="3" fillId="4" borderId="279" xfId="0" applyFont="1" applyFill="1" applyBorder="1" applyAlignment="1" applyProtection="1">
      <alignment horizontal="left" vertical="center" indent="2"/>
      <protection hidden="1"/>
    </xf>
    <xf numFmtId="0" fontId="3" fillId="4" borderId="194" xfId="0" applyFont="1" applyFill="1" applyBorder="1" applyAlignment="1" applyProtection="1">
      <alignment horizontal="left" vertical="center" indent="2"/>
      <protection hidden="1"/>
    </xf>
    <xf numFmtId="0" fontId="144" fillId="23" borderId="58" xfId="0" applyFont="1" applyFill="1" applyBorder="1" applyAlignment="1" applyProtection="1">
      <alignment horizontal="left" vertical="center" indent="1"/>
      <protection locked="0"/>
    </xf>
    <xf numFmtId="0" fontId="144" fillId="23" borderId="48" xfId="0" applyFont="1" applyFill="1" applyBorder="1" applyAlignment="1" applyProtection="1">
      <alignment horizontal="left" vertical="center" indent="1"/>
      <protection locked="0"/>
    </xf>
    <xf numFmtId="0" fontId="144" fillId="23" borderId="59" xfId="0" applyFont="1" applyFill="1" applyBorder="1" applyAlignment="1" applyProtection="1">
      <alignment horizontal="left" vertical="center" indent="1"/>
      <protection locked="0"/>
    </xf>
    <xf numFmtId="3" fontId="144" fillId="23" borderId="106" xfId="0" applyNumberFormat="1" applyFont="1" applyFill="1" applyBorder="1" applyAlignment="1" applyProtection="1">
      <alignment horizontal="left" vertical="center" indent="2"/>
      <protection locked="0"/>
    </xf>
    <xf numFmtId="3" fontId="144" fillId="23" borderId="107" xfId="0" applyNumberFormat="1" applyFont="1" applyFill="1" applyBorder="1" applyAlignment="1" applyProtection="1">
      <alignment horizontal="left" vertical="center" indent="2"/>
      <protection locked="0"/>
    </xf>
    <xf numFmtId="164" fontId="101" fillId="23" borderId="88" xfId="0" applyNumberFormat="1" applyFont="1" applyFill="1" applyBorder="1" applyAlignment="1" applyProtection="1">
      <alignment horizontal="left" vertical="center" wrapText="1"/>
      <protection locked="0" hidden="1"/>
    </xf>
    <xf numFmtId="164" fontId="101" fillId="23" borderId="118" xfId="0" applyNumberFormat="1" applyFont="1" applyFill="1" applyBorder="1" applyAlignment="1" applyProtection="1">
      <alignment horizontal="left" vertical="center" wrapText="1"/>
      <protection locked="0" hidden="1"/>
    </xf>
    <xf numFmtId="164" fontId="51" fillId="23" borderId="4" xfId="0" applyNumberFormat="1" applyFont="1" applyFill="1" applyBorder="1" applyAlignment="1" applyProtection="1">
      <alignment horizontal="left" vertical="top" wrapText="1" indent="1"/>
      <protection locked="0" hidden="1"/>
    </xf>
    <xf numFmtId="164" fontId="51" fillId="23" borderId="8" xfId="0" applyNumberFormat="1" applyFont="1" applyFill="1" applyBorder="1" applyAlignment="1" applyProtection="1">
      <alignment horizontal="left" vertical="top" wrapText="1" indent="1"/>
      <protection locked="0" hidden="1"/>
    </xf>
    <xf numFmtId="164" fontId="51" fillId="23" borderId="5" xfId="0" applyNumberFormat="1" applyFont="1" applyFill="1" applyBorder="1" applyAlignment="1" applyProtection="1">
      <alignment horizontal="left" vertical="top" wrapText="1" indent="1"/>
      <protection locked="0" hidden="1"/>
    </xf>
    <xf numFmtId="0" fontId="144" fillId="25" borderId="58" xfId="0" applyFont="1" applyFill="1" applyBorder="1" applyAlignment="1" applyProtection="1">
      <alignment horizontal="left" vertical="center" wrapText="1" indent="1"/>
      <protection locked="0"/>
    </xf>
    <xf numFmtId="0" fontId="144" fillId="25" borderId="48" xfId="0" applyFont="1" applyFill="1" applyBorder="1" applyAlignment="1" applyProtection="1">
      <alignment horizontal="left" vertical="center" wrapText="1" indent="1"/>
      <protection locked="0"/>
    </xf>
    <xf numFmtId="0" fontId="144" fillId="25" borderId="59" xfId="0" applyFont="1" applyFill="1" applyBorder="1" applyAlignment="1" applyProtection="1">
      <alignment horizontal="left" vertical="center" wrapText="1" indent="1"/>
      <protection locked="0"/>
    </xf>
    <xf numFmtId="0" fontId="6" fillId="4" borderId="244" xfId="0" applyFont="1" applyFill="1" applyBorder="1" applyAlignment="1" applyProtection="1">
      <alignment horizontal="left" vertical="center" indent="1"/>
      <protection hidden="1"/>
    </xf>
    <xf numFmtId="0" fontId="6" fillId="4" borderId="54" xfId="0" applyFont="1" applyFill="1" applyBorder="1" applyAlignment="1" applyProtection="1">
      <alignment horizontal="left" vertical="center" indent="1"/>
      <protection hidden="1"/>
    </xf>
    <xf numFmtId="0" fontId="5" fillId="4" borderId="270" xfId="0" applyFont="1" applyFill="1" applyBorder="1" applyAlignment="1" applyProtection="1">
      <alignment horizontal="right" vertical="center" wrapText="1" indent="1"/>
      <protection hidden="1"/>
    </xf>
    <xf numFmtId="0" fontId="5" fillId="4" borderId="223" xfId="0" applyFont="1" applyFill="1" applyBorder="1" applyAlignment="1" applyProtection="1">
      <alignment horizontal="right" vertical="center" wrapText="1" indent="1"/>
      <protection hidden="1"/>
    </xf>
    <xf numFmtId="0" fontId="3" fillId="4" borderId="69" xfId="0" applyFont="1" applyFill="1" applyBorder="1" applyAlignment="1" applyProtection="1">
      <alignment horizontal="left" vertical="center" indent="3"/>
      <protection hidden="1"/>
    </xf>
    <xf numFmtId="0" fontId="3" fillId="4" borderId="119" xfId="0" applyFont="1" applyFill="1" applyBorder="1" applyAlignment="1" applyProtection="1">
      <alignment horizontal="left" vertical="center" indent="3"/>
      <protection hidden="1"/>
    </xf>
    <xf numFmtId="0" fontId="3" fillId="4" borderId="88" xfId="0" applyFont="1" applyFill="1" applyBorder="1" applyAlignment="1" applyProtection="1">
      <alignment horizontal="left" vertical="center" indent="3"/>
      <protection hidden="1"/>
    </xf>
    <xf numFmtId="0" fontId="5" fillId="4" borderId="101" xfId="0" applyFont="1" applyFill="1" applyBorder="1" applyAlignment="1" applyProtection="1">
      <alignment horizontal="left" vertical="center" wrapText="1"/>
      <protection hidden="1"/>
    </xf>
    <xf numFmtId="0" fontId="5" fillId="4" borderId="107" xfId="0" applyFont="1" applyFill="1" applyBorder="1" applyAlignment="1" applyProtection="1">
      <alignment horizontal="left" vertical="center" wrapText="1"/>
      <protection hidden="1"/>
    </xf>
    <xf numFmtId="164" fontId="101" fillId="23" borderId="163" xfId="0" applyNumberFormat="1" applyFont="1" applyFill="1" applyBorder="1" applyAlignment="1" applyProtection="1">
      <alignment horizontal="left" vertical="center" wrapText="1"/>
      <protection locked="0" hidden="1"/>
    </xf>
    <xf numFmtId="164" fontId="101" fillId="23" borderId="127" xfId="0" applyNumberFormat="1" applyFont="1" applyFill="1" applyBorder="1" applyAlignment="1" applyProtection="1">
      <alignment horizontal="left" vertical="center" wrapText="1"/>
      <protection locked="0" hidden="1"/>
    </xf>
    <xf numFmtId="164" fontId="101" fillId="23" borderId="119" xfId="0" applyNumberFormat="1" applyFont="1" applyFill="1" applyBorder="1" applyAlignment="1" applyProtection="1">
      <alignment horizontal="left" vertical="center" wrapText="1"/>
      <protection locked="0" hidden="1"/>
    </xf>
    <xf numFmtId="164" fontId="40" fillId="4" borderId="68" xfId="0" applyNumberFormat="1" applyFont="1" applyFill="1" applyBorder="1" applyAlignment="1">
      <alignment horizontal="center" vertical="center"/>
    </xf>
    <xf numFmtId="164" fontId="40" fillId="4" borderId="320" xfId="0" applyNumberFormat="1" applyFont="1" applyFill="1" applyBorder="1" applyAlignment="1">
      <alignment horizontal="center" vertical="center"/>
    </xf>
    <xf numFmtId="164" fontId="49" fillId="24" borderId="91" xfId="0" applyNumberFormat="1" applyFont="1" applyFill="1" applyBorder="1" applyAlignment="1" applyProtection="1">
      <alignment horizontal="center" vertical="center"/>
      <protection hidden="1"/>
    </xf>
    <xf numFmtId="164" fontId="49" fillId="24" borderId="92" xfId="0" applyNumberFormat="1" applyFont="1" applyFill="1" applyBorder="1" applyAlignment="1" applyProtection="1">
      <alignment horizontal="center" vertical="center"/>
      <protection hidden="1"/>
    </xf>
    <xf numFmtId="0" fontId="37" fillId="0" borderId="3" xfId="0" applyFont="1" applyBorder="1" applyAlignment="1" applyProtection="1">
      <alignment horizontal="center" vertical="center"/>
      <protection hidden="1"/>
    </xf>
    <xf numFmtId="0" fontId="37" fillId="0" borderId="54" xfId="0" applyFont="1" applyBorder="1" applyAlignment="1" applyProtection="1">
      <alignment horizontal="center" vertical="center"/>
      <protection hidden="1"/>
    </xf>
    <xf numFmtId="0" fontId="37" fillId="0" borderId="2" xfId="0" applyFont="1" applyBorder="1" applyAlignment="1" applyProtection="1">
      <alignment horizontal="center" vertical="center"/>
      <protection hidden="1"/>
    </xf>
    <xf numFmtId="164" fontId="50" fillId="24" borderId="48" xfId="0" applyNumberFormat="1" applyFont="1" applyFill="1" applyBorder="1" applyAlignment="1" applyProtection="1">
      <alignment horizontal="center" vertical="center"/>
      <protection hidden="1"/>
    </xf>
    <xf numFmtId="164" fontId="50" fillId="24" borderId="59" xfId="0" applyNumberFormat="1" applyFont="1" applyFill="1" applyBorder="1" applyAlignment="1" applyProtection="1">
      <alignment horizontal="center" vertical="center"/>
      <protection hidden="1"/>
    </xf>
    <xf numFmtId="0" fontId="35" fillId="4" borderId="58" xfId="0" applyFont="1" applyFill="1" applyBorder="1" applyAlignment="1" applyProtection="1">
      <alignment horizontal="center" vertical="center" wrapText="1"/>
      <protection hidden="1"/>
    </xf>
    <xf numFmtId="0" fontId="35" fillId="4" borderId="48"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right" vertical="center" wrapText="1" indent="1"/>
      <protection hidden="1"/>
    </xf>
    <xf numFmtId="0" fontId="4" fillId="4" borderId="8" xfId="0" applyFont="1" applyFill="1" applyBorder="1" applyAlignment="1" applyProtection="1">
      <alignment horizontal="right" vertical="center" wrapText="1" indent="1"/>
      <protection hidden="1"/>
    </xf>
    <xf numFmtId="0" fontId="4" fillId="4" borderId="5" xfId="0" applyFont="1" applyFill="1" applyBorder="1" applyAlignment="1" applyProtection="1">
      <alignment horizontal="right" vertical="center" wrapText="1" indent="1"/>
      <protection hidden="1"/>
    </xf>
    <xf numFmtId="164" fontId="101" fillId="23" borderId="159" xfId="0" applyNumberFormat="1" applyFont="1" applyFill="1" applyBorder="1" applyAlignment="1" applyProtection="1">
      <alignment horizontal="left" vertical="center" wrapText="1"/>
      <protection locked="0" hidden="1"/>
    </xf>
    <xf numFmtId="164" fontId="101" fillId="23" borderId="158" xfId="0" applyNumberFormat="1" applyFont="1" applyFill="1" applyBorder="1" applyAlignment="1" applyProtection="1">
      <alignment horizontal="left" vertical="center" wrapText="1"/>
      <protection locked="0" hidden="1"/>
    </xf>
    <xf numFmtId="164" fontId="101" fillId="23" borderId="162" xfId="0" applyNumberFormat="1" applyFont="1" applyFill="1" applyBorder="1" applyAlignment="1" applyProtection="1">
      <alignment horizontal="left" vertical="center" wrapText="1"/>
      <protection locked="0" hidden="1"/>
    </xf>
    <xf numFmtId="164" fontId="40" fillId="4" borderId="6" xfId="0" applyNumberFormat="1" applyFont="1" applyFill="1" applyBorder="1" applyAlignment="1">
      <alignment horizontal="center" vertical="center"/>
    </xf>
    <xf numFmtId="164" fontId="40" fillId="4" borderId="269" xfId="0" applyNumberFormat="1" applyFont="1" applyFill="1" applyBorder="1" applyAlignment="1">
      <alignment horizontal="center" vertical="center"/>
    </xf>
    <xf numFmtId="0" fontId="3" fillId="4" borderId="110" xfId="0" applyFont="1" applyFill="1" applyBorder="1" applyAlignment="1" applyProtection="1">
      <alignment horizontal="left" vertical="center" indent="3"/>
      <protection hidden="1"/>
    </xf>
    <xf numFmtId="0" fontId="3" fillId="4" borderId="156" xfId="0" applyFont="1" applyFill="1" applyBorder="1" applyAlignment="1" applyProtection="1">
      <alignment horizontal="left" vertical="center" indent="3"/>
      <protection hidden="1"/>
    </xf>
    <xf numFmtId="0" fontId="3" fillId="4" borderId="163" xfId="0" applyFont="1" applyFill="1" applyBorder="1" applyAlignment="1" applyProtection="1">
      <alignment horizontal="left" vertical="center" indent="3"/>
      <protection hidden="1"/>
    </xf>
    <xf numFmtId="0" fontId="3" fillId="4" borderId="157" xfId="0" applyFont="1" applyFill="1" applyBorder="1" applyAlignment="1" applyProtection="1">
      <alignment horizontal="left" vertical="center" indent="3"/>
      <protection hidden="1"/>
    </xf>
    <xf numFmtId="0" fontId="3" fillId="4" borderId="158" xfId="0" applyFont="1" applyFill="1" applyBorder="1" applyAlignment="1" applyProtection="1">
      <alignment horizontal="left" vertical="center" indent="3"/>
      <protection hidden="1"/>
    </xf>
    <xf numFmtId="0" fontId="3" fillId="4" borderId="159" xfId="0" applyFont="1" applyFill="1" applyBorder="1" applyAlignment="1" applyProtection="1">
      <alignment horizontal="left" vertical="center" indent="3"/>
      <protection hidden="1"/>
    </xf>
    <xf numFmtId="0" fontId="35" fillId="4" borderId="7" xfId="0" applyFont="1" applyFill="1" applyBorder="1" applyAlignment="1" applyProtection="1">
      <alignment horizontal="right" vertical="center" indent="3"/>
      <protection hidden="1"/>
    </xf>
    <xf numFmtId="0" fontId="35" fillId="4" borderId="0" xfId="0" applyFont="1" applyFill="1" applyAlignment="1" applyProtection="1">
      <alignment horizontal="right" vertical="center" indent="3"/>
      <protection hidden="1"/>
    </xf>
    <xf numFmtId="164" fontId="40" fillId="4" borderId="113" xfId="0" applyNumberFormat="1" applyFont="1" applyFill="1" applyBorder="1" applyAlignment="1">
      <alignment horizontal="center" vertical="center"/>
    </xf>
    <xf numFmtId="164" fontId="40" fillId="4" borderId="273" xfId="0" applyNumberFormat="1" applyFont="1" applyFill="1" applyBorder="1" applyAlignment="1">
      <alignment horizontal="center" vertical="center"/>
    </xf>
    <xf numFmtId="164" fontId="49" fillId="24" borderId="156" xfId="0" applyNumberFormat="1" applyFont="1" applyFill="1" applyBorder="1" applyAlignment="1" applyProtection="1">
      <alignment horizontal="center" vertical="center"/>
      <protection hidden="1"/>
    </xf>
    <xf numFmtId="164" fontId="49" fillId="24" borderId="127" xfId="0" applyNumberFormat="1" applyFont="1" applyFill="1" applyBorder="1" applyAlignment="1" applyProtection="1">
      <alignment horizontal="center" vertical="center"/>
      <protection hidden="1"/>
    </xf>
    <xf numFmtId="0" fontId="37" fillId="4" borderId="3" xfId="0" applyFont="1" applyFill="1" applyBorder="1" applyAlignment="1" applyProtection="1">
      <alignment horizontal="left" vertical="center" wrapText="1" indent="1"/>
      <protection hidden="1"/>
    </xf>
    <xf numFmtId="0" fontId="37" fillId="4" borderId="2" xfId="0" applyFont="1" applyFill="1" applyBorder="1" applyAlignment="1" applyProtection="1">
      <alignment horizontal="left" vertical="center" wrapText="1" indent="1"/>
      <protection hidden="1"/>
    </xf>
    <xf numFmtId="0" fontId="37" fillId="4" borderId="54" xfId="0" applyFont="1" applyFill="1" applyBorder="1" applyAlignment="1" applyProtection="1">
      <alignment horizontal="left" vertical="center" wrapText="1" indent="1"/>
      <protection hidden="1"/>
    </xf>
    <xf numFmtId="0" fontId="37" fillId="4" borderId="4" xfId="0" applyFont="1" applyFill="1" applyBorder="1" applyAlignment="1" applyProtection="1">
      <alignment horizontal="left" vertical="center" wrapText="1" indent="1"/>
      <protection hidden="1"/>
    </xf>
    <xf numFmtId="0" fontId="37" fillId="4" borderId="8" xfId="0" applyFont="1" applyFill="1" applyBorder="1" applyAlignment="1" applyProtection="1">
      <alignment horizontal="left" vertical="center" wrapText="1" indent="1"/>
      <protection hidden="1"/>
    </xf>
    <xf numFmtId="0" fontId="37" fillId="4" borderId="5" xfId="0" applyFont="1" applyFill="1" applyBorder="1" applyAlignment="1" applyProtection="1">
      <alignment horizontal="left" vertical="center" wrapText="1" indent="1"/>
      <protection hidden="1"/>
    </xf>
    <xf numFmtId="0" fontId="37" fillId="4" borderId="7" xfId="0" applyFont="1" applyFill="1" applyBorder="1" applyAlignment="1" applyProtection="1">
      <alignment horizontal="right" indent="3"/>
      <protection hidden="1"/>
    </xf>
    <xf numFmtId="0" fontId="37" fillId="4" borderId="0" xfId="0" applyFont="1" applyFill="1" applyAlignment="1" applyProtection="1">
      <alignment horizontal="right" indent="3"/>
      <protection hidden="1"/>
    </xf>
    <xf numFmtId="0" fontId="5" fillId="4" borderId="135" xfId="0" applyFont="1" applyFill="1" applyBorder="1" applyAlignment="1" applyProtection="1">
      <alignment horizontal="left" vertical="center" wrapText="1"/>
      <protection hidden="1"/>
    </xf>
    <xf numFmtId="164" fontId="111" fillId="4" borderId="4" xfId="0" applyNumberFormat="1" applyFont="1" applyFill="1" applyBorder="1" applyAlignment="1">
      <alignment horizontal="center" vertical="center"/>
    </xf>
    <xf numFmtId="164" fontId="111" fillId="4" borderId="247" xfId="0" applyNumberFormat="1" applyFont="1" applyFill="1" applyBorder="1" applyAlignment="1">
      <alignment horizontal="center" vertical="center"/>
    </xf>
    <xf numFmtId="164" fontId="40" fillId="4" borderId="73" xfId="0" applyNumberFormat="1" applyFont="1" applyFill="1" applyBorder="1" applyAlignment="1">
      <alignment horizontal="center" vertical="center"/>
    </xf>
    <xf numFmtId="164" fontId="40" fillId="4" borderId="319" xfId="0" applyNumberFormat="1" applyFont="1" applyFill="1" applyBorder="1" applyAlignment="1">
      <alignment horizontal="center" vertical="center"/>
    </xf>
    <xf numFmtId="164" fontId="111" fillId="4" borderId="90" xfId="0" applyNumberFormat="1" applyFont="1" applyFill="1" applyBorder="1" applyAlignment="1">
      <alignment horizontal="center" vertical="center"/>
    </xf>
    <xf numFmtId="164" fontId="111" fillId="4" borderId="318" xfId="0" applyNumberFormat="1" applyFont="1" applyFill="1" applyBorder="1" applyAlignment="1">
      <alignment horizontal="center" vertical="center"/>
    </xf>
    <xf numFmtId="164" fontId="111" fillId="4" borderId="58" xfId="0" applyNumberFormat="1" applyFont="1" applyFill="1" applyBorder="1" applyAlignment="1">
      <alignment horizontal="center" vertical="center"/>
    </xf>
    <xf numFmtId="164" fontId="111" fillId="4" borderId="314" xfId="0" applyNumberFormat="1" applyFont="1" applyFill="1" applyBorder="1" applyAlignment="1">
      <alignment horizontal="center" vertical="center"/>
    </xf>
    <xf numFmtId="0" fontId="5" fillId="4" borderId="307" xfId="0" applyFont="1" applyFill="1" applyBorder="1" applyAlignment="1" applyProtection="1">
      <alignment horizontal="left" vertical="center" indent="1"/>
      <protection hidden="1"/>
    </xf>
    <xf numFmtId="0" fontId="5" fillId="4" borderId="92" xfId="0" applyFont="1" applyFill="1" applyBorder="1" applyAlignment="1" applyProtection="1">
      <alignment horizontal="left" vertical="center" indent="1"/>
      <protection hidden="1"/>
    </xf>
    <xf numFmtId="0" fontId="144" fillId="23" borderId="222" xfId="0" applyFont="1" applyFill="1" applyBorder="1" applyAlignment="1" applyProtection="1">
      <alignment horizontal="left" vertical="center" wrapText="1" indent="1"/>
      <protection locked="0"/>
    </xf>
    <xf numFmtId="0" fontId="144" fillId="23" borderId="183" xfId="0" applyFont="1" applyFill="1" applyBorder="1" applyAlignment="1" applyProtection="1">
      <alignment horizontal="left" vertical="center" wrapText="1" indent="1"/>
      <protection locked="0"/>
    </xf>
    <xf numFmtId="0" fontId="144" fillId="23" borderId="285" xfId="0" applyFont="1" applyFill="1" applyBorder="1" applyAlignment="1" applyProtection="1">
      <alignment horizontal="left" vertical="center" wrapText="1" indent="1"/>
      <protection locked="0"/>
    </xf>
    <xf numFmtId="0" fontId="6" fillId="4" borderId="307" xfId="0" applyFont="1" applyFill="1" applyBorder="1" applyAlignment="1" applyProtection="1">
      <alignment horizontal="left" vertical="center" indent="1"/>
      <protection hidden="1"/>
    </xf>
    <xf numFmtId="0" fontId="6" fillId="4" borderId="92" xfId="0" applyFont="1" applyFill="1" applyBorder="1" applyAlignment="1" applyProtection="1">
      <alignment horizontal="left" vertical="center" indent="1"/>
      <protection hidden="1"/>
    </xf>
    <xf numFmtId="0" fontId="5" fillId="4" borderId="313" xfId="0" applyFont="1" applyFill="1" applyBorder="1" applyAlignment="1" applyProtection="1">
      <alignment horizontal="left" vertical="center" indent="1"/>
      <protection hidden="1"/>
    </xf>
    <xf numFmtId="0" fontId="5" fillId="4" borderId="59" xfId="0" applyFont="1" applyFill="1" applyBorder="1" applyAlignment="1" applyProtection="1">
      <alignment horizontal="left" vertical="center" indent="1"/>
      <protection hidden="1"/>
    </xf>
    <xf numFmtId="164" fontId="40" fillId="4" borderId="130" xfId="0" applyNumberFormat="1" applyFont="1" applyFill="1" applyBorder="1" applyAlignment="1">
      <alignment horizontal="center" vertical="center"/>
    </xf>
    <xf numFmtId="164" fontId="40" fillId="4" borderId="329" xfId="0" applyNumberFormat="1" applyFont="1" applyFill="1" applyBorder="1" applyAlignment="1">
      <alignment horizontal="center" vertical="center"/>
    </xf>
    <xf numFmtId="0" fontId="6" fillId="4" borderId="313" xfId="0" applyFont="1" applyFill="1" applyBorder="1" applyAlignment="1" applyProtection="1">
      <alignment horizontal="left" vertical="center" indent="1"/>
      <protection hidden="1"/>
    </xf>
    <xf numFmtId="0" fontId="6" fillId="4" borderId="59" xfId="0" applyFont="1" applyFill="1" applyBorder="1" applyAlignment="1" applyProtection="1">
      <alignment horizontal="left" vertical="center" indent="1"/>
      <protection hidden="1"/>
    </xf>
    <xf numFmtId="0" fontId="6" fillId="4" borderId="274" xfId="0" applyFont="1" applyFill="1" applyBorder="1" applyAlignment="1" applyProtection="1">
      <alignment horizontal="left" vertical="center" indent="1"/>
      <protection hidden="1"/>
    </xf>
    <xf numFmtId="0" fontId="6" fillId="4" borderId="118" xfId="0" applyFont="1" applyFill="1" applyBorder="1" applyAlignment="1" applyProtection="1">
      <alignment horizontal="left" vertical="center" indent="1"/>
      <protection hidden="1"/>
    </xf>
    <xf numFmtId="164" fontId="40" fillId="4" borderId="1" xfId="0" applyNumberFormat="1" applyFont="1" applyFill="1" applyBorder="1" applyAlignment="1">
      <alignment horizontal="center" vertical="center"/>
    </xf>
    <xf numFmtId="164" fontId="40" fillId="4" borderId="317" xfId="0" applyNumberFormat="1" applyFont="1" applyFill="1" applyBorder="1" applyAlignment="1">
      <alignment horizontal="center" vertical="center"/>
    </xf>
    <xf numFmtId="164" fontId="111" fillId="4" borderId="85" xfId="0" applyNumberFormat="1" applyFont="1" applyFill="1" applyBorder="1" applyAlignment="1">
      <alignment horizontal="center" vertical="center"/>
    </xf>
    <xf numFmtId="164" fontId="111" fillId="4" borderId="327" xfId="0" applyNumberFormat="1" applyFont="1" applyFill="1" applyBorder="1" applyAlignment="1">
      <alignment horizontal="center" vertical="center"/>
    </xf>
    <xf numFmtId="164" fontId="40" fillId="4" borderId="198" xfId="0" applyNumberFormat="1" applyFont="1" applyFill="1" applyBorder="1" applyAlignment="1">
      <alignment horizontal="center" vertical="center"/>
    </xf>
    <xf numFmtId="164" fontId="40" fillId="4" borderId="280" xfId="0" applyNumberFormat="1" applyFont="1" applyFill="1" applyBorder="1" applyAlignment="1">
      <alignment horizontal="center" vertical="center"/>
    </xf>
    <xf numFmtId="0" fontId="5" fillId="4" borderId="276" xfId="0" applyFont="1" applyFill="1" applyBorder="1" applyAlignment="1" applyProtection="1">
      <alignment horizontal="left" vertical="center" indent="1"/>
      <protection hidden="1"/>
    </xf>
    <xf numFmtId="0" fontId="5" fillId="4" borderId="193" xfId="0" applyFont="1" applyFill="1" applyBorder="1" applyAlignment="1" applyProtection="1">
      <alignment horizontal="left" vertical="center" indent="1"/>
      <protection hidden="1"/>
    </xf>
    <xf numFmtId="0" fontId="5" fillId="4" borderId="272" xfId="0" applyFont="1" applyFill="1" applyBorder="1" applyAlignment="1" applyProtection="1">
      <alignment horizontal="left" vertical="center" indent="1"/>
      <protection hidden="1"/>
    </xf>
    <xf numFmtId="0" fontId="5" fillId="4" borderId="127" xfId="0" applyFont="1" applyFill="1" applyBorder="1" applyAlignment="1" applyProtection="1">
      <alignment horizontal="left" vertical="center" indent="1"/>
      <protection hidden="1"/>
    </xf>
    <xf numFmtId="164" fontId="151" fillId="33" borderId="63" xfId="0" applyNumberFormat="1" applyFont="1" applyFill="1" applyBorder="1" applyAlignment="1">
      <alignment horizontal="center" vertical="center"/>
    </xf>
    <xf numFmtId="164" fontId="151" fillId="33" borderId="286" xfId="0" applyNumberFormat="1" applyFont="1" applyFill="1" applyBorder="1" applyAlignment="1">
      <alignment horizontal="center" vertical="center"/>
    </xf>
    <xf numFmtId="164" fontId="41" fillId="4" borderId="211" xfId="0" applyNumberFormat="1" applyFont="1" applyFill="1" applyBorder="1" applyAlignment="1">
      <alignment horizontal="center" vertical="center"/>
    </xf>
    <xf numFmtId="164" fontId="41" fillId="4" borderId="284" xfId="0" applyNumberFormat="1" applyFont="1" applyFill="1" applyBorder="1" applyAlignment="1">
      <alignment horizontal="center" vertical="center"/>
    </xf>
    <xf numFmtId="164" fontId="41" fillId="4" borderId="113" xfId="0" applyNumberFormat="1" applyFont="1" applyFill="1" applyBorder="1" applyAlignment="1">
      <alignment horizontal="center" vertical="center"/>
    </xf>
    <xf numFmtId="164" fontId="41" fillId="4" borderId="273" xfId="0" applyNumberFormat="1" applyFont="1" applyFill="1" applyBorder="1" applyAlignment="1">
      <alignment horizontal="center" vertical="center"/>
    </xf>
    <xf numFmtId="0" fontId="37" fillId="4" borderId="52" xfId="0" applyFont="1" applyFill="1" applyBorder="1" applyAlignment="1" applyProtection="1">
      <alignment horizontal="left" vertical="center" wrapText="1" indent="1"/>
      <protection hidden="1"/>
    </xf>
    <xf numFmtId="0" fontId="37" fillId="4" borderId="46" xfId="0" applyFont="1" applyFill="1" applyBorder="1" applyAlignment="1" applyProtection="1">
      <alignment horizontal="left" vertical="center" wrapText="1" indent="1"/>
      <protection hidden="1"/>
    </xf>
    <xf numFmtId="164" fontId="40" fillId="4" borderId="231" xfId="0" applyNumberFormat="1" applyFont="1" applyFill="1" applyBorder="1" applyAlignment="1">
      <alignment horizontal="center" vertical="center"/>
    </xf>
    <xf numFmtId="164" fontId="40" fillId="4" borderId="288" xfId="0" applyNumberFormat="1" applyFont="1" applyFill="1" applyBorder="1" applyAlignment="1">
      <alignment horizontal="center" vertical="center"/>
    </xf>
    <xf numFmtId="0" fontId="6" fillId="4" borderId="272" xfId="0" applyFont="1" applyFill="1" applyBorder="1" applyAlignment="1" applyProtection="1">
      <alignment horizontal="left" vertical="center" indent="1"/>
      <protection hidden="1"/>
    </xf>
    <xf numFmtId="0" fontId="6" fillId="4" borderId="127" xfId="0" applyFont="1" applyFill="1" applyBorder="1" applyAlignment="1" applyProtection="1">
      <alignment horizontal="left" vertical="center" indent="1"/>
      <protection hidden="1"/>
    </xf>
    <xf numFmtId="0" fontId="6" fillId="4" borderId="316" xfId="0" applyFont="1" applyFill="1" applyBorder="1" applyAlignment="1" applyProtection="1">
      <alignment horizontal="left" vertical="center" indent="1"/>
      <protection hidden="1"/>
    </xf>
    <xf numFmtId="0" fontId="6" fillId="4" borderId="186" xfId="0" applyFont="1" applyFill="1" applyBorder="1" applyAlignment="1" applyProtection="1">
      <alignment horizontal="left" vertical="center" indent="1"/>
      <protection hidden="1"/>
    </xf>
    <xf numFmtId="0" fontId="143" fillId="23" borderId="222" xfId="0" applyFont="1" applyFill="1" applyBorder="1" applyAlignment="1" applyProtection="1">
      <alignment horizontal="left" vertical="center" wrapText="1" indent="1"/>
      <protection locked="0"/>
    </xf>
    <xf numFmtId="0" fontId="143" fillId="23" borderId="183" xfId="0" applyFont="1" applyFill="1" applyBorder="1" applyAlignment="1" applyProtection="1">
      <alignment horizontal="left" vertical="center" wrapText="1" indent="1"/>
      <protection locked="0"/>
    </xf>
    <xf numFmtId="0" fontId="143" fillId="23" borderId="285" xfId="0" applyFont="1" applyFill="1" applyBorder="1" applyAlignment="1" applyProtection="1">
      <alignment horizontal="left" vertical="center" wrapText="1" indent="1"/>
      <protection locked="0"/>
    </xf>
    <xf numFmtId="164" fontId="40" fillId="4" borderId="210" xfId="0" applyNumberFormat="1" applyFont="1" applyFill="1" applyBorder="1" applyAlignment="1">
      <alignment horizontal="center" vertical="center"/>
    </xf>
    <xf numFmtId="164" fontId="40" fillId="4" borderId="278" xfId="0" applyNumberFormat="1" applyFont="1" applyFill="1" applyBorder="1" applyAlignment="1">
      <alignment horizontal="center" vertical="center"/>
    </xf>
    <xf numFmtId="0" fontId="5" fillId="4" borderId="248" xfId="0" applyFont="1" applyFill="1" applyBorder="1" applyAlignment="1" applyProtection="1">
      <alignment horizontal="left" vertical="center" indent="1"/>
      <protection hidden="1"/>
    </xf>
    <xf numFmtId="0" fontId="5" fillId="4" borderId="5" xfId="0" applyFont="1" applyFill="1" applyBorder="1" applyAlignment="1" applyProtection="1">
      <alignment horizontal="left" vertical="center" indent="1"/>
      <protection hidden="1"/>
    </xf>
    <xf numFmtId="164" fontId="151" fillId="33" borderId="220" xfId="0" applyNumberFormat="1" applyFont="1" applyFill="1" applyBorder="1" applyAlignment="1">
      <alignment horizontal="center" vertical="center"/>
    </xf>
    <xf numFmtId="164" fontId="151" fillId="33" borderId="271" xfId="0" applyNumberFormat="1" applyFont="1" applyFill="1" applyBorder="1" applyAlignment="1">
      <alignment horizontal="center" vertical="center"/>
    </xf>
    <xf numFmtId="164" fontId="40" fillId="4" borderId="67" xfId="0" applyNumberFormat="1" applyFont="1" applyFill="1" applyBorder="1" applyAlignment="1">
      <alignment horizontal="center" vertical="center"/>
    </xf>
    <xf numFmtId="164" fontId="40" fillId="4" borderId="275" xfId="0" applyNumberFormat="1" applyFont="1" applyFill="1" applyBorder="1" applyAlignment="1">
      <alignment horizontal="center" vertical="center"/>
    </xf>
    <xf numFmtId="0" fontId="37" fillId="4" borderId="264" xfId="0" applyFont="1" applyFill="1" applyBorder="1" applyAlignment="1" applyProtection="1">
      <alignment horizontal="left" vertical="center" indent="1"/>
      <protection hidden="1"/>
    </xf>
    <xf numFmtId="0" fontId="37" fillId="4" borderId="265" xfId="0" applyFont="1" applyFill="1" applyBorder="1" applyAlignment="1" applyProtection="1">
      <alignment horizontal="left" vertical="center" indent="1"/>
      <protection hidden="1"/>
    </xf>
    <xf numFmtId="0" fontId="43" fillId="4" borderId="64" xfId="0" applyFont="1" applyFill="1" applyBorder="1" applyAlignment="1" applyProtection="1">
      <alignment horizontal="left" vertical="center" indent="3"/>
      <protection hidden="1"/>
    </xf>
    <xf numFmtId="0" fontId="43" fillId="4" borderId="120" xfId="0" applyFont="1" applyFill="1" applyBorder="1" applyAlignment="1" applyProtection="1">
      <alignment horizontal="left" vertical="center" indent="3"/>
      <protection hidden="1"/>
    </xf>
    <xf numFmtId="0" fontId="43" fillId="4" borderId="89" xfId="0" applyFont="1" applyFill="1" applyBorder="1" applyAlignment="1" applyProtection="1">
      <alignment horizontal="left" vertical="center" indent="3"/>
      <protection hidden="1"/>
    </xf>
    <xf numFmtId="164" fontId="40" fillId="4" borderId="114" xfId="0" applyNumberFormat="1" applyFont="1" applyFill="1" applyBorder="1" applyAlignment="1">
      <alignment horizontal="center" vertical="center"/>
    </xf>
    <xf numFmtId="164" fontId="40" fillId="4" borderId="315" xfId="0" applyNumberFormat="1" applyFont="1" applyFill="1" applyBorder="1" applyAlignment="1">
      <alignment horizontal="center" vertical="center"/>
    </xf>
    <xf numFmtId="0" fontId="43" fillId="4" borderId="69" xfId="0" applyFont="1" applyFill="1" applyBorder="1" applyAlignment="1" applyProtection="1">
      <alignment horizontal="left" vertical="center" indent="3"/>
      <protection hidden="1"/>
    </xf>
    <xf numFmtId="0" fontId="43" fillId="4" borderId="119" xfId="0" applyFont="1" applyFill="1" applyBorder="1" applyAlignment="1" applyProtection="1">
      <alignment horizontal="left" vertical="center" indent="3"/>
      <protection hidden="1"/>
    </xf>
    <xf numFmtId="0" fontId="43" fillId="4" borderId="88" xfId="0" applyFont="1" applyFill="1" applyBorder="1" applyAlignment="1" applyProtection="1">
      <alignment horizontal="left" vertical="center" indent="3"/>
      <protection hidden="1"/>
    </xf>
    <xf numFmtId="164" fontId="101" fillId="23" borderId="156" xfId="0" applyNumberFormat="1" applyFont="1" applyFill="1" applyBorder="1" applyAlignment="1" applyProtection="1">
      <alignment horizontal="left" vertical="center" wrapText="1"/>
      <protection locked="0" hidden="1"/>
    </xf>
    <xf numFmtId="0" fontId="37" fillId="4" borderId="267" xfId="0" applyFont="1" applyFill="1" applyBorder="1" applyAlignment="1" applyProtection="1">
      <alignment horizontal="left" vertical="center" wrapText="1" indent="1"/>
      <protection hidden="1"/>
    </xf>
    <xf numFmtId="0" fontId="37" fillId="4" borderId="268" xfId="0" applyFont="1" applyFill="1" applyBorder="1" applyAlignment="1" applyProtection="1">
      <alignment horizontal="left" vertical="center" wrapText="1" indent="1"/>
      <protection hidden="1"/>
    </xf>
    <xf numFmtId="0" fontId="37" fillId="4" borderId="6" xfId="0" applyFont="1" applyFill="1" applyBorder="1" applyAlignment="1" applyProtection="1">
      <alignment horizontal="left" vertical="center" wrapText="1" indent="1"/>
      <protection hidden="1"/>
    </xf>
    <xf numFmtId="0" fontId="37" fillId="4" borderId="269" xfId="0" applyFont="1" applyFill="1" applyBorder="1" applyAlignment="1" applyProtection="1">
      <alignment horizontal="left" vertical="center" wrapText="1" indent="1"/>
      <protection hidden="1"/>
    </xf>
    <xf numFmtId="0" fontId="37" fillId="4" borderId="324" xfId="0" applyFont="1" applyFill="1" applyBorder="1" applyAlignment="1" applyProtection="1">
      <alignment horizontal="left" vertical="center" wrapText="1" indent="1"/>
      <protection hidden="1"/>
    </xf>
    <xf numFmtId="0" fontId="37" fillId="4" borderId="325" xfId="0" applyFont="1" applyFill="1" applyBorder="1" applyAlignment="1" applyProtection="1">
      <alignment horizontal="left" vertical="center" wrapText="1" indent="1"/>
      <protection hidden="1"/>
    </xf>
    <xf numFmtId="0" fontId="37" fillId="4" borderId="55" xfId="0" applyFont="1" applyFill="1" applyBorder="1" applyAlignment="1" applyProtection="1">
      <alignment horizontal="left" vertical="center" wrapText="1" indent="1"/>
      <protection hidden="1"/>
    </xf>
    <xf numFmtId="0" fontId="37" fillId="4" borderId="249" xfId="0" applyFont="1" applyFill="1" applyBorder="1" applyAlignment="1" applyProtection="1">
      <alignment horizontal="left" vertical="center" wrapText="1" indent="1"/>
      <protection hidden="1"/>
    </xf>
    <xf numFmtId="164" fontId="40" fillId="4" borderId="72" xfId="0" applyNumberFormat="1" applyFont="1" applyFill="1" applyBorder="1" applyAlignment="1">
      <alignment horizontal="center" vertical="center"/>
    </xf>
    <xf numFmtId="164" fontId="40" fillId="4" borderId="309" xfId="0" applyNumberFormat="1" applyFont="1" applyFill="1" applyBorder="1" applyAlignment="1">
      <alignment horizontal="center" vertical="center"/>
    </xf>
    <xf numFmtId="164" fontId="111" fillId="4" borderId="124" xfId="0" applyNumberFormat="1" applyFont="1" applyFill="1" applyBorder="1" applyAlignment="1">
      <alignment horizontal="center" vertical="center"/>
    </xf>
    <xf numFmtId="164" fontId="111" fillId="4" borderId="328" xfId="0" applyNumberFormat="1" applyFont="1" applyFill="1" applyBorder="1" applyAlignment="1">
      <alignment horizontal="center" vertical="center"/>
    </xf>
    <xf numFmtId="0" fontId="1" fillId="33" borderId="49" xfId="0" applyFont="1" applyFill="1" applyBorder="1" applyAlignment="1" applyProtection="1">
      <alignment horizontal="left" vertical="center" wrapText="1" indent="1"/>
      <protection hidden="1"/>
    </xf>
    <xf numFmtId="0" fontId="1" fillId="33" borderId="50" xfId="0" applyFont="1" applyFill="1" applyBorder="1" applyAlignment="1" applyProtection="1">
      <alignment horizontal="left" vertical="center" wrapText="1" indent="1"/>
      <protection hidden="1"/>
    </xf>
    <xf numFmtId="0" fontId="1" fillId="33" borderId="51" xfId="0" applyFont="1" applyFill="1" applyBorder="1" applyAlignment="1" applyProtection="1">
      <alignment horizontal="left" vertical="center" wrapText="1" indent="1"/>
      <protection hidden="1"/>
    </xf>
    <xf numFmtId="164" fontId="40" fillId="4" borderId="203" xfId="0" applyNumberFormat="1" applyFont="1" applyFill="1" applyBorder="1" applyAlignment="1">
      <alignment horizontal="center" vertical="center"/>
    </xf>
    <xf numFmtId="164" fontId="40" fillId="4" borderId="311" xfId="0" applyNumberFormat="1" applyFont="1" applyFill="1" applyBorder="1" applyAlignment="1">
      <alignment horizontal="center" vertical="center"/>
    </xf>
    <xf numFmtId="164" fontId="40" fillId="4" borderId="216" xfId="0" applyNumberFormat="1" applyFont="1" applyFill="1" applyBorder="1" applyAlignment="1">
      <alignment horizontal="center" vertical="center"/>
    </xf>
    <xf numFmtId="164" fontId="40" fillId="4" borderId="282" xfId="0" applyNumberFormat="1" applyFont="1" applyFill="1" applyBorder="1" applyAlignment="1">
      <alignment horizontal="center" vertical="center"/>
    </xf>
    <xf numFmtId="164" fontId="40" fillId="4" borderId="63" xfId="0" applyNumberFormat="1" applyFont="1" applyFill="1" applyBorder="1" applyAlignment="1">
      <alignment horizontal="center" vertical="center"/>
    </xf>
    <xf numFmtId="164" fontId="40" fillId="4" borderId="286" xfId="0" applyNumberFormat="1" applyFont="1" applyFill="1" applyBorder="1" applyAlignment="1">
      <alignment horizontal="center" vertical="center"/>
    </xf>
    <xf numFmtId="0" fontId="37" fillId="4" borderId="0" xfId="0" applyFont="1" applyFill="1" applyAlignment="1" applyProtection="1">
      <alignment horizontal="left" vertical="center" wrapText="1" indent="1"/>
      <protection hidden="1"/>
    </xf>
    <xf numFmtId="0" fontId="37" fillId="4" borderId="0" xfId="0" applyFont="1" applyFill="1" applyAlignment="1" applyProtection="1">
      <alignment horizontal="left" vertical="center" indent="1"/>
      <protection hidden="1"/>
    </xf>
    <xf numFmtId="0" fontId="37" fillId="4" borderId="306" xfId="0" applyFont="1" applyFill="1" applyBorder="1" applyAlignment="1" applyProtection="1">
      <alignment horizontal="left" vertical="center" wrapText="1" indent="1"/>
      <protection hidden="1"/>
    </xf>
    <xf numFmtId="0" fontId="144" fillId="23" borderId="3" xfId="0" applyFont="1" applyFill="1" applyBorder="1" applyAlignment="1" applyProtection="1">
      <alignment horizontal="left" vertical="center" wrapText="1" indent="1"/>
      <protection locked="0"/>
    </xf>
    <xf numFmtId="0" fontId="144" fillId="23" borderId="2" xfId="0" applyFont="1" applyFill="1" applyBorder="1" applyAlignment="1" applyProtection="1">
      <alignment horizontal="left" vertical="center" wrapText="1" indent="1"/>
      <protection locked="0"/>
    </xf>
    <xf numFmtId="0" fontId="144" fillId="23" borderId="54" xfId="0" applyFont="1" applyFill="1" applyBorder="1" applyAlignment="1" applyProtection="1">
      <alignment horizontal="left" vertical="center" wrapText="1" indent="1"/>
      <protection locked="0"/>
    </xf>
    <xf numFmtId="0" fontId="144" fillId="23" borderId="8" xfId="0" applyFont="1" applyFill="1" applyBorder="1" applyAlignment="1" applyProtection="1">
      <alignment horizontal="left" vertical="center" wrapText="1" indent="1"/>
      <protection locked="0"/>
    </xf>
    <xf numFmtId="0" fontId="144" fillId="23" borderId="85" xfId="0" applyFont="1" applyFill="1" applyBorder="1" applyAlignment="1" applyProtection="1">
      <alignment horizontal="left" vertical="center" wrapText="1" indent="1"/>
      <protection locked="0"/>
    </xf>
    <xf numFmtId="0" fontId="144" fillId="23" borderId="185" xfId="0" applyFont="1" applyFill="1" applyBorder="1" applyAlignment="1" applyProtection="1">
      <alignment horizontal="left" vertical="center" wrapText="1" indent="1"/>
      <protection locked="0"/>
    </xf>
    <xf numFmtId="0" fontId="144" fillId="23" borderId="86" xfId="0" applyFont="1" applyFill="1" applyBorder="1" applyAlignment="1" applyProtection="1">
      <alignment horizontal="left" vertical="center" wrapText="1" indent="1"/>
      <protection locked="0"/>
    </xf>
    <xf numFmtId="0" fontId="51" fillId="23" borderId="106" xfId="0" applyFont="1" applyFill="1" applyBorder="1" applyAlignment="1" applyProtection="1">
      <alignment horizontal="left" vertical="center" wrapText="1" indent="1"/>
      <protection locked="0"/>
    </xf>
    <xf numFmtId="0" fontId="51" fillId="23" borderId="135" xfId="0" applyFont="1" applyFill="1" applyBorder="1" applyAlignment="1" applyProtection="1">
      <alignment horizontal="left" vertical="center" wrapText="1" indent="1"/>
      <protection locked="0"/>
    </xf>
    <xf numFmtId="0" fontId="51" fillId="23" borderId="107" xfId="0" applyFont="1" applyFill="1" applyBorder="1" applyAlignment="1" applyProtection="1">
      <alignment horizontal="left" vertical="center" wrapText="1" indent="1"/>
      <protection locked="0"/>
    </xf>
    <xf numFmtId="0" fontId="38" fillId="5" borderId="2" xfId="0" applyFont="1" applyFill="1" applyBorder="1" applyAlignment="1" applyProtection="1">
      <alignment horizontal="left" vertical="top" wrapText="1" indent="4"/>
      <protection hidden="1"/>
    </xf>
    <xf numFmtId="0" fontId="35" fillId="4" borderId="7" xfId="0" applyFont="1" applyFill="1" applyBorder="1" applyAlignment="1" applyProtection="1">
      <alignment horizontal="left" vertical="center" wrapText="1" indent="1"/>
      <protection hidden="1"/>
    </xf>
    <xf numFmtId="0" fontId="144" fillId="23" borderId="106" xfId="0" applyFont="1" applyFill="1" applyBorder="1" applyAlignment="1" applyProtection="1">
      <alignment horizontal="left" vertical="center" wrapText="1" indent="1"/>
      <protection locked="0"/>
    </xf>
    <xf numFmtId="0" fontId="144" fillId="23" borderId="107" xfId="0" applyFont="1" applyFill="1" applyBorder="1" applyAlignment="1" applyProtection="1">
      <alignment horizontal="left" vertical="center" wrapText="1" indent="1"/>
      <protection locked="0"/>
    </xf>
    <xf numFmtId="0" fontId="143" fillId="23" borderId="135" xfId="0" applyFont="1" applyFill="1" applyBorder="1" applyAlignment="1" applyProtection="1">
      <alignment horizontal="left" vertical="center" wrapText="1" indent="1"/>
      <protection locked="0"/>
    </xf>
    <xf numFmtId="0" fontId="38" fillId="4" borderId="7" xfId="0" applyFont="1" applyFill="1" applyBorder="1" applyAlignment="1" applyProtection="1">
      <alignment horizontal="left" vertical="top" wrapText="1" indent="6"/>
      <protection hidden="1"/>
    </xf>
    <xf numFmtId="0" fontId="38" fillId="4" borderId="0" xfId="0" applyFont="1" applyFill="1" applyAlignment="1" applyProtection="1">
      <alignment horizontal="left" vertical="top" wrapText="1" indent="6"/>
      <protection hidden="1"/>
    </xf>
    <xf numFmtId="0" fontId="38" fillId="4" borderId="46" xfId="0" applyFont="1" applyFill="1" applyBorder="1" applyAlignment="1" applyProtection="1">
      <alignment horizontal="left" vertical="top" wrapText="1" indent="6"/>
      <protection hidden="1"/>
    </xf>
    <xf numFmtId="0" fontId="51" fillId="23" borderId="3" xfId="0" applyFont="1" applyFill="1" applyBorder="1" applyAlignment="1" applyProtection="1">
      <alignment horizontal="left" vertical="top" wrapText="1" indent="1"/>
      <protection locked="0"/>
    </xf>
    <xf numFmtId="0" fontId="51" fillId="23" borderId="2" xfId="0" applyFont="1" applyFill="1" applyBorder="1" applyAlignment="1" applyProtection="1">
      <alignment horizontal="left" vertical="top" wrapText="1" indent="1"/>
      <protection locked="0"/>
    </xf>
    <xf numFmtId="0" fontId="51" fillId="23" borderId="54" xfId="0" applyFont="1" applyFill="1" applyBorder="1" applyAlignment="1" applyProtection="1">
      <alignment horizontal="left" vertical="top" wrapText="1" indent="1"/>
      <protection locked="0"/>
    </xf>
    <xf numFmtId="0" fontId="51" fillId="23" borderId="7" xfId="0" applyFont="1" applyFill="1" applyBorder="1" applyAlignment="1" applyProtection="1">
      <alignment horizontal="left" vertical="top" wrapText="1" indent="1"/>
      <protection locked="0"/>
    </xf>
    <xf numFmtId="0" fontId="51" fillId="23" borderId="0" xfId="0" applyFont="1" applyFill="1" applyAlignment="1" applyProtection="1">
      <alignment horizontal="left" vertical="top" wrapText="1" indent="1"/>
      <protection locked="0"/>
    </xf>
    <xf numFmtId="0" fontId="51" fillId="23" borderId="46" xfId="0" applyFont="1" applyFill="1" applyBorder="1" applyAlignment="1" applyProtection="1">
      <alignment horizontal="left" vertical="top" wrapText="1" indent="1"/>
      <protection locked="0"/>
    </xf>
    <xf numFmtId="0" fontId="51" fillId="23" borderId="4" xfId="0" applyFont="1" applyFill="1" applyBorder="1" applyAlignment="1" applyProtection="1">
      <alignment horizontal="left" vertical="top" wrapText="1" indent="1"/>
      <protection locked="0"/>
    </xf>
    <xf numFmtId="0" fontId="51" fillId="23" borderId="8" xfId="0" applyFont="1" applyFill="1" applyBorder="1" applyAlignment="1" applyProtection="1">
      <alignment horizontal="left" vertical="top" wrapText="1" indent="1"/>
      <protection locked="0"/>
    </xf>
    <xf numFmtId="0" fontId="51" fillId="23" borderId="5" xfId="0" applyFont="1" applyFill="1" applyBorder="1" applyAlignment="1" applyProtection="1">
      <alignment horizontal="left" vertical="top" wrapText="1" indent="1"/>
      <protection locked="0"/>
    </xf>
    <xf numFmtId="14" fontId="6" fillId="4" borderId="58" xfId="1" applyNumberFormat="1" applyFont="1" applyFill="1" applyBorder="1" applyAlignment="1" applyProtection="1">
      <alignment horizontal="left" vertical="center" wrapText="1" indent="1"/>
      <protection hidden="1"/>
    </xf>
    <xf numFmtId="14" fontId="6" fillId="4" borderId="59" xfId="1" applyNumberFormat="1" applyFont="1" applyFill="1" applyBorder="1" applyAlignment="1" applyProtection="1">
      <alignment horizontal="left" vertical="center" wrapText="1" indent="1"/>
      <protection hidden="1"/>
    </xf>
    <xf numFmtId="0" fontId="38" fillId="4" borderId="7" xfId="0" applyFont="1" applyFill="1" applyBorder="1" applyAlignment="1" applyProtection="1">
      <alignment horizontal="left" vertical="center" wrapText="1" indent="4"/>
      <protection hidden="1"/>
    </xf>
    <xf numFmtId="0" fontId="38" fillId="4" borderId="0" xfId="0" applyFont="1" applyFill="1" applyAlignment="1" applyProtection="1">
      <alignment horizontal="left" vertical="center" wrapText="1" indent="4"/>
      <protection hidden="1"/>
    </xf>
    <xf numFmtId="0" fontId="38" fillId="4" borderId="46" xfId="0" applyFont="1" applyFill="1" applyBorder="1" applyAlignment="1" applyProtection="1">
      <alignment horizontal="left" vertical="center" wrapText="1" indent="4"/>
      <protection hidden="1"/>
    </xf>
    <xf numFmtId="0" fontId="144" fillId="23" borderId="133" xfId="0" applyFont="1" applyFill="1" applyBorder="1" applyAlignment="1" applyProtection="1">
      <alignment horizontal="left" vertical="center" wrapText="1" indent="1"/>
      <protection locked="0"/>
    </xf>
    <xf numFmtId="0" fontId="144" fillId="23" borderId="134" xfId="0" applyFont="1" applyFill="1" applyBorder="1" applyAlignment="1" applyProtection="1">
      <alignment horizontal="left" vertical="center" wrapText="1" indent="1"/>
      <protection locked="0"/>
    </xf>
    <xf numFmtId="0" fontId="144" fillId="23" borderId="136" xfId="0" applyFont="1" applyFill="1" applyBorder="1" applyAlignment="1" applyProtection="1">
      <alignment horizontal="left" vertical="center" wrapText="1" indent="1"/>
      <protection locked="0"/>
    </xf>
    <xf numFmtId="0" fontId="144" fillId="23" borderId="135" xfId="0" applyFont="1" applyFill="1" applyBorder="1" applyAlignment="1" applyProtection="1">
      <alignment horizontal="left" vertical="center" wrapText="1" indent="1"/>
      <protection locked="0"/>
    </xf>
    <xf numFmtId="0" fontId="23" fillId="4" borderId="277" xfId="0" applyFont="1" applyFill="1" applyBorder="1" applyAlignment="1" applyProtection="1">
      <alignment horizontal="left" vertical="center" indent="2"/>
      <protection hidden="1"/>
    </xf>
    <xf numFmtId="0" fontId="23" fillId="4" borderId="206" xfId="0" applyFont="1" applyFill="1" applyBorder="1" applyAlignment="1" applyProtection="1">
      <alignment horizontal="left" vertical="center" indent="2"/>
      <protection hidden="1"/>
    </xf>
    <xf numFmtId="0" fontId="23" fillId="4" borderId="279" xfId="0" applyFont="1" applyFill="1" applyBorder="1" applyAlignment="1" applyProtection="1">
      <alignment horizontal="left" vertical="center" indent="2"/>
      <protection hidden="1"/>
    </xf>
    <xf numFmtId="0" fontId="23" fillId="4" borderId="194" xfId="0" applyFont="1" applyFill="1" applyBorder="1" applyAlignment="1" applyProtection="1">
      <alignment horizontal="left" vertical="center" indent="2"/>
      <protection hidden="1"/>
    </xf>
    <xf numFmtId="164" fontId="151" fillId="33" borderId="292" xfId="0" applyNumberFormat="1" applyFont="1" applyFill="1" applyBorder="1" applyAlignment="1">
      <alignment horizontal="center" vertical="center"/>
    </xf>
    <xf numFmtId="164" fontId="151" fillId="33" borderId="293" xfId="0" applyNumberFormat="1" applyFont="1" applyFill="1" applyBorder="1" applyAlignment="1">
      <alignment horizontal="center" vertical="center"/>
    </xf>
    <xf numFmtId="0" fontId="3" fillId="4" borderId="287" xfId="0" applyFont="1" applyFill="1" applyBorder="1" applyAlignment="1" applyProtection="1">
      <alignment horizontal="left" vertical="center" indent="2"/>
      <protection hidden="1"/>
    </xf>
    <xf numFmtId="0" fontId="3" fillId="4" borderId="227" xfId="0" applyFont="1" applyFill="1" applyBorder="1" applyAlignment="1" applyProtection="1">
      <alignment horizontal="left" vertical="center" indent="2"/>
      <protection hidden="1"/>
    </xf>
    <xf numFmtId="0" fontId="5" fillId="4" borderId="7" xfId="0" applyFont="1" applyFill="1" applyBorder="1" applyAlignment="1" applyProtection="1">
      <alignment horizontal="right" vertical="center" wrapText="1" indent="1"/>
      <protection hidden="1"/>
    </xf>
    <xf numFmtId="164" fontId="40" fillId="4" borderId="179" xfId="0" applyNumberFormat="1" applyFont="1" applyFill="1" applyBorder="1" applyAlignment="1">
      <alignment horizontal="center" vertical="center"/>
    </xf>
    <xf numFmtId="164" fontId="40" fillId="4" borderId="308" xfId="0" applyNumberFormat="1" applyFont="1" applyFill="1" applyBorder="1" applyAlignment="1">
      <alignment horizontal="center" vertical="center"/>
    </xf>
    <xf numFmtId="0" fontId="37" fillId="4" borderId="266" xfId="0" applyFont="1" applyFill="1" applyBorder="1" applyAlignment="1" applyProtection="1">
      <alignment horizontal="left" vertical="center" indent="1"/>
      <protection hidden="1"/>
    </xf>
    <xf numFmtId="164" fontId="40" fillId="4" borderId="202" xfId="0" applyNumberFormat="1" applyFont="1" applyFill="1" applyBorder="1" applyAlignment="1">
      <alignment horizontal="center" vertical="center"/>
    </xf>
    <xf numFmtId="164" fontId="40" fillId="4" borderId="312" xfId="0" applyNumberFormat="1" applyFont="1" applyFill="1" applyBorder="1" applyAlignment="1">
      <alignment horizontal="center" vertical="center"/>
    </xf>
    <xf numFmtId="0" fontId="5" fillId="4" borderId="274" xfId="0" applyFont="1" applyFill="1" applyBorder="1" applyAlignment="1" applyProtection="1">
      <alignment horizontal="left" vertical="center" indent="1"/>
      <protection hidden="1"/>
    </xf>
    <xf numFmtId="0" fontId="5" fillId="4" borderId="118" xfId="0" applyFont="1" applyFill="1" applyBorder="1" applyAlignment="1" applyProtection="1">
      <alignment horizontal="left" vertical="center" indent="1"/>
      <protection hidden="1"/>
    </xf>
    <xf numFmtId="0" fontId="28" fillId="33" borderId="55" xfId="0" applyFont="1" applyFill="1" applyBorder="1" applyAlignment="1" applyProtection="1">
      <alignment horizontal="left" vertical="center" indent="1"/>
      <protection hidden="1"/>
    </xf>
    <xf numFmtId="0" fontId="28" fillId="33" borderId="249" xfId="0" applyFont="1" applyFill="1" applyBorder="1" applyAlignment="1" applyProtection="1">
      <alignment horizontal="left" vertical="center" indent="1"/>
      <protection hidden="1"/>
    </xf>
    <xf numFmtId="164" fontId="221" fillId="33" borderId="292" xfId="0" applyNumberFormat="1" applyFont="1" applyFill="1" applyBorder="1" applyAlignment="1">
      <alignment horizontal="center" vertical="center"/>
    </xf>
    <xf numFmtId="164" fontId="221" fillId="33" borderId="293" xfId="0" applyNumberFormat="1" applyFont="1" applyFill="1" applyBorder="1" applyAlignment="1">
      <alignment horizontal="center" vertical="center"/>
    </xf>
    <xf numFmtId="0" fontId="3" fillId="4" borderId="69" xfId="0" applyFont="1" applyFill="1" applyBorder="1" applyAlignment="1" applyProtection="1">
      <alignment horizontal="left" vertical="center" indent="2"/>
      <protection hidden="1"/>
    </xf>
    <xf numFmtId="0" fontId="3" fillId="4" borderId="119" xfId="0" applyFont="1" applyFill="1" applyBorder="1" applyAlignment="1" applyProtection="1">
      <alignment horizontal="left" vertical="center" indent="2"/>
      <protection hidden="1"/>
    </xf>
    <xf numFmtId="0" fontId="3" fillId="4" borderId="88" xfId="0" applyFont="1" applyFill="1" applyBorder="1" applyAlignment="1" applyProtection="1">
      <alignment horizontal="left" vertical="center" indent="2"/>
      <protection hidden="1"/>
    </xf>
    <xf numFmtId="0" fontId="23" fillId="4" borderId="281" xfId="0" applyFont="1" applyFill="1" applyBorder="1" applyAlignment="1" applyProtection="1">
      <alignment horizontal="left" vertical="center" indent="2"/>
      <protection hidden="1"/>
    </xf>
    <xf numFmtId="0" fontId="23" fillId="4" borderId="212" xfId="0" applyFont="1" applyFill="1" applyBorder="1" applyAlignment="1" applyProtection="1">
      <alignment horizontal="left" vertical="center" indent="2"/>
      <protection hidden="1"/>
    </xf>
    <xf numFmtId="0" fontId="322" fillId="10" borderId="0" xfId="3" applyFont="1" applyFill="1" applyAlignment="1" applyProtection="1">
      <alignment horizontal="right" vertical="center" indent="1"/>
      <protection locked="0" hidden="1"/>
    </xf>
    <xf numFmtId="164" fontId="181" fillId="4" borderId="0" xfId="0" applyNumberFormat="1" applyFont="1" applyFill="1" applyAlignment="1" applyProtection="1">
      <alignment horizontal="center" vertical="center"/>
      <protection hidden="1"/>
    </xf>
    <xf numFmtId="0" fontId="222" fillId="4" borderId="131" xfId="0" applyFont="1" applyFill="1" applyBorder="1" applyAlignment="1" applyProtection="1">
      <alignment horizontal="center"/>
      <protection hidden="1"/>
    </xf>
    <xf numFmtId="164" fontId="98" fillId="4" borderId="0" xfId="0" applyNumberFormat="1" applyFont="1" applyFill="1" applyAlignment="1" applyProtection="1">
      <alignment horizontal="left" vertical="top"/>
      <protection hidden="1"/>
    </xf>
    <xf numFmtId="0" fontId="198" fillId="4" borderId="169" xfId="0" applyFont="1" applyFill="1" applyBorder="1" applyAlignment="1" applyProtection="1">
      <alignment horizontal="left" vertical="center" indent="1"/>
      <protection hidden="1"/>
    </xf>
    <xf numFmtId="0" fontId="83" fillId="36" borderId="0" xfId="0" applyFont="1" applyFill="1" applyAlignment="1" applyProtection="1">
      <alignment horizontal="left" vertical="center"/>
      <protection hidden="1"/>
    </xf>
    <xf numFmtId="0" fontId="0" fillId="0" borderId="58" xfId="0" applyBorder="1" applyAlignment="1" applyProtection="1">
      <alignment horizontal="right" vertical="center" indent="1"/>
      <protection hidden="1"/>
    </xf>
    <xf numFmtId="0" fontId="0" fillId="0" borderId="59" xfId="0" applyBorder="1" applyAlignment="1" applyProtection="1">
      <alignment horizontal="right" vertical="center" indent="1"/>
      <protection hidden="1"/>
    </xf>
    <xf numFmtId="0" fontId="0" fillId="0" borderId="8" xfId="0" applyBorder="1" applyAlignment="1" applyProtection="1">
      <alignment horizontal="right" wrapText="1"/>
      <protection hidden="1"/>
    </xf>
    <xf numFmtId="0" fontId="87" fillId="61" borderId="0" xfId="0" applyFont="1" applyFill="1" applyAlignment="1" applyProtection="1">
      <alignment horizontal="left" vertical="center" wrapText="1" indent="1"/>
      <protection hidden="1"/>
    </xf>
    <xf numFmtId="0" fontId="85" fillId="4" borderId="131" xfId="0" applyFont="1" applyFill="1" applyBorder="1" applyAlignment="1" applyProtection="1">
      <alignment horizontal="right" vertical="center" indent="1"/>
      <protection hidden="1"/>
    </xf>
    <xf numFmtId="0" fontId="85" fillId="4" borderId="140" xfId="0" applyFont="1" applyFill="1" applyBorder="1" applyAlignment="1" applyProtection="1">
      <alignment horizontal="right" vertical="center" indent="1"/>
      <protection hidden="1"/>
    </xf>
    <xf numFmtId="0" fontId="5" fillId="0" borderId="1" xfId="0" applyFont="1" applyBorder="1" applyAlignment="1" applyProtection="1">
      <alignment horizontal="left"/>
      <protection hidden="1"/>
    </xf>
    <xf numFmtId="0" fontId="4" fillId="0" borderId="0" xfId="0" applyFont="1" applyAlignment="1" applyProtection="1">
      <alignment horizontal="right" vertical="center"/>
      <protection hidden="1"/>
    </xf>
    <xf numFmtId="167" fontId="99" fillId="0" borderId="0" xfId="0" applyNumberFormat="1" applyFont="1" applyAlignment="1" applyProtection="1">
      <alignment horizontal="center" vertical="top" wrapText="1"/>
      <protection hidden="1"/>
    </xf>
    <xf numFmtId="167" fontId="188" fillId="4" borderId="0" xfId="0" applyNumberFormat="1" applyFont="1" applyFill="1" applyAlignment="1" applyProtection="1">
      <alignment horizontal="right" vertical="top"/>
      <protection hidden="1"/>
    </xf>
    <xf numFmtId="167" fontId="187" fillId="4" borderId="0" xfId="0" applyNumberFormat="1" applyFont="1" applyFill="1" applyAlignment="1" applyProtection="1">
      <alignment horizontal="right" vertical="top"/>
      <protection hidden="1"/>
    </xf>
    <xf numFmtId="167" fontId="184" fillId="4" borderId="7" xfId="0" applyNumberFormat="1" applyFont="1" applyFill="1" applyBorder="1" applyAlignment="1" applyProtection="1">
      <alignment horizontal="right" vertical="top"/>
      <protection hidden="1"/>
    </xf>
    <xf numFmtId="167" fontId="186" fillId="4" borderId="7" xfId="0" applyNumberFormat="1" applyFont="1" applyFill="1" applyBorder="1" applyAlignment="1" applyProtection="1">
      <alignment horizontal="right" vertical="top"/>
      <protection hidden="1"/>
    </xf>
    <xf numFmtId="167" fontId="186" fillId="4" borderId="0" xfId="0" applyNumberFormat="1" applyFont="1" applyFill="1" applyAlignment="1" applyProtection="1">
      <alignment horizontal="right" vertical="top"/>
      <protection hidden="1"/>
    </xf>
    <xf numFmtId="167" fontId="185" fillId="4" borderId="7" xfId="0" applyNumberFormat="1" applyFont="1" applyFill="1" applyBorder="1" applyAlignment="1" applyProtection="1">
      <alignment horizontal="right" vertical="top"/>
      <protection hidden="1"/>
    </xf>
    <xf numFmtId="167" fontId="183" fillId="4" borderId="7" xfId="0" applyNumberFormat="1" applyFont="1" applyFill="1" applyBorder="1" applyAlignment="1" applyProtection="1">
      <alignment horizontal="right" vertical="top"/>
      <protection hidden="1"/>
    </xf>
    <xf numFmtId="168" fontId="99" fillId="4" borderId="0" xfId="0" applyNumberFormat="1" applyFont="1" applyFill="1" applyAlignment="1" applyProtection="1">
      <alignment horizontal="left" vertical="top"/>
      <protection hidden="1"/>
    </xf>
    <xf numFmtId="167" fontId="99" fillId="4" borderId="0" xfId="0" applyNumberFormat="1" applyFont="1" applyFill="1" applyAlignment="1" applyProtection="1">
      <alignment horizontal="left" vertical="top"/>
      <protection hidden="1"/>
    </xf>
    <xf numFmtId="0" fontId="81" fillId="4" borderId="0" xfId="0" applyFont="1" applyFill="1" applyAlignment="1" applyProtection="1">
      <alignment horizontal="right"/>
      <protection hidden="1"/>
    </xf>
    <xf numFmtId="0" fontId="97" fillId="0" borderId="58" xfId="0" applyFont="1" applyBorder="1" applyAlignment="1" applyProtection="1">
      <alignment horizontal="center" vertical="center"/>
      <protection hidden="1"/>
    </xf>
    <xf numFmtId="0" fontId="97" fillId="0" borderId="59" xfId="0" applyFont="1" applyBorder="1" applyAlignment="1" applyProtection="1">
      <alignment horizontal="center" vertical="center"/>
      <protection hidden="1"/>
    </xf>
    <xf numFmtId="0" fontId="0" fillId="0" borderId="2" xfId="0" applyBorder="1" applyAlignment="1" applyProtection="1">
      <alignment horizontal="right" vertical="center"/>
      <protection hidden="1"/>
    </xf>
    <xf numFmtId="0" fontId="0" fillId="0" borderId="0" xfId="0" applyAlignment="1" applyProtection="1">
      <alignment horizontal="right" vertical="center"/>
      <protection hidden="1"/>
    </xf>
    <xf numFmtId="0" fontId="0" fillId="0" borderId="8" xfId="0" applyBorder="1" applyAlignment="1" applyProtection="1">
      <alignment horizontal="right" vertical="center"/>
      <protection hidden="1"/>
    </xf>
    <xf numFmtId="164" fontId="0" fillId="4" borderId="368" xfId="0" applyNumberFormat="1" applyFill="1" applyBorder="1" applyAlignment="1" applyProtection="1">
      <alignment horizontal="right" vertical="center" indent="1"/>
      <protection hidden="1"/>
    </xf>
    <xf numFmtId="164" fontId="0" fillId="4" borderId="301" xfId="0" applyNumberFormat="1" applyFill="1" applyBorder="1" applyAlignment="1" applyProtection="1">
      <alignment horizontal="right" vertical="center" indent="1"/>
      <protection hidden="1"/>
    </xf>
    <xf numFmtId="164" fontId="0" fillId="4" borderId="304" xfId="0" applyNumberFormat="1" applyFill="1" applyBorder="1" applyAlignment="1" applyProtection="1">
      <alignment horizontal="right" vertical="center" indent="1"/>
      <protection hidden="1"/>
    </xf>
    <xf numFmtId="167" fontId="98" fillId="4" borderId="0" xfId="0" applyNumberFormat="1" applyFont="1" applyFill="1" applyAlignment="1" applyProtection="1">
      <alignment horizontal="right" vertical="top" wrapText="1" indent="2"/>
      <protection hidden="1"/>
    </xf>
    <xf numFmtId="167" fontId="98" fillId="4" borderId="304" xfId="0" applyNumberFormat="1" applyFont="1" applyFill="1" applyBorder="1" applyAlignment="1" applyProtection="1">
      <alignment horizontal="left" vertical="center" wrapText="1" indent="1"/>
      <protection hidden="1"/>
    </xf>
    <xf numFmtId="167" fontId="98" fillId="4" borderId="368" xfId="0" applyNumberFormat="1" applyFont="1" applyFill="1" applyBorder="1" applyAlignment="1" applyProtection="1">
      <alignment horizontal="left" vertical="center" wrapText="1" indent="1"/>
      <protection hidden="1"/>
    </xf>
    <xf numFmtId="164" fontId="12" fillId="4" borderId="368" xfId="0" applyNumberFormat="1" applyFont="1" applyFill="1" applyBorder="1" applyAlignment="1" applyProtection="1">
      <alignment horizontal="right" vertical="center" indent="3"/>
      <protection hidden="1"/>
    </xf>
    <xf numFmtId="164" fontId="12" fillId="4" borderId="301" xfId="0" applyNumberFormat="1" applyFont="1" applyFill="1" applyBorder="1" applyAlignment="1" applyProtection="1">
      <alignment horizontal="right" vertical="center" indent="3"/>
      <protection hidden="1"/>
    </xf>
    <xf numFmtId="164" fontId="12" fillId="4" borderId="304" xfId="0" applyNumberFormat="1" applyFont="1" applyFill="1" applyBorder="1" applyAlignment="1" applyProtection="1">
      <alignment horizontal="right" vertical="center" indent="3"/>
      <protection hidden="1"/>
    </xf>
    <xf numFmtId="167" fontId="98" fillId="4" borderId="301" xfId="0" applyNumberFormat="1" applyFont="1" applyFill="1" applyBorder="1" applyAlignment="1" applyProtection="1">
      <alignment horizontal="left" vertical="center" wrapText="1" indent="1"/>
      <protection hidden="1"/>
    </xf>
    <xf numFmtId="167" fontId="98" fillId="4" borderId="0" xfId="0" applyNumberFormat="1" applyFont="1" applyFill="1" applyAlignment="1" applyProtection="1">
      <alignment horizontal="center" vertical="top" wrapText="1"/>
      <protection hidden="1"/>
    </xf>
    <xf numFmtId="0" fontId="294" fillId="4" borderId="0" xfId="0" applyFont="1" applyFill="1" applyAlignment="1" applyProtection="1">
      <alignment horizontal="left" vertical="top" indent="1"/>
      <protection hidden="1"/>
    </xf>
    <xf numFmtId="0" fontId="30" fillId="4" borderId="0" xfId="0" applyFont="1" applyFill="1" applyAlignment="1" applyProtection="1">
      <alignment horizontal="center"/>
      <protection hidden="1"/>
    </xf>
    <xf numFmtId="0" fontId="30" fillId="4" borderId="23" xfId="0" applyFont="1" applyFill="1" applyBorder="1" applyAlignment="1" applyProtection="1">
      <alignment horizontal="center"/>
      <protection hidden="1"/>
    </xf>
    <xf numFmtId="0" fontId="19" fillId="4" borderId="95" xfId="0" applyFont="1" applyFill="1" applyBorder="1" applyAlignment="1" applyProtection="1">
      <alignment horizontal="left" indent="4"/>
      <protection hidden="1"/>
    </xf>
    <xf numFmtId="0" fontId="18" fillId="4" borderId="0" xfId="0" applyFont="1" applyFill="1" applyAlignment="1" applyProtection="1">
      <alignment horizontal="center"/>
      <protection hidden="1"/>
    </xf>
    <xf numFmtId="0" fontId="31" fillId="10" borderId="0" xfId="0" applyFont="1" applyFill="1" applyAlignment="1" applyProtection="1">
      <alignment horizontal="left" vertical="center"/>
      <protection hidden="1"/>
    </xf>
    <xf numFmtId="0" fontId="33" fillId="4" borderId="0" xfId="0" applyFont="1" applyFill="1" applyAlignment="1" applyProtection="1">
      <alignment horizontal="center" vertical="center"/>
      <protection hidden="1"/>
    </xf>
    <xf numFmtId="0" fontId="24" fillId="4" borderId="0" xfId="0" applyFont="1" applyFill="1" applyAlignment="1" applyProtection="1">
      <alignment horizontal="center" vertical="center"/>
      <protection hidden="1"/>
    </xf>
    <xf numFmtId="1" fontId="225" fillId="4" borderId="42" xfId="0" applyNumberFormat="1" applyFont="1" applyFill="1" applyBorder="1" applyAlignment="1" applyProtection="1">
      <alignment horizontal="right" vertical="center"/>
      <protection hidden="1"/>
    </xf>
    <xf numFmtId="1" fontId="225" fillId="4" borderId="44" xfId="0" applyNumberFormat="1" applyFont="1" applyFill="1" applyBorder="1" applyAlignment="1" applyProtection="1">
      <alignment horizontal="right" vertical="center"/>
      <protection hidden="1"/>
    </xf>
    <xf numFmtId="0" fontId="20" fillId="0" borderId="0" xfId="0" applyFont="1" applyAlignment="1" applyProtection="1">
      <alignment horizontal="center" vertical="top" textRotation="90" wrapText="1"/>
      <protection hidden="1"/>
    </xf>
    <xf numFmtId="0" fontId="20" fillId="4" borderId="0" xfId="0" applyFont="1" applyFill="1" applyAlignment="1" applyProtection="1">
      <alignment horizontal="center" textRotation="90"/>
      <protection hidden="1"/>
    </xf>
    <xf numFmtId="0" fontId="208" fillId="4" borderId="0" xfId="0" applyFont="1" applyFill="1" applyAlignment="1" applyProtection="1">
      <alignment horizontal="center"/>
      <protection hidden="1"/>
    </xf>
    <xf numFmtId="0" fontId="208" fillId="4" borderId="23" xfId="0" applyFont="1" applyFill="1" applyBorder="1" applyAlignment="1" applyProtection="1">
      <alignment horizontal="center"/>
      <protection hidden="1"/>
    </xf>
    <xf numFmtId="165" fontId="196" fillId="0" borderId="0" xfId="0" applyNumberFormat="1" applyFont="1" applyAlignment="1" applyProtection="1">
      <alignment horizontal="left" indent="1"/>
      <protection hidden="1"/>
    </xf>
    <xf numFmtId="165" fontId="196" fillId="0" borderId="0" xfId="0" applyNumberFormat="1" applyFont="1" applyAlignment="1" applyProtection="1">
      <alignment horizontal="left" indent="2"/>
      <protection hidden="1"/>
    </xf>
    <xf numFmtId="0" fontId="13" fillId="4" borderId="0" xfId="0" applyFont="1" applyFill="1" applyAlignment="1" applyProtection="1">
      <alignment horizontal="right" vertical="top"/>
      <protection hidden="1"/>
    </xf>
    <xf numFmtId="0" fontId="13" fillId="4" borderId="0" xfId="0" applyFont="1" applyFill="1" applyAlignment="1" applyProtection="1">
      <alignment horizontal="center" vertical="top"/>
      <protection hidden="1"/>
    </xf>
    <xf numFmtId="0" fontId="133" fillId="4" borderId="0" xfId="0" applyFont="1" applyFill="1" applyAlignment="1" applyProtection="1">
      <alignment horizontal="center" vertical="center"/>
      <protection hidden="1"/>
    </xf>
    <xf numFmtId="0" fontId="132" fillId="4" borderId="0" xfId="0" applyFont="1" applyFill="1" applyAlignment="1" applyProtection="1">
      <alignment horizontal="left" vertical="center"/>
      <protection hidden="1"/>
    </xf>
    <xf numFmtId="0" fontId="31" fillId="10" borderId="0" xfId="0" applyFont="1" applyFill="1" applyAlignment="1" applyProtection="1">
      <alignment horizontal="left" vertical="center" indent="1"/>
      <protection hidden="1"/>
    </xf>
    <xf numFmtId="0" fontId="130" fillId="0" borderId="145" xfId="0" applyFont="1" applyBorder="1" applyAlignment="1" applyProtection="1">
      <alignment horizontal="left" vertical="center" indent="2"/>
      <protection hidden="1"/>
    </xf>
    <xf numFmtId="0" fontId="130" fillId="0" borderId="173" xfId="0" applyFont="1" applyBorder="1" applyAlignment="1" applyProtection="1">
      <alignment horizontal="left" vertical="center" indent="2"/>
      <protection hidden="1"/>
    </xf>
    <xf numFmtId="0" fontId="48" fillId="0" borderId="0" xfId="0" applyFont="1" applyAlignment="1" applyProtection="1">
      <alignment horizontal="left" vertical="center" wrapText="1" indent="1"/>
      <protection hidden="1"/>
    </xf>
    <xf numFmtId="0" fontId="208" fillId="4" borderId="0" xfId="0" applyFont="1" applyFill="1" applyAlignment="1" applyProtection="1">
      <alignment horizontal="center" vertical="center"/>
      <protection hidden="1"/>
    </xf>
    <xf numFmtId="0" fontId="208" fillId="4" borderId="23" xfId="0" applyFont="1" applyFill="1" applyBorder="1" applyAlignment="1" applyProtection="1">
      <alignment horizontal="center" vertical="center"/>
      <protection hidden="1"/>
    </xf>
    <xf numFmtId="5" fontId="210" fillId="4" borderId="30" xfId="0" applyNumberFormat="1" applyFont="1" applyFill="1" applyBorder="1" applyAlignment="1" applyProtection="1">
      <alignment horizontal="right" vertical="center"/>
      <protection hidden="1"/>
    </xf>
    <xf numFmtId="5" fontId="210" fillId="4" borderId="31" xfId="0" applyNumberFormat="1" applyFont="1" applyFill="1" applyBorder="1" applyAlignment="1" applyProtection="1">
      <alignment horizontal="right" vertical="center"/>
      <protection hidden="1"/>
    </xf>
    <xf numFmtId="5" fontId="210" fillId="4" borderId="32" xfId="0" applyNumberFormat="1" applyFont="1" applyFill="1" applyBorder="1" applyAlignment="1" applyProtection="1">
      <alignment horizontal="right" vertical="center"/>
      <protection hidden="1"/>
    </xf>
    <xf numFmtId="5" fontId="210" fillId="4" borderId="33" xfId="0" applyNumberFormat="1" applyFont="1" applyFill="1" applyBorder="1" applyAlignment="1" applyProtection="1">
      <alignment horizontal="right" vertical="center"/>
      <protection hidden="1"/>
    </xf>
    <xf numFmtId="5" fontId="210" fillId="4" borderId="29" xfId="0" applyNumberFormat="1" applyFont="1" applyFill="1" applyBorder="1" applyAlignment="1" applyProtection="1">
      <alignment horizontal="right" vertical="center"/>
      <protection hidden="1"/>
    </xf>
    <xf numFmtId="5" fontId="210" fillId="4" borderId="28" xfId="0" applyNumberFormat="1" applyFont="1" applyFill="1" applyBorder="1" applyAlignment="1" applyProtection="1">
      <alignment horizontal="right" vertical="center"/>
      <protection hidden="1"/>
    </xf>
    <xf numFmtId="0" fontId="48" fillId="4" borderId="0" xfId="0" applyFont="1" applyFill="1" applyAlignment="1" applyProtection="1">
      <alignment horizontal="left" vertical="center" wrapText="1" indent="1"/>
      <protection hidden="1"/>
    </xf>
    <xf numFmtId="0" fontId="48" fillId="0" borderId="139" xfId="0" applyFont="1" applyBorder="1" applyAlignment="1" applyProtection="1">
      <alignment horizontal="left" vertical="center" wrapText="1"/>
      <protection hidden="1"/>
    </xf>
    <xf numFmtId="0" fontId="48" fillId="0" borderId="0" xfId="0" applyFont="1" applyAlignment="1" applyProtection="1">
      <alignment horizontal="left" vertical="center" wrapText="1"/>
      <protection hidden="1"/>
    </xf>
    <xf numFmtId="0" fontId="1" fillId="9" borderId="0" xfId="0" applyFont="1" applyFill="1" applyAlignment="1" applyProtection="1">
      <alignment horizontal="center"/>
      <protection hidden="1"/>
    </xf>
    <xf numFmtId="0" fontId="24" fillId="4" borderId="0" xfId="0" applyFont="1" applyFill="1" applyAlignment="1" applyProtection="1">
      <alignment horizontal="right" vertical="top" indent="1"/>
      <protection hidden="1"/>
    </xf>
    <xf numFmtId="0" fontId="84" fillId="4" borderId="0" xfId="0" applyFont="1" applyFill="1" applyAlignment="1" applyProtection="1">
      <alignment horizontal="center"/>
      <protection hidden="1"/>
    </xf>
    <xf numFmtId="164" fontId="182" fillId="4" borderId="0" xfId="0" applyNumberFormat="1" applyFont="1" applyFill="1" applyAlignment="1" applyProtection="1">
      <alignment horizontal="left" indent="1"/>
      <protection hidden="1"/>
    </xf>
    <xf numFmtId="0" fontId="46" fillId="4" borderId="0" xfId="0" applyFont="1" applyFill="1" applyAlignment="1" applyProtection="1">
      <alignment horizontal="right" vertical="center"/>
      <protection hidden="1"/>
    </xf>
    <xf numFmtId="0" fontId="48" fillId="0" borderId="139" xfId="0" applyFont="1" applyBorder="1" applyAlignment="1" applyProtection="1">
      <alignment horizontal="left" vertical="center" wrapText="1" indent="1"/>
      <protection hidden="1"/>
    </xf>
    <xf numFmtId="0" fontId="48" fillId="0" borderId="254" xfId="0" applyFont="1" applyBorder="1" applyAlignment="1" applyProtection="1">
      <alignment horizontal="left" vertical="center" wrapText="1" indent="1"/>
      <protection hidden="1"/>
    </xf>
    <xf numFmtId="3" fontId="14" fillId="4" borderId="0" xfId="0" applyNumberFormat="1" applyFont="1" applyFill="1" applyAlignment="1" applyProtection="1">
      <alignment horizontal="right" vertical="center"/>
      <protection hidden="1"/>
    </xf>
    <xf numFmtId="0" fontId="75" fillId="4" borderId="0" xfId="0" applyFont="1" applyFill="1" applyAlignment="1" applyProtection="1">
      <alignment horizontal="right" wrapText="1"/>
      <protection hidden="1"/>
    </xf>
    <xf numFmtId="164" fontId="75" fillId="4" borderId="33" xfId="0" applyNumberFormat="1" applyFont="1" applyFill="1" applyBorder="1" applyAlignment="1" applyProtection="1">
      <alignment horizontal="right" vertical="center" indent="1"/>
      <protection hidden="1"/>
    </xf>
    <xf numFmtId="164" fontId="75" fillId="4" borderId="29" xfId="0" applyNumberFormat="1" applyFont="1" applyFill="1" applyBorder="1" applyAlignment="1" applyProtection="1">
      <alignment horizontal="right" vertical="center" indent="1"/>
      <protection hidden="1"/>
    </xf>
    <xf numFmtId="164" fontId="75" fillId="4" borderId="28" xfId="0" applyNumberFormat="1" applyFont="1" applyFill="1" applyBorder="1" applyAlignment="1" applyProtection="1">
      <alignment horizontal="right" vertical="center" indent="1"/>
      <protection hidden="1"/>
    </xf>
    <xf numFmtId="164" fontId="75" fillId="4" borderId="30" xfId="0" applyNumberFormat="1" applyFont="1" applyFill="1" applyBorder="1" applyAlignment="1" applyProtection="1">
      <alignment horizontal="right" vertical="center" indent="1"/>
      <protection hidden="1"/>
    </xf>
    <xf numFmtId="164" fontId="75" fillId="4" borderId="31" xfId="0" applyNumberFormat="1" applyFont="1" applyFill="1" applyBorder="1" applyAlignment="1" applyProtection="1">
      <alignment horizontal="right" vertical="center" indent="1"/>
      <protection hidden="1"/>
    </xf>
    <xf numFmtId="164" fontId="75" fillId="4" borderId="32" xfId="0" applyNumberFormat="1" applyFont="1" applyFill="1" applyBorder="1" applyAlignment="1" applyProtection="1">
      <alignment horizontal="right" vertical="center" indent="1"/>
      <protection hidden="1"/>
    </xf>
    <xf numFmtId="164" fontId="75" fillId="4" borderId="33" xfId="0" applyNumberFormat="1" applyFont="1" applyFill="1" applyBorder="1" applyAlignment="1" applyProtection="1">
      <alignment horizontal="right" vertical="center"/>
      <protection hidden="1"/>
    </xf>
    <xf numFmtId="164" fontId="75" fillId="4" borderId="29" xfId="0" applyNumberFormat="1" applyFont="1" applyFill="1" applyBorder="1" applyAlignment="1" applyProtection="1">
      <alignment horizontal="right" vertical="center"/>
      <protection hidden="1"/>
    </xf>
    <xf numFmtId="164" fontId="75" fillId="4" borderId="28" xfId="0" applyNumberFormat="1" applyFont="1" applyFill="1" applyBorder="1" applyAlignment="1" applyProtection="1">
      <alignment horizontal="right" vertical="center"/>
      <protection hidden="1"/>
    </xf>
    <xf numFmtId="164" fontId="75" fillId="4" borderId="30" xfId="0" applyNumberFormat="1" applyFont="1" applyFill="1" applyBorder="1" applyAlignment="1" applyProtection="1">
      <alignment horizontal="right" vertical="center"/>
      <protection hidden="1"/>
    </xf>
    <xf numFmtId="164" fontId="75" fillId="4" borderId="31" xfId="0" applyNumberFormat="1" applyFont="1" applyFill="1" applyBorder="1" applyAlignment="1" applyProtection="1">
      <alignment horizontal="right" vertical="center"/>
      <protection hidden="1"/>
    </xf>
    <xf numFmtId="0" fontId="7" fillId="9" borderId="0" xfId="0" applyFont="1" applyFill="1" applyAlignment="1" applyProtection="1">
      <alignment horizontal="center" vertical="center"/>
      <protection hidden="1"/>
    </xf>
    <xf numFmtId="0" fontId="208" fillId="4" borderId="0" xfId="0" applyFont="1" applyFill="1" applyAlignment="1" applyProtection="1">
      <alignment horizontal="center" vertical="top"/>
      <protection hidden="1"/>
    </xf>
    <xf numFmtId="164" fontId="75" fillId="4" borderId="32" xfId="0" applyNumberFormat="1" applyFont="1" applyFill="1" applyBorder="1" applyAlignment="1" applyProtection="1">
      <alignment horizontal="right" vertical="center"/>
      <protection hidden="1"/>
    </xf>
    <xf numFmtId="0" fontId="43" fillId="12" borderId="144" xfId="0" applyFont="1" applyFill="1" applyBorder="1" applyAlignment="1" applyProtection="1">
      <alignment horizontal="left" vertical="center" wrapText="1" indent="1"/>
      <protection hidden="1"/>
    </xf>
    <xf numFmtId="0" fontId="43" fillId="14" borderId="0" xfId="0" applyFont="1" applyFill="1" applyAlignment="1" applyProtection="1">
      <alignment horizontal="left" vertical="center" wrapText="1" indent="1"/>
      <protection hidden="1"/>
    </xf>
    <xf numFmtId="0" fontId="43" fillId="19" borderId="0" xfId="0" applyFont="1" applyFill="1" applyAlignment="1" applyProtection="1">
      <alignment horizontal="left" vertical="center" wrapText="1" indent="1"/>
      <protection hidden="1"/>
    </xf>
    <xf numFmtId="0" fontId="43" fillId="11" borderId="0" xfId="0" applyFont="1" applyFill="1" applyAlignment="1" applyProtection="1">
      <alignment horizontal="left" vertical="center" wrapText="1" indent="1"/>
      <protection hidden="1"/>
    </xf>
    <xf numFmtId="0" fontId="43" fillId="10" borderId="0" xfId="0" applyFont="1" applyFill="1" applyAlignment="1" applyProtection="1">
      <alignment horizontal="left" vertical="center" wrapText="1" indent="1"/>
      <protection hidden="1"/>
    </xf>
    <xf numFmtId="0" fontId="46" fillId="4" borderId="0" xfId="0" applyFont="1" applyFill="1" applyAlignment="1" applyProtection="1">
      <alignment horizontal="right" wrapText="1"/>
      <protection hidden="1"/>
    </xf>
    <xf numFmtId="0" fontId="32" fillId="4" borderId="0" xfId="0" applyFont="1" applyFill="1" applyAlignment="1" applyProtection="1">
      <alignment horizontal="center"/>
      <protection hidden="1"/>
    </xf>
    <xf numFmtId="0" fontId="13" fillId="4" borderId="0" xfId="0" applyFont="1" applyFill="1" applyAlignment="1" applyProtection="1">
      <alignment horizontal="center"/>
      <protection hidden="1"/>
    </xf>
    <xf numFmtId="0" fontId="130" fillId="0" borderId="300" xfId="0" applyFont="1" applyBorder="1" applyAlignment="1" applyProtection="1">
      <alignment horizontal="left" indent="2"/>
      <protection hidden="1"/>
    </xf>
    <xf numFmtId="0" fontId="130" fillId="0" borderId="262" xfId="0" applyFont="1" applyBorder="1" applyAlignment="1" applyProtection="1">
      <alignment horizontal="left" indent="2"/>
      <protection hidden="1"/>
    </xf>
    <xf numFmtId="0" fontId="223" fillId="4" borderId="44" xfId="0" applyFont="1" applyFill="1" applyBorder="1" applyAlignment="1" applyProtection="1">
      <alignment horizontal="center" vertical="center" wrapText="1"/>
      <protection hidden="1"/>
    </xf>
    <xf numFmtId="0" fontId="25" fillId="4" borderId="44" xfId="0" applyFont="1" applyFill="1" applyBorder="1" applyAlignment="1" applyProtection="1">
      <alignment horizontal="center" vertical="center" wrapText="1"/>
      <protection hidden="1"/>
    </xf>
    <xf numFmtId="0" fontId="25" fillId="4" borderId="43" xfId="0" applyFont="1" applyFill="1" applyBorder="1" applyAlignment="1" applyProtection="1">
      <alignment horizontal="center" vertical="center" wrapText="1"/>
      <protection hidden="1"/>
    </xf>
    <xf numFmtId="0" fontId="53" fillId="4" borderId="0" xfId="0" applyFont="1" applyFill="1" applyAlignment="1" applyProtection="1">
      <alignment horizontal="right" vertical="center" wrapText="1" indent="2"/>
      <protection hidden="1"/>
    </xf>
    <xf numFmtId="0" fontId="20" fillId="0" borderId="0" xfId="0" applyFont="1" applyAlignment="1" applyProtection="1">
      <alignment horizontal="center" vertical="top" textRotation="90"/>
      <protection hidden="1"/>
    </xf>
    <xf numFmtId="0" fontId="80" fillId="4" borderId="0" xfId="0" applyFont="1" applyFill="1" applyAlignment="1" applyProtection="1">
      <alignment horizontal="left" vertical="top" wrapText="1" indent="1"/>
      <protection hidden="1"/>
    </xf>
    <xf numFmtId="165" fontId="182" fillId="4" borderId="0" xfId="0" applyNumberFormat="1" applyFont="1" applyFill="1" applyAlignment="1" applyProtection="1">
      <alignment horizontal="center"/>
      <protection hidden="1"/>
    </xf>
    <xf numFmtId="0" fontId="137" fillId="4" borderId="0" xfId="0" applyFont="1" applyFill="1" applyAlignment="1" applyProtection="1">
      <alignment horizontal="center"/>
      <protection hidden="1"/>
    </xf>
    <xf numFmtId="0" fontId="137" fillId="4" borderId="0" xfId="0" applyFont="1" applyFill="1" applyAlignment="1" applyProtection="1">
      <alignment horizontal="center" vertical="center"/>
      <protection hidden="1"/>
    </xf>
    <xf numFmtId="0" fontId="80" fillId="4" borderId="0" xfId="0" applyFont="1" applyFill="1" applyAlignment="1" applyProtection="1">
      <alignment horizontal="left" vertical="center" wrapText="1" indent="1"/>
      <protection hidden="1"/>
    </xf>
    <xf numFmtId="0" fontId="19" fillId="4" borderId="0" xfId="0" applyFont="1" applyFill="1" applyAlignment="1" applyProtection="1">
      <alignment horizontal="left" indent="4"/>
      <protection hidden="1"/>
    </xf>
    <xf numFmtId="0" fontId="282" fillId="0" borderId="0" xfId="0" applyFont="1" applyAlignment="1" applyProtection="1">
      <alignment horizontal="center" vertical="center" wrapText="1"/>
      <protection hidden="1"/>
    </xf>
    <xf numFmtId="14" fontId="192" fillId="9" borderId="0" xfId="0" applyNumberFormat="1" applyFont="1" applyFill="1" applyAlignment="1" applyProtection="1">
      <alignment horizontal="right" vertical="center"/>
      <protection hidden="1"/>
    </xf>
    <xf numFmtId="0" fontId="55" fillId="10" borderId="0" xfId="0" applyFont="1" applyFill="1" applyAlignment="1" applyProtection="1">
      <alignment horizontal="right" vertical="top"/>
      <protection hidden="1"/>
    </xf>
    <xf numFmtId="0" fontId="17" fillId="4" borderId="0" xfId="0" applyFont="1" applyFill="1" applyAlignment="1" applyProtection="1">
      <alignment horizontal="center" vertical="center"/>
      <protection hidden="1"/>
    </xf>
    <xf numFmtId="0" fontId="80" fillId="4" borderId="139" xfId="0" applyFont="1" applyFill="1" applyBorder="1" applyAlignment="1" applyProtection="1">
      <alignment horizontal="left" vertical="center" wrapText="1" indent="1"/>
      <protection hidden="1"/>
    </xf>
    <xf numFmtId="0" fontId="80" fillId="4" borderId="23" xfId="0" applyFont="1" applyFill="1" applyBorder="1" applyAlignment="1" applyProtection="1">
      <alignment horizontal="left" vertical="center" wrapText="1" indent="1"/>
      <protection hidden="1"/>
    </xf>
    <xf numFmtId="0" fontId="125" fillId="47" borderId="0" xfId="3" applyFont="1" applyFill="1" applyAlignment="1" applyProtection="1">
      <alignment horizontal="left"/>
      <protection locked="0" hidden="1"/>
    </xf>
    <xf numFmtId="0" fontId="9" fillId="47" borderId="0" xfId="0" applyFont="1" applyFill="1" applyAlignment="1" applyProtection="1">
      <alignment horizontal="left" vertical="center" indent="1"/>
      <protection hidden="1"/>
    </xf>
    <xf numFmtId="0" fontId="5" fillId="47" borderId="0" xfId="0" applyFont="1" applyFill="1" applyAlignment="1" applyProtection="1">
      <alignment horizontal="right" wrapText="1" indent="1"/>
      <protection hidden="1"/>
    </xf>
    <xf numFmtId="0" fontId="5" fillId="47" borderId="46" xfId="0" applyFont="1" applyFill="1" applyBorder="1" applyAlignment="1" applyProtection="1">
      <alignment horizontal="right" wrapText="1" indent="1"/>
      <protection hidden="1"/>
    </xf>
    <xf numFmtId="0" fontId="125" fillId="47" borderId="0" xfId="3" applyFont="1" applyFill="1" applyAlignment="1" applyProtection="1">
      <alignment horizontal="left" indent="1"/>
      <protection locked="0" hidden="1"/>
    </xf>
    <xf numFmtId="0" fontId="38" fillId="47" borderId="2" xfId="0" applyFont="1" applyFill="1" applyBorder="1" applyAlignment="1" applyProtection="1">
      <alignment horizontal="left" vertical="top" wrapText="1" indent="4"/>
      <protection hidden="1"/>
    </xf>
    <xf numFmtId="0" fontId="3" fillId="47" borderId="2" xfId="0" applyFont="1" applyFill="1" applyBorder="1" applyAlignment="1" applyProtection="1">
      <alignment horizontal="right" vertical="center" wrapText="1" indent="1"/>
      <protection hidden="1"/>
    </xf>
    <xf numFmtId="0" fontId="322" fillId="43" borderId="0" xfId="3" applyFont="1" applyFill="1" applyAlignment="1" applyProtection="1">
      <alignment horizontal="right" vertical="center" indent="1"/>
      <protection locked="0" hidden="1"/>
    </xf>
    <xf numFmtId="0" fontId="9" fillId="47" borderId="0" xfId="0" applyFont="1" applyFill="1" applyAlignment="1" applyProtection="1">
      <alignment horizontal="left" vertical="center" wrapText="1" indent="9"/>
      <protection hidden="1"/>
    </xf>
    <xf numFmtId="0" fontId="9" fillId="47" borderId="0" xfId="0" applyFont="1" applyFill="1" applyAlignment="1" applyProtection="1">
      <alignment horizontal="left" vertical="top" wrapText="1" indent="12"/>
      <protection hidden="1"/>
    </xf>
    <xf numFmtId="0" fontId="9" fillId="47" borderId="0" xfId="0" applyFont="1" applyFill="1" applyAlignment="1" applyProtection="1">
      <alignment horizontal="left" vertical="center" indent="12"/>
      <protection hidden="1"/>
    </xf>
    <xf numFmtId="0" fontId="5" fillId="47" borderId="0" xfId="0" applyFont="1" applyFill="1" applyAlignment="1" applyProtection="1">
      <alignment horizontal="center" vertical="top"/>
      <protection hidden="1"/>
    </xf>
    <xf numFmtId="167" fontId="298" fillId="4" borderId="7" xfId="0" applyNumberFormat="1" applyFont="1" applyFill="1" applyBorder="1" applyAlignment="1" applyProtection="1">
      <alignment horizontal="right" vertical="top"/>
      <protection hidden="1"/>
    </xf>
    <xf numFmtId="0" fontId="83" fillId="48" borderId="0" xfId="0" applyFont="1" applyFill="1" applyAlignment="1" applyProtection="1">
      <alignment horizontal="left" vertical="center"/>
      <protection hidden="1"/>
    </xf>
    <xf numFmtId="167" fontId="297" fillId="4" borderId="7" xfId="0" applyNumberFormat="1" applyFont="1" applyFill="1" applyBorder="1" applyAlignment="1" applyProtection="1">
      <alignment horizontal="right" vertical="top"/>
      <protection hidden="1"/>
    </xf>
    <xf numFmtId="167" fontId="295" fillId="4" borderId="7" xfId="0" applyNumberFormat="1" applyFont="1" applyFill="1" applyBorder="1" applyAlignment="1" applyProtection="1">
      <alignment horizontal="right" vertical="top"/>
      <protection hidden="1"/>
    </xf>
    <xf numFmtId="167" fontId="299" fillId="4" borderId="7" xfId="0" applyNumberFormat="1" applyFont="1" applyFill="1" applyBorder="1" applyAlignment="1" applyProtection="1">
      <alignment horizontal="right" vertical="top"/>
      <protection hidden="1"/>
    </xf>
    <xf numFmtId="167" fontId="300" fillId="4" borderId="0" xfId="0" applyNumberFormat="1" applyFont="1" applyFill="1" applyAlignment="1" applyProtection="1">
      <alignment horizontal="right" vertical="top"/>
      <protection hidden="1"/>
    </xf>
    <xf numFmtId="167" fontId="296" fillId="4" borderId="0" xfId="0" applyNumberFormat="1" applyFont="1" applyFill="1" applyAlignment="1" applyProtection="1">
      <alignment horizontal="right" vertical="top"/>
      <protection hidden="1"/>
    </xf>
    <xf numFmtId="0" fontId="31" fillId="43" borderId="0" xfId="0" applyFont="1" applyFill="1" applyAlignment="1" applyProtection="1">
      <alignment horizontal="left" vertical="center"/>
      <protection hidden="1"/>
    </xf>
    <xf numFmtId="0" fontId="31" fillId="43" borderId="0" xfId="0" applyFont="1" applyFill="1" applyAlignment="1" applyProtection="1">
      <alignment horizontal="left" vertical="center" indent="1"/>
      <protection hidden="1"/>
    </xf>
    <xf numFmtId="0" fontId="1" fillId="44" borderId="0" xfId="0" applyFont="1" applyFill="1" applyAlignment="1" applyProtection="1">
      <alignment horizontal="center"/>
      <protection hidden="1"/>
    </xf>
    <xf numFmtId="14" fontId="192" fillId="44" borderId="0" xfId="0" applyNumberFormat="1" applyFont="1" applyFill="1" applyAlignment="1" applyProtection="1">
      <alignment horizontal="right" vertical="center"/>
      <protection hidden="1"/>
    </xf>
    <xf numFmtId="0" fontId="55" fillId="43" borderId="0" xfId="0" applyFont="1" applyFill="1" applyAlignment="1" applyProtection="1">
      <alignment horizontal="right" vertical="top"/>
      <protection hidden="1"/>
    </xf>
    <xf numFmtId="0" fontId="7" fillId="44" borderId="0" xfId="0" applyFont="1" applyFill="1" applyAlignment="1" applyProtection="1">
      <alignment horizontal="center" vertical="center"/>
      <protection hidden="1"/>
    </xf>
    <xf numFmtId="0" fontId="125" fillId="52" borderId="0" xfId="3" applyFont="1" applyFill="1" applyAlignment="1" applyProtection="1">
      <alignment horizontal="left"/>
      <protection locked="0" hidden="1"/>
    </xf>
    <xf numFmtId="0" fontId="9" fillId="52" borderId="0" xfId="0" applyFont="1" applyFill="1" applyAlignment="1" applyProtection="1">
      <alignment horizontal="left" vertical="center" indent="1"/>
      <protection hidden="1"/>
    </xf>
    <xf numFmtId="0" fontId="5" fillId="52" borderId="0" xfId="0" applyFont="1" applyFill="1" applyAlignment="1" applyProtection="1">
      <alignment horizontal="right" wrapText="1" indent="1"/>
      <protection hidden="1"/>
    </xf>
    <xf numFmtId="0" fontId="5" fillId="52" borderId="46" xfId="0" applyFont="1" applyFill="1" applyBorder="1" applyAlignment="1" applyProtection="1">
      <alignment horizontal="right" wrapText="1" indent="1"/>
      <protection hidden="1"/>
    </xf>
    <xf numFmtId="0" fontId="125" fillId="52" borderId="0" xfId="3" applyFont="1" applyFill="1" applyAlignment="1" applyProtection="1">
      <alignment horizontal="left" indent="1"/>
      <protection locked="0" hidden="1"/>
    </xf>
    <xf numFmtId="0" fontId="38" fillId="52" borderId="2" xfId="0" applyFont="1" applyFill="1" applyBorder="1" applyAlignment="1" applyProtection="1">
      <alignment horizontal="left" vertical="top" wrapText="1" indent="4"/>
      <protection hidden="1"/>
    </xf>
    <xf numFmtId="0" fontId="3" fillId="52" borderId="2" xfId="0" applyFont="1" applyFill="1" applyBorder="1" applyAlignment="1" applyProtection="1">
      <alignment horizontal="right" vertical="center" wrapText="1" indent="1"/>
      <protection hidden="1"/>
    </xf>
    <xf numFmtId="0" fontId="287" fillId="52" borderId="0" xfId="0" applyFont="1" applyFill="1" applyAlignment="1" applyProtection="1">
      <alignment horizontal="left" vertical="center" wrapText="1" indent="9"/>
      <protection hidden="1"/>
    </xf>
    <xf numFmtId="0" fontId="285" fillId="4" borderId="3" xfId="0" applyFont="1" applyFill="1" applyBorder="1" applyAlignment="1" applyProtection="1">
      <alignment horizontal="left" vertical="center" wrapText="1" indent="2"/>
      <protection hidden="1"/>
    </xf>
    <xf numFmtId="0" fontId="285" fillId="4" borderId="2" xfId="0" applyFont="1" applyFill="1" applyBorder="1" applyAlignment="1" applyProtection="1">
      <alignment horizontal="left" vertical="center" wrapText="1" indent="2"/>
      <protection hidden="1"/>
    </xf>
    <xf numFmtId="0" fontId="5" fillId="31" borderId="58" xfId="0" applyFont="1" applyFill="1" applyBorder="1" applyAlignment="1" applyProtection="1">
      <alignment horizontal="left" vertical="center" wrapText="1" indent="1"/>
      <protection locked="0"/>
    </xf>
    <xf numFmtId="0" fontId="5" fillId="31" borderId="48" xfId="0" applyFont="1" applyFill="1" applyBorder="1" applyAlignment="1" applyProtection="1">
      <alignment horizontal="left" vertical="center" wrapText="1" indent="1"/>
      <protection locked="0"/>
    </xf>
    <xf numFmtId="0" fontId="5" fillId="31" borderId="59" xfId="0" applyFont="1" applyFill="1" applyBorder="1" applyAlignment="1" applyProtection="1">
      <alignment horizontal="left" vertical="center" wrapText="1" indent="1"/>
      <protection locked="0"/>
    </xf>
    <xf numFmtId="0" fontId="64" fillId="4" borderId="7" xfId="0" applyFont="1" applyFill="1" applyBorder="1" applyAlignment="1" applyProtection="1">
      <alignment horizontal="left" vertical="center" wrapText="1" indent="10"/>
      <protection hidden="1"/>
    </xf>
    <xf numFmtId="0" fontId="64" fillId="4" borderId="0" xfId="0" applyFont="1" applyFill="1" applyAlignment="1" applyProtection="1">
      <alignment horizontal="left" vertical="center" wrapText="1" indent="10"/>
      <protection hidden="1"/>
    </xf>
    <xf numFmtId="0" fontId="64" fillId="4" borderId="46" xfId="0" applyFont="1" applyFill="1" applyBorder="1" applyAlignment="1" applyProtection="1">
      <alignment horizontal="left" vertical="center" wrapText="1" indent="10"/>
      <protection hidden="1"/>
    </xf>
    <xf numFmtId="0" fontId="64" fillId="4" borderId="4" xfId="0" applyFont="1" applyFill="1" applyBorder="1" applyAlignment="1" applyProtection="1">
      <alignment horizontal="left" vertical="center" wrapText="1" indent="10"/>
      <protection hidden="1"/>
    </xf>
    <xf numFmtId="0" fontId="64" fillId="4" borderId="8" xfId="0" applyFont="1" applyFill="1" applyBorder="1" applyAlignment="1" applyProtection="1">
      <alignment horizontal="left" vertical="center" wrapText="1" indent="10"/>
      <protection hidden="1"/>
    </xf>
    <xf numFmtId="0" fontId="64" fillId="4" borderId="5" xfId="0" applyFont="1" applyFill="1" applyBorder="1" applyAlignment="1" applyProtection="1">
      <alignment horizontal="left" vertical="center" wrapText="1" indent="10"/>
      <protection hidden="1"/>
    </xf>
    <xf numFmtId="0" fontId="322" fillId="50" borderId="0" xfId="3" applyFont="1" applyFill="1" applyAlignment="1" applyProtection="1">
      <alignment horizontal="right" vertical="center" indent="1"/>
      <protection locked="0" hidden="1"/>
    </xf>
    <xf numFmtId="0" fontId="287" fillId="52" borderId="0" xfId="0" applyFont="1" applyFill="1" applyAlignment="1" applyProtection="1">
      <alignment horizontal="left" vertical="center" indent="12"/>
      <protection hidden="1"/>
    </xf>
    <xf numFmtId="0" fontId="5" fillId="52" borderId="0" xfId="0" applyFont="1" applyFill="1" applyAlignment="1" applyProtection="1">
      <alignment horizontal="center" vertical="top"/>
      <protection hidden="1"/>
    </xf>
    <xf numFmtId="0" fontId="83" fillId="46" borderId="0" xfId="0" applyFont="1" applyFill="1" applyAlignment="1" applyProtection="1">
      <alignment horizontal="left" vertical="center"/>
      <protection hidden="1"/>
    </xf>
    <xf numFmtId="167" fontId="302" fillId="4" borderId="7" xfId="0" applyNumberFormat="1" applyFont="1" applyFill="1" applyBorder="1" applyAlignment="1" applyProtection="1">
      <alignment horizontal="right" vertical="top"/>
      <protection hidden="1"/>
    </xf>
    <xf numFmtId="167" fontId="301" fillId="4" borderId="0" xfId="0" applyNumberFormat="1" applyFont="1" applyFill="1" applyAlignment="1" applyProtection="1">
      <alignment horizontal="right" vertical="top"/>
      <protection hidden="1"/>
    </xf>
    <xf numFmtId="167" fontId="304" fillId="4" borderId="0" xfId="0" applyNumberFormat="1" applyFont="1" applyFill="1" applyAlignment="1" applyProtection="1">
      <alignment horizontal="right" vertical="top"/>
      <protection hidden="1"/>
    </xf>
    <xf numFmtId="167" fontId="303" fillId="4" borderId="7" xfId="0" applyNumberFormat="1" applyFont="1" applyFill="1" applyBorder="1" applyAlignment="1" applyProtection="1">
      <alignment horizontal="right" vertical="top"/>
      <protection hidden="1"/>
    </xf>
    <xf numFmtId="167" fontId="306" fillId="4" borderId="7" xfId="0" applyNumberFormat="1" applyFont="1" applyFill="1" applyBorder="1" applyAlignment="1" applyProtection="1">
      <alignment horizontal="right" vertical="top"/>
      <protection hidden="1"/>
    </xf>
    <xf numFmtId="167" fontId="305" fillId="4" borderId="7" xfId="0" applyNumberFormat="1" applyFont="1" applyFill="1" applyBorder="1" applyAlignment="1" applyProtection="1">
      <alignment horizontal="right" vertical="top"/>
      <protection hidden="1"/>
    </xf>
    <xf numFmtId="0" fontId="1" fillId="49" borderId="0" xfId="0" applyFont="1" applyFill="1" applyAlignment="1" applyProtection="1">
      <alignment horizontal="center"/>
      <protection hidden="1"/>
    </xf>
    <xf numFmtId="0" fontId="7" fillId="49" borderId="0" xfId="0" applyFont="1" applyFill="1" applyAlignment="1" applyProtection="1">
      <alignment horizontal="center" vertical="center"/>
      <protection hidden="1"/>
    </xf>
    <xf numFmtId="14" fontId="192" fillId="49" borderId="0" xfId="0" applyNumberFormat="1" applyFont="1" applyFill="1" applyAlignment="1" applyProtection="1">
      <alignment horizontal="right" vertical="center"/>
      <protection hidden="1"/>
    </xf>
    <xf numFmtId="0" fontId="55" fillId="50" borderId="0" xfId="0" applyFont="1" applyFill="1" applyAlignment="1" applyProtection="1">
      <alignment horizontal="right" vertical="top"/>
      <protection hidden="1"/>
    </xf>
    <xf numFmtId="0" fontId="31" fillId="50" borderId="0" xfId="0" applyFont="1" applyFill="1" applyAlignment="1" applyProtection="1">
      <alignment horizontal="left" vertical="center"/>
      <protection hidden="1"/>
    </xf>
    <xf numFmtId="0" fontId="282" fillId="0" borderId="0" xfId="0" applyFont="1" applyAlignment="1" applyProtection="1">
      <alignment horizontal="center" wrapText="1"/>
      <protection hidden="1"/>
    </xf>
    <xf numFmtId="0" fontId="31" fillId="50" borderId="0" xfId="0" applyFont="1" applyFill="1" applyAlignment="1" applyProtection="1">
      <alignment horizontal="left" vertical="center" indent="1"/>
      <protection hidden="1"/>
    </xf>
    <xf numFmtId="0" fontId="208" fillId="4" borderId="0" xfId="0" applyFont="1" applyFill="1" applyAlignment="1" applyProtection="1">
      <alignment horizontal="left"/>
      <protection hidden="1"/>
    </xf>
    <xf numFmtId="0" fontId="208" fillId="4" borderId="23" xfId="0" applyFont="1" applyFill="1" applyBorder="1" applyAlignment="1" applyProtection="1">
      <alignment horizontal="left"/>
      <protection hidden="1"/>
    </xf>
    <xf numFmtId="167" fontId="85" fillId="4" borderId="0" xfId="0" applyNumberFormat="1" applyFont="1" applyFill="1" applyAlignment="1">
      <alignment horizontal="left" vertical="center" wrapText="1" indent="2"/>
    </xf>
    <xf numFmtId="164" fontId="291" fillId="4" borderId="0" xfId="0" applyNumberFormat="1" applyFont="1" applyFill="1" applyAlignment="1" applyProtection="1">
      <alignment horizontal="center" vertical="center"/>
      <protection hidden="1"/>
    </xf>
    <xf numFmtId="0" fontId="0" fillId="0" borderId="0" xfId="0" applyAlignment="1">
      <alignment horizontal="right" vertical="center"/>
    </xf>
    <xf numFmtId="0" fontId="4" fillId="61" borderId="0" xfId="0" applyFont="1" applyFill="1" applyAlignment="1">
      <alignment horizontal="left" vertical="center" wrapText="1"/>
    </xf>
    <xf numFmtId="167" fontId="99" fillId="4" borderId="0" xfId="0" applyNumberFormat="1" applyFont="1" applyFill="1" applyAlignment="1">
      <alignment horizontal="left" vertical="top"/>
    </xf>
    <xf numFmtId="0" fontId="0" fillId="0" borderId="6" xfId="0" applyBorder="1" applyAlignment="1">
      <alignment horizontal="center" vertical="center"/>
    </xf>
    <xf numFmtId="0" fontId="0" fillId="0" borderId="63" xfId="0" applyBorder="1" applyAlignment="1">
      <alignment horizontal="center" vertical="center"/>
    </xf>
    <xf numFmtId="0" fontId="0" fillId="0" borderId="79" xfId="0" applyBorder="1" applyAlignment="1">
      <alignment horizontal="center" vertical="center"/>
    </xf>
    <xf numFmtId="168" fontId="99" fillId="4" borderId="0" xfId="0" applyNumberFormat="1" applyFont="1" applyFill="1" applyAlignment="1">
      <alignment horizontal="left" vertical="top"/>
    </xf>
    <xf numFmtId="0" fontId="4" fillId="0" borderId="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79" xfId="0" applyFont="1" applyBorder="1" applyAlignment="1">
      <alignment horizontal="center" vertical="center" wrapText="1"/>
    </xf>
    <xf numFmtId="165" fontId="99" fillId="4" borderId="0" xfId="0" applyNumberFormat="1" applyFont="1" applyFill="1" applyAlignment="1">
      <alignment horizontal="center"/>
    </xf>
    <xf numFmtId="1" fontId="0" fillId="0" borderId="54" xfId="0" applyNumberFormat="1" applyBorder="1" applyAlignment="1">
      <alignment horizontal="center" vertical="center"/>
    </xf>
    <xf numFmtId="1" fontId="0" fillId="0" borderId="46" xfId="0" applyNumberFormat="1" applyBorder="1" applyAlignment="1">
      <alignment horizontal="center" vertical="center"/>
    </xf>
    <xf numFmtId="1" fontId="0" fillId="0" borderId="5" xfId="0" applyNumberFormat="1" applyBorder="1" applyAlignment="1">
      <alignment horizontal="center" vertical="center"/>
    </xf>
    <xf numFmtId="0" fontId="159" fillId="4" borderId="232" xfId="0" applyFont="1" applyFill="1" applyBorder="1" applyAlignment="1">
      <alignment horizontal="left" vertical="center"/>
    </xf>
    <xf numFmtId="0" fontId="159" fillId="4" borderId="233" xfId="0" applyFont="1" applyFill="1" applyBorder="1" applyAlignment="1">
      <alignment horizontal="left" vertical="center"/>
    </xf>
    <xf numFmtId="167" fontId="5" fillId="0" borderId="0" xfId="0" applyNumberFormat="1" applyFont="1" applyAlignment="1">
      <alignment horizontal="left" vertical="center"/>
    </xf>
    <xf numFmtId="0" fontId="5" fillId="0" borderId="0" xfId="0" applyFont="1" applyAlignment="1">
      <alignment horizontal="left" vertical="center"/>
    </xf>
    <xf numFmtId="0" fontId="5" fillId="0" borderId="0" xfId="0" applyFont="1" applyAlignment="1">
      <alignment horizontal="left" vertical="top" wrapText="1" indent="1"/>
    </xf>
    <xf numFmtId="0" fontId="139" fillId="4" borderId="131" xfId="0" applyFont="1" applyFill="1" applyBorder="1" applyAlignment="1" applyProtection="1">
      <alignment horizontal="center"/>
      <protection hidden="1"/>
    </xf>
    <xf numFmtId="0" fontId="4" fillId="0" borderId="2" xfId="0" applyFont="1" applyBorder="1" applyAlignment="1">
      <alignment horizontal="right" vertical="center" wrapText="1"/>
    </xf>
    <xf numFmtId="0" fontId="4" fillId="0" borderId="0" xfId="0" applyFont="1" applyAlignment="1">
      <alignment horizontal="right" vertical="center" wrapText="1"/>
    </xf>
    <xf numFmtId="0" fontId="98" fillId="4" borderId="42" xfId="0" applyFont="1" applyFill="1" applyBorder="1" applyAlignment="1">
      <alignment horizontal="left" vertical="center" wrapText="1" indent="2"/>
    </xf>
    <xf numFmtId="0" fontId="98" fillId="4" borderId="44" xfId="0" applyFont="1" applyFill="1" applyBorder="1" applyAlignment="1">
      <alignment horizontal="left" vertical="center" indent="2"/>
    </xf>
    <xf numFmtId="1" fontId="238" fillId="4" borderId="0" xfId="0" applyNumberFormat="1" applyFont="1" applyFill="1" applyAlignment="1" applyProtection="1">
      <alignment horizontal="center"/>
      <protection hidden="1"/>
    </xf>
    <xf numFmtId="0" fontId="238" fillId="4" borderId="0" xfId="0" applyFont="1" applyFill="1" applyAlignment="1" applyProtection="1">
      <alignment horizontal="center"/>
      <protection hidden="1"/>
    </xf>
    <xf numFmtId="0" fontId="239" fillId="13" borderId="93" xfId="0" applyFont="1" applyFill="1" applyBorder="1" applyAlignment="1" applyProtection="1">
      <alignment horizontal="left" vertical="center" wrapText="1" indent="1"/>
      <protection hidden="1"/>
    </xf>
    <xf numFmtId="0" fontId="226" fillId="4" borderId="0" xfId="0" applyFont="1" applyFill="1" applyAlignment="1" applyProtection="1">
      <alignment horizontal="right" vertical="center"/>
      <protection hidden="1"/>
    </xf>
    <xf numFmtId="164" fontId="242" fillId="4" borderId="333" xfId="0" applyNumberFormat="1" applyFont="1" applyFill="1" applyBorder="1" applyAlignment="1" applyProtection="1">
      <alignment horizontal="center" vertical="center"/>
      <protection hidden="1"/>
    </xf>
    <xf numFmtId="164" fontId="242" fillId="4" borderId="334" xfId="0" applyNumberFormat="1" applyFont="1" applyFill="1" applyBorder="1" applyAlignment="1" applyProtection="1">
      <alignment horizontal="center" vertical="center"/>
      <protection hidden="1"/>
    </xf>
    <xf numFmtId="164" fontId="12" fillId="4" borderId="0" xfId="0" applyNumberFormat="1" applyFont="1" applyFill="1" applyAlignment="1" applyProtection="1">
      <alignment horizontal="center" vertical="center"/>
      <protection hidden="1"/>
    </xf>
    <xf numFmtId="14" fontId="11" fillId="54" borderId="0" xfId="0" applyNumberFormat="1" applyFont="1" applyFill="1" applyAlignment="1" applyProtection="1">
      <alignment horizontal="right" vertical="center" indent="1"/>
      <protection hidden="1"/>
    </xf>
    <xf numFmtId="0" fontId="11" fillId="54" borderId="0" xfId="0" applyFont="1" applyFill="1" applyAlignment="1" applyProtection="1">
      <alignment horizontal="right" vertical="center" indent="1"/>
      <protection hidden="1"/>
    </xf>
    <xf numFmtId="0" fontId="244" fillId="55" borderId="339" xfId="0" applyFont="1" applyFill="1" applyBorder="1" applyAlignment="1" applyProtection="1">
      <alignment horizontal="left" vertical="center" wrapText="1"/>
      <protection hidden="1"/>
    </xf>
    <xf numFmtId="0" fontId="244" fillId="55" borderId="340" xfId="0" applyFont="1" applyFill="1" applyBorder="1" applyAlignment="1" applyProtection="1">
      <alignment horizontal="left" vertical="center" wrapText="1"/>
      <protection hidden="1"/>
    </xf>
    <xf numFmtId="0" fontId="239" fillId="41" borderId="10" xfId="0" applyFont="1" applyFill="1" applyBorder="1" applyAlignment="1" applyProtection="1">
      <alignment horizontal="left" vertical="center" wrapText="1" indent="1"/>
      <protection hidden="1"/>
    </xf>
    <xf numFmtId="0" fontId="239" fillId="42" borderId="93" xfId="0" applyFont="1" applyFill="1" applyBorder="1" applyAlignment="1" applyProtection="1">
      <alignment horizontal="left" vertical="center" wrapText="1" indent="1"/>
      <protection hidden="1"/>
    </xf>
    <xf numFmtId="0" fontId="238" fillId="4" borderId="22" xfId="0" applyFont="1" applyFill="1" applyBorder="1" applyAlignment="1" applyProtection="1">
      <alignment horizontal="left" vertical="center"/>
      <protection hidden="1"/>
    </xf>
    <xf numFmtId="0" fontId="239" fillId="16" borderId="93" xfId="0" applyFont="1" applyFill="1" applyBorder="1" applyAlignment="1" applyProtection="1">
      <alignment horizontal="left" vertical="center" wrapText="1" indent="1"/>
      <protection hidden="1"/>
    </xf>
    <xf numFmtId="0" fontId="244" fillId="58" borderId="339" xfId="0" applyFont="1" applyFill="1" applyBorder="1" applyAlignment="1" applyProtection="1">
      <alignment horizontal="left" vertical="center" wrapText="1"/>
      <protection hidden="1"/>
    </xf>
    <xf numFmtId="0" fontId="244" fillId="58" borderId="340" xfId="0" applyFont="1" applyFill="1" applyBorder="1" applyAlignment="1" applyProtection="1">
      <alignment horizontal="left" vertical="center" wrapText="1"/>
      <protection hidden="1"/>
    </xf>
    <xf numFmtId="0" fontId="244" fillId="56" borderId="339" xfId="0" applyFont="1" applyFill="1" applyBorder="1" applyAlignment="1" applyProtection="1">
      <alignment horizontal="left" vertical="center" wrapText="1"/>
      <protection hidden="1"/>
    </xf>
    <xf numFmtId="0" fontId="244" fillId="56" borderId="340" xfId="0" applyFont="1" applyFill="1" applyBorder="1" applyAlignment="1" applyProtection="1">
      <alignment horizontal="left" vertical="center" wrapText="1"/>
      <protection hidden="1"/>
    </xf>
    <xf numFmtId="0" fontId="239" fillId="15" borderId="93" xfId="0" applyFont="1" applyFill="1" applyBorder="1" applyAlignment="1" applyProtection="1">
      <alignment horizontal="left" vertical="center" wrapText="1" indent="1"/>
      <protection hidden="1"/>
    </xf>
    <xf numFmtId="0" fontId="239" fillId="12" borderId="331" xfId="0" applyFont="1" applyFill="1" applyBorder="1" applyAlignment="1" applyProtection="1">
      <alignment horizontal="left" vertical="center" wrapText="1" indent="1"/>
      <protection hidden="1"/>
    </xf>
    <xf numFmtId="0" fontId="192" fillId="55" borderId="22" xfId="0" applyFont="1" applyFill="1" applyBorder="1" applyAlignment="1" applyProtection="1">
      <alignment horizontal="left" vertical="center" wrapText="1"/>
      <protection hidden="1"/>
    </xf>
    <xf numFmtId="0" fontId="192" fillId="55" borderId="23" xfId="0" applyFont="1" applyFill="1" applyBorder="1" applyAlignment="1" applyProtection="1">
      <alignment horizontal="left" vertical="center" wrapText="1"/>
      <protection hidden="1"/>
    </xf>
    <xf numFmtId="0" fontId="13" fillId="4" borderId="20" xfId="0" applyFont="1" applyFill="1" applyBorder="1" applyAlignment="1" applyProtection="1">
      <alignment horizontal="right"/>
      <protection hidden="1"/>
    </xf>
    <xf numFmtId="0" fontId="13" fillId="4" borderId="0" xfId="0" applyFont="1" applyFill="1" applyAlignment="1" applyProtection="1">
      <alignment horizontal="right"/>
      <protection hidden="1"/>
    </xf>
    <xf numFmtId="0" fontId="239" fillId="4" borderId="0" xfId="0" applyFont="1" applyFill="1" applyAlignment="1" applyProtection="1">
      <alignment horizontal="left" vertical="center" wrapText="1" indent="1"/>
      <protection hidden="1"/>
    </xf>
    <xf numFmtId="0" fontId="192" fillId="58" borderId="22" xfId="0" applyFont="1" applyFill="1" applyBorder="1" applyAlignment="1" applyProtection="1">
      <alignment horizontal="left" vertical="center" wrapText="1"/>
      <protection hidden="1"/>
    </xf>
    <xf numFmtId="0" fontId="192" fillId="58" borderId="23" xfId="0" applyFont="1" applyFill="1" applyBorder="1" applyAlignment="1" applyProtection="1">
      <alignment horizontal="left" vertical="center" wrapText="1"/>
      <protection hidden="1"/>
    </xf>
    <xf numFmtId="0" fontId="238" fillId="4" borderId="0" xfId="0" applyFont="1" applyFill="1" applyAlignment="1" applyProtection="1">
      <alignment horizontal="left" vertical="center"/>
      <protection hidden="1"/>
    </xf>
    <xf numFmtId="0" fontId="239" fillId="10" borderId="144" xfId="0" applyFont="1" applyFill="1" applyBorder="1" applyAlignment="1" applyProtection="1">
      <alignment horizontal="left" vertical="center" wrapText="1" indent="1"/>
      <protection hidden="1"/>
    </xf>
    <xf numFmtId="0" fontId="192" fillId="56" borderId="22" xfId="0" applyFont="1" applyFill="1" applyBorder="1" applyAlignment="1" applyProtection="1">
      <alignment horizontal="left" vertical="center" wrapText="1"/>
      <protection hidden="1"/>
    </xf>
    <xf numFmtId="0" fontId="192" fillId="56" borderId="23" xfId="0" applyFont="1" applyFill="1" applyBorder="1" applyAlignment="1" applyProtection="1">
      <alignment horizontal="left" vertical="center" wrapText="1"/>
      <protection hidden="1"/>
    </xf>
    <xf numFmtId="0" fontId="239" fillId="14" borderId="331" xfId="0" applyFont="1" applyFill="1" applyBorder="1" applyAlignment="1" applyProtection="1">
      <alignment horizontal="left" vertical="center" wrapText="1" indent="1"/>
      <protection hidden="1"/>
    </xf>
    <xf numFmtId="0" fontId="1" fillId="54" borderId="0" xfId="0" applyFont="1" applyFill="1" applyAlignment="1" applyProtection="1">
      <alignment horizontal="center"/>
      <protection hidden="1"/>
    </xf>
    <xf numFmtId="0" fontId="7" fillId="54" borderId="0" xfId="0" applyFont="1" applyFill="1" applyAlignment="1" applyProtection="1">
      <alignment horizontal="center" vertical="center"/>
      <protection hidden="1"/>
    </xf>
    <xf numFmtId="0" fontId="239" fillId="11" borderId="331" xfId="0" applyFont="1" applyFill="1" applyBorder="1" applyAlignment="1" applyProtection="1">
      <alignment horizontal="left" vertical="center" wrapText="1" indent="1"/>
      <protection hidden="1"/>
    </xf>
    <xf numFmtId="0" fontId="239" fillId="19" borderId="331" xfId="0" applyFont="1" applyFill="1" applyBorder="1" applyAlignment="1" applyProtection="1">
      <alignment horizontal="left" vertical="center" wrapText="1" indent="1"/>
      <protection hidden="1"/>
    </xf>
    <xf numFmtId="0" fontId="17" fillId="4" borderId="0" xfId="0" applyFont="1" applyFill="1" applyAlignment="1" applyProtection="1">
      <alignment horizontal="left" vertical="center"/>
      <protection hidden="1"/>
    </xf>
    <xf numFmtId="0" fontId="35" fillId="6" borderId="58" xfId="0" applyFont="1" applyFill="1" applyBorder="1" applyAlignment="1" applyProtection="1">
      <alignment horizontal="center" vertical="center" wrapText="1"/>
      <protection hidden="1"/>
    </xf>
    <xf numFmtId="0" fontId="35" fillId="6" borderId="59" xfId="0" applyFont="1" applyFill="1" applyBorder="1" applyAlignment="1" applyProtection="1">
      <alignment horizontal="center" vertical="center"/>
      <protection hidden="1"/>
    </xf>
    <xf numFmtId="0" fontId="0" fillId="27" borderId="58" xfId="0" applyFill="1" applyBorder="1" applyAlignment="1" applyProtection="1">
      <alignment horizontal="center"/>
      <protection hidden="1"/>
    </xf>
    <xf numFmtId="0" fontId="0" fillId="27" borderId="59" xfId="0" applyFill="1" applyBorder="1" applyAlignment="1" applyProtection="1">
      <alignment horizontal="center"/>
      <protection hidden="1"/>
    </xf>
    <xf numFmtId="0" fontId="0" fillId="27" borderId="48" xfId="0" applyFill="1" applyBorder="1" applyAlignment="1" applyProtection="1">
      <alignment horizontal="center"/>
      <protection hidden="1"/>
    </xf>
    <xf numFmtId="0" fontId="35" fillId="6" borderId="48" xfId="0" applyFont="1" applyFill="1" applyBorder="1" applyAlignment="1" applyProtection="1">
      <alignment horizontal="center" vertical="center"/>
      <protection hidden="1"/>
    </xf>
    <xf numFmtId="0" fontId="318" fillId="6" borderId="58" xfId="0" applyFont="1" applyFill="1" applyBorder="1" applyAlignment="1" applyProtection="1">
      <alignment horizontal="center" vertical="center"/>
      <protection hidden="1"/>
    </xf>
    <xf numFmtId="0" fontId="318" fillId="6" borderId="48" xfId="0" applyFont="1" applyFill="1" applyBorder="1" applyAlignment="1" applyProtection="1">
      <alignment horizontal="center" vertical="center"/>
      <protection hidden="1"/>
    </xf>
    <xf numFmtId="0" fontId="0" fillId="27" borderId="58" xfId="0" applyFill="1" applyBorder="1" applyAlignment="1" applyProtection="1">
      <alignment horizontal="center" vertical="center"/>
      <protection hidden="1"/>
    </xf>
    <xf numFmtId="0" fontId="0" fillId="27" borderId="48" xfId="0" applyFill="1" applyBorder="1" applyAlignment="1" applyProtection="1">
      <alignment horizontal="center" vertical="center"/>
      <protection hidden="1"/>
    </xf>
    <xf numFmtId="0" fontId="0" fillId="27" borderId="59" xfId="0" applyFill="1" applyBorder="1" applyAlignment="1" applyProtection="1">
      <alignment horizontal="center" vertical="center"/>
      <protection hidden="1"/>
    </xf>
    <xf numFmtId="0" fontId="0" fillId="27" borderId="53" xfId="0" applyFill="1" applyBorder="1" applyAlignment="1" applyProtection="1">
      <alignment horizontal="left" vertical="top" wrapText="1"/>
      <protection hidden="1"/>
    </xf>
    <xf numFmtId="0" fontId="318" fillId="6" borderId="59" xfId="0" applyFont="1" applyFill="1" applyBorder="1" applyAlignment="1" applyProtection="1">
      <alignment horizontal="center" vertical="center"/>
      <protection hidden="1"/>
    </xf>
    <xf numFmtId="0" fontId="44" fillId="0" borderId="0" xfId="0" applyFont="1" applyAlignment="1" applyProtection="1">
      <alignment vertical="center"/>
      <protection hidden="1"/>
    </xf>
    <xf numFmtId="0" fontId="314" fillId="0" borderId="0" xfId="0" applyFont="1" applyAlignment="1" applyProtection="1">
      <alignment vertical="center"/>
      <protection hidden="1"/>
    </xf>
    <xf numFmtId="0" fontId="318" fillId="6" borderId="58" xfId="0" applyFont="1" applyFill="1" applyBorder="1" applyAlignment="1" applyProtection="1">
      <alignment horizontal="center"/>
      <protection hidden="1"/>
    </xf>
    <xf numFmtId="0" fontId="318" fillId="6" borderId="48" xfId="0" applyFont="1" applyFill="1" applyBorder="1" applyAlignment="1" applyProtection="1">
      <alignment horizontal="center"/>
      <protection hidden="1"/>
    </xf>
    <xf numFmtId="0" fontId="0" fillId="27" borderId="58" xfId="0" applyFill="1" applyBorder="1" applyAlignment="1" applyProtection="1">
      <alignment horizontal="center" wrapText="1"/>
      <protection hidden="1"/>
    </xf>
    <xf numFmtId="0" fontId="0" fillId="27" borderId="48" xfId="0" applyFill="1" applyBorder="1" applyAlignment="1" applyProtection="1">
      <alignment horizontal="center" wrapText="1"/>
      <protection hidden="1"/>
    </xf>
    <xf numFmtId="0" fontId="35" fillId="6" borderId="3" xfId="0" applyFont="1" applyFill="1" applyBorder="1" applyAlignment="1" applyProtection="1">
      <alignment horizontal="center" vertical="center" wrapText="1"/>
      <protection hidden="1"/>
    </xf>
    <xf numFmtId="0" fontId="35" fillId="6" borderId="54" xfId="0" applyFont="1" applyFill="1" applyBorder="1" applyAlignment="1" applyProtection="1">
      <alignment horizontal="center" vertical="center"/>
      <protection hidden="1"/>
    </xf>
    <xf numFmtId="0" fontId="123" fillId="27" borderId="52" xfId="3" applyFill="1" applyBorder="1" applyAlignment="1" applyProtection="1">
      <alignment horizontal="left" vertical="top" indent="1"/>
      <protection locked="0" hidden="1"/>
    </xf>
    <xf numFmtId="0" fontId="123" fillId="27" borderId="0" xfId="3" applyFill="1" applyBorder="1" applyAlignment="1" applyProtection="1">
      <alignment horizontal="left" vertical="top" indent="1"/>
      <protection locked="0" hidden="1"/>
    </xf>
    <xf numFmtId="0" fontId="0" fillId="27" borderId="8" xfId="0" applyFill="1" applyBorder="1" applyAlignment="1" applyProtection="1">
      <alignment horizontal="center"/>
      <protection hidden="1"/>
    </xf>
    <xf numFmtId="0" fontId="0" fillId="27" borderId="5" xfId="0" applyFill="1" applyBorder="1" applyAlignment="1" applyProtection="1">
      <alignment horizontal="center"/>
      <protection hidden="1"/>
    </xf>
    <xf numFmtId="0" fontId="0" fillId="27" borderId="58" xfId="0" applyFill="1" applyBorder="1" applyAlignment="1" applyProtection="1">
      <alignment horizontal="center" vertical="center" wrapText="1"/>
      <protection hidden="1"/>
    </xf>
    <xf numFmtId="0" fontId="123" fillId="27" borderId="52" xfId="3" applyFill="1" applyBorder="1" applyAlignment="1" applyProtection="1">
      <alignment horizontal="left" vertical="top" indent="1"/>
      <protection hidden="1"/>
    </xf>
    <xf numFmtId="0" fontId="123" fillId="27" borderId="0" xfId="3" applyFill="1" applyBorder="1" applyAlignment="1" applyProtection="1">
      <alignment horizontal="left" vertical="top" indent="1"/>
      <protection hidden="1"/>
    </xf>
    <xf numFmtId="0" fontId="123" fillId="27" borderId="55" xfId="3" applyFill="1" applyBorder="1" applyAlignment="1" applyProtection="1">
      <alignment horizontal="left" vertical="top" indent="1"/>
      <protection hidden="1"/>
    </xf>
    <xf numFmtId="0" fontId="123" fillId="27" borderId="56" xfId="3" applyFill="1" applyBorder="1" applyAlignment="1" applyProtection="1">
      <alignment horizontal="left" vertical="top" indent="1"/>
      <protection hidden="1"/>
    </xf>
    <xf numFmtId="0" fontId="315" fillId="27" borderId="0" xfId="0" applyFont="1" applyFill="1" applyAlignment="1" applyProtection="1">
      <alignment horizontal="left" vertical="top" wrapText="1"/>
      <protection hidden="1"/>
    </xf>
    <xf numFmtId="0" fontId="44" fillId="27" borderId="0" xfId="0" applyFont="1" applyFill="1" applyAlignment="1" applyProtection="1">
      <alignment horizontal="left" vertical="top"/>
      <protection hidden="1"/>
    </xf>
    <xf numFmtId="0" fontId="44" fillId="27" borderId="53" xfId="0" applyFont="1" applyFill="1" applyBorder="1" applyAlignment="1" applyProtection="1">
      <alignment horizontal="left" vertical="top"/>
      <protection hidden="1"/>
    </xf>
    <xf numFmtId="0" fontId="44" fillId="27" borderId="49" xfId="0" applyFont="1" applyFill="1" applyBorder="1" applyAlignment="1" applyProtection="1">
      <alignment horizontal="left" vertical="center" wrapText="1" indent="1"/>
      <protection hidden="1"/>
    </xf>
    <xf numFmtId="0" fontId="44" fillId="27" borderId="50" xfId="0" applyFont="1" applyFill="1" applyBorder="1" applyAlignment="1" applyProtection="1">
      <alignment horizontal="left" vertical="center" wrapText="1" indent="1"/>
      <protection hidden="1"/>
    </xf>
    <xf numFmtId="0" fontId="44" fillId="27" borderId="51" xfId="0" applyFont="1" applyFill="1" applyBorder="1" applyAlignment="1" applyProtection="1">
      <alignment horizontal="left" vertical="center" wrapText="1" indent="1"/>
      <protection hidden="1"/>
    </xf>
    <xf numFmtId="0" fontId="44" fillId="27" borderId="52" xfId="0" applyFont="1" applyFill="1" applyBorder="1" applyAlignment="1" applyProtection="1">
      <alignment horizontal="left" vertical="center" wrapText="1" indent="1"/>
      <protection hidden="1"/>
    </xf>
    <xf numFmtId="0" fontId="44" fillId="27" borderId="0" xfId="0" applyFont="1" applyFill="1" applyAlignment="1" applyProtection="1">
      <alignment horizontal="left" vertical="center" wrapText="1" indent="1"/>
      <protection hidden="1"/>
    </xf>
    <xf numFmtId="0" fontId="44" fillId="27" borderId="53" xfId="0" applyFont="1" applyFill="1" applyBorder="1" applyAlignment="1" applyProtection="1">
      <alignment horizontal="left" vertical="center" wrapText="1" indent="1"/>
      <protection hidden="1"/>
    </xf>
    <xf numFmtId="0" fontId="0" fillId="27" borderId="0" xfId="0" applyFill="1" applyAlignment="1" applyProtection="1">
      <alignment horizontal="left" vertical="top"/>
      <protection hidden="1"/>
    </xf>
    <xf numFmtId="0" fontId="0" fillId="27" borderId="53" xfId="0" applyFill="1" applyBorder="1" applyAlignment="1" applyProtection="1">
      <alignment horizontal="left" vertical="top"/>
      <protection hidden="1"/>
    </xf>
    <xf numFmtId="0" fontId="0" fillId="27" borderId="0" xfId="0" applyFill="1" applyAlignment="1" applyProtection="1">
      <alignment horizontal="left" wrapText="1"/>
      <protection hidden="1"/>
    </xf>
    <xf numFmtId="0" fontId="0" fillId="27" borderId="0" xfId="0" applyFill="1" applyAlignment="1" applyProtection="1">
      <alignment horizontal="left" vertical="center" wrapText="1"/>
      <protection hidden="1"/>
    </xf>
  </cellXfs>
  <cellStyles count="4">
    <cellStyle name="Insatisfaisant" xfId="1" builtinId="27"/>
    <cellStyle name="Lien hypertexte" xfId="3" builtinId="8"/>
    <cellStyle name="Normal" xfId="0" builtinId="0"/>
    <cellStyle name="Satisfaisant" xfId="2" builtinId="26"/>
  </cellStyles>
  <dxfs count="629">
    <dxf>
      <fill>
        <gradientFill>
          <stop position="0">
            <color rgb="FF40B6A2"/>
          </stop>
          <stop position="1">
            <color auto="1"/>
          </stop>
        </gradientFill>
      </fill>
    </dxf>
    <dxf>
      <fill>
        <gradientFill>
          <stop position="0">
            <color theme="0"/>
          </stop>
          <stop position="1">
            <color rgb="FF40B6A2"/>
          </stop>
        </gradientFill>
      </fill>
    </dxf>
    <dxf>
      <fill>
        <gradientFill>
          <stop position="0">
            <color theme="0"/>
          </stop>
          <stop position="0.5">
            <color rgb="FF40B6A2"/>
          </stop>
          <stop position="1">
            <color theme="0"/>
          </stop>
        </gradient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rgb="FF9C0006"/>
      </font>
      <fill>
        <patternFill>
          <bgColor rgb="FFFFC7CE"/>
        </patternFill>
      </fill>
    </dxf>
    <dxf>
      <font>
        <color theme="9" tint="-0.499984740745262"/>
      </font>
      <fill>
        <patternFill>
          <bgColor theme="9" tint="0.59996337778862885"/>
        </patternFill>
      </fill>
    </dxf>
    <dxf>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theme="9" tint="-0.499984740745262"/>
      </font>
      <fill>
        <patternFill>
          <bgColor theme="9" tint="0.59996337778862885"/>
        </patternFill>
      </fill>
    </dxf>
    <dxf>
      <font>
        <color rgb="FF9C0006"/>
      </font>
      <fill>
        <patternFill>
          <bgColor rgb="FFFFC7CE"/>
        </patternFill>
      </fill>
    </dxf>
    <dxf>
      <fill>
        <patternFill>
          <bgColor theme="9" tint="0.59996337778862885"/>
        </patternFill>
      </fill>
    </dxf>
    <dxf>
      <fill>
        <patternFill>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ill>
        <patternFill>
          <bgColor theme="9" tint="0.59996337778862885"/>
        </patternFill>
      </fill>
    </dxf>
    <dxf>
      <fill>
        <patternFill>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ill>
        <patternFill>
          <bgColor theme="9" tint="0.59996337778862885"/>
        </patternFill>
      </fill>
    </dxf>
    <dxf>
      <fill>
        <patternFill>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s>
  <tableStyles count="0" defaultTableStyle="TableStyleMedium2" defaultPivotStyle="PivotStyleLight16"/>
  <colors>
    <mruColors>
      <color rgb="FFDDF7F4"/>
      <color rgb="FF886940"/>
      <color rgb="FF28A899"/>
      <color rgb="FF239587"/>
      <color rgb="FF259F90"/>
      <color rgb="FF6C2E9A"/>
      <color rgb="FFBC5DCF"/>
      <color rgb="FF5A2781"/>
      <color rgb="FFF98007"/>
      <color rgb="FFFFD3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9535267881724574E-2"/>
          <c:y val="3.206951833723487E-2"/>
          <c:w val="0.97181469449185987"/>
          <c:h val="0.93268121686131511"/>
        </c:manualLayout>
      </c:layout>
      <c:doughnutChart>
        <c:varyColors val="1"/>
        <c:ser>
          <c:idx val="0"/>
          <c:order val="0"/>
          <c:dPt>
            <c:idx val="0"/>
            <c:bubble3D val="0"/>
            <c:spPr>
              <a:solidFill>
                <a:srgbClr val="B7C2D1"/>
              </a:solidFill>
              <a:ln w="19050">
                <a:solidFill>
                  <a:schemeClr val="lt1"/>
                </a:solidFill>
              </a:ln>
              <a:effectLst/>
            </c:spPr>
            <c:extLst>
              <c:ext xmlns:c16="http://schemas.microsoft.com/office/drawing/2014/chart" uri="{C3380CC4-5D6E-409C-BE32-E72D297353CC}">
                <c16:uniqueId val="{00000003-8DED-4187-BCDF-9DFEE8DD6044}"/>
              </c:ext>
            </c:extLst>
          </c:dPt>
          <c:dPt>
            <c:idx val="1"/>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2-8DED-4187-BCDF-9DFEE8DD6044}"/>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4-8DED-4187-BCDF-9DFEE8DD6044}"/>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8DED-4187-BCDF-9DFEE8DD6044}"/>
              </c:ext>
            </c:extLst>
          </c:dPt>
          <c:dPt>
            <c:idx val="4"/>
            <c:bubble3D val="0"/>
            <c:spPr>
              <a:solidFill>
                <a:schemeClr val="accent1"/>
              </a:solidFill>
              <a:ln w="19050">
                <a:solidFill>
                  <a:schemeClr val="lt1"/>
                </a:solidFill>
              </a:ln>
              <a:effectLst/>
            </c:spPr>
            <c:extLst>
              <c:ext xmlns:c16="http://schemas.microsoft.com/office/drawing/2014/chart" uri="{C3380CC4-5D6E-409C-BE32-E72D297353CC}">
                <c16:uniqueId val="{00000009-641B-4899-913C-94B70A222066}"/>
              </c:ext>
            </c:extLst>
          </c:dPt>
          <c:dPt>
            <c:idx val="5"/>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A-2BE4-4606-9660-2CAC347206AE}"/>
              </c:ext>
            </c:extLst>
          </c:dPt>
          <c:dLbls>
            <c:dLbl>
              <c:idx val="0"/>
              <c:layout>
                <c:manualLayout>
                  <c:x val="7.7972693594327387E-3"/>
                  <c:y val="-4.32432432432432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DED-4187-BCDF-9DFEE8DD6044}"/>
                </c:ext>
              </c:extLst>
            </c:dLbl>
            <c:dLbl>
              <c:idx val="2"/>
              <c:layout>
                <c:manualLayout>
                  <c:x val="3.118907743773143E-2"/>
                  <c:y val="-2.1621621621621623E-2"/>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DED-4187-BCDF-9DFEE8DD6044}"/>
                </c:ext>
              </c:extLst>
            </c:dLbl>
            <c:dLbl>
              <c:idx val="5"/>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A-2BE4-4606-9660-2CAC347206A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'CALCULS Eau potable'!$D$21:$D$26</c:f>
              <c:strCache>
                <c:ptCount val="6"/>
                <c:pt idx="0">
                  <c:v>Approvisionnement&amp;Traitement / Linéaire</c:v>
                </c:pt>
                <c:pt idx="1">
                  <c:v>Approvisionnement&amp;Traitement / Ponctuel</c:v>
                </c:pt>
                <c:pt idx="2">
                  <c:v>Approvisionnement&amp;Traitement / Autres actifs</c:v>
                </c:pt>
                <c:pt idx="3">
                  <c:v>Distribution / Linéaire</c:v>
                </c:pt>
                <c:pt idx="4">
                  <c:v>Distribution / Ponctuel</c:v>
                </c:pt>
                <c:pt idx="5">
                  <c:v>Distribution / Autres actifs</c:v>
                </c:pt>
              </c:strCache>
            </c:strRef>
          </c:cat>
          <c:val>
            <c:numRef>
              <c:f>'CALCULS Eau potable'!$E$21:$E$26</c:f>
              <c:numCache>
                <c:formatCode>#\ ##0\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8DED-4187-BCDF-9DFEE8DD6044}"/>
            </c:ext>
          </c:extLst>
        </c:ser>
        <c:dLbls>
          <c:showLegendKey val="0"/>
          <c:showVal val="0"/>
          <c:showCatName val="0"/>
          <c:showSerName val="0"/>
          <c:showPercent val="0"/>
          <c:showBubbleSize val="0"/>
          <c:showLeaderLines val="1"/>
        </c:dLbls>
        <c:firstSliceAng val="0"/>
        <c:holeSize val="51"/>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40143432701434E-2"/>
          <c:y val="0.20560273715785526"/>
          <c:w val="0.82257532468778138"/>
          <c:h val="0.76950365579302582"/>
        </c:manualLayout>
      </c:layout>
      <c:barChart>
        <c:barDir val="col"/>
        <c:grouping val="stacked"/>
        <c:varyColors val="0"/>
        <c:ser>
          <c:idx val="0"/>
          <c:order val="0"/>
          <c:spPr>
            <a:solidFill>
              <a:schemeClr val="bg1"/>
            </a:solidFill>
            <a:ln>
              <a:solidFill>
                <a:schemeClr val="accent5">
                  <a:lumMod val="75000"/>
                </a:schemeClr>
              </a:solidFill>
            </a:ln>
            <a:effectLst/>
          </c:spPr>
          <c:invertIfNegative val="0"/>
          <c:dPt>
            <c:idx val="1"/>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3-195A-4A65-B531-184D4D26E2BA}"/>
              </c:ext>
            </c:extLst>
          </c:dPt>
          <c:dPt>
            <c:idx val="2"/>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5-195A-4A65-B531-184D4D26E2BA}"/>
              </c:ext>
            </c:extLst>
          </c:dPt>
          <c:dLbls>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5A-4A65-B531-184D4D26E2BA}"/>
                </c:ext>
              </c:extLst>
            </c:dLbl>
            <c:dLbl>
              <c:idx val="2"/>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5A-4A65-B531-184D4D26E2B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 potable'!$D$370:$D$373</c:f>
              <c:strCache>
                <c:ptCount val="4"/>
                <c:pt idx="0">
                  <c:v>Budget planifié</c:v>
                </c:pt>
                <c:pt idx="1">
                  <c:v>Coûts prévisionnels</c:v>
                </c:pt>
                <c:pt idx="2">
                  <c:v>Coûts prévisionnels</c:v>
                </c:pt>
                <c:pt idx="3">
                  <c:v>Budget planifié</c:v>
                </c:pt>
              </c:strCache>
            </c:strRef>
          </c:cat>
          <c:val>
            <c:numRef>
              <c:f>'CALCULS Eau potable'!$E$370:$E$373</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195A-4A65-B531-184D4D26E2BA}"/>
            </c:ext>
          </c:extLst>
        </c:ser>
        <c:ser>
          <c:idx val="1"/>
          <c:order val="1"/>
          <c:tx>
            <c:strRef>
              <c:f>'CALCULS Eau potable'!$F$369</c:f>
              <c:strCache>
                <c:ptCount val="1"/>
                <c:pt idx="0">
                  <c:v>Déficit de financement</c:v>
                </c:pt>
              </c:strCache>
            </c:strRef>
          </c:tx>
          <c:spPr>
            <a:solidFill>
              <a:srgbClr val="C00000"/>
            </a:solidFill>
            <a:ln>
              <a:solidFill>
                <a:srgbClr val="C00000"/>
              </a:solidFill>
            </a:ln>
            <a:effectLst/>
          </c:spPr>
          <c:invertIfNegative val="0"/>
          <c:dLbls>
            <c:dLbl>
              <c:idx val="0"/>
              <c:layout>
                <c:manualLayout>
                  <c:x val="-2.3224043715846993E-2"/>
                  <c:y val="-0.52678547994000746"/>
                </c:manualLayout>
              </c:layout>
              <c:spPr>
                <a:noFill/>
                <a:ln>
                  <a:noFill/>
                </a:ln>
                <a:effectLst/>
              </c:spPr>
              <c:txPr>
                <a:bodyPr rot="0" spcFirstLastPara="1" vertOverflow="ellipsis" vert="horz" wrap="square" lIns="38100" tIns="19050" rIns="38100" bIns="19050" anchor="ctr" anchorCtr="0">
                  <a:noAutofit/>
                </a:bodyPr>
                <a:lstStyle/>
                <a:p>
                  <a:pPr algn="l">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017748805989414"/>
                      <c:h val="0.20127999625046866"/>
                    </c:manualLayout>
                  </c15:layout>
                </c:ext>
                <c:ext xmlns:c16="http://schemas.microsoft.com/office/drawing/2014/chart" uri="{C3380CC4-5D6E-409C-BE32-E72D297353CC}">
                  <c16:uniqueId val="{00000009-195A-4A65-B531-184D4D26E2BA}"/>
                </c:ext>
              </c:extLst>
            </c:dLbl>
            <c:dLbl>
              <c:idx val="1"/>
              <c:delete val="1"/>
              <c:extLst>
                <c:ext xmlns:c15="http://schemas.microsoft.com/office/drawing/2012/chart" uri="{CE6537A1-D6FC-4f65-9D91-7224C49458BB}"/>
                <c:ext xmlns:c16="http://schemas.microsoft.com/office/drawing/2014/chart" uri="{C3380CC4-5D6E-409C-BE32-E72D297353CC}">
                  <c16:uniqueId val="{0000000A-195A-4A65-B531-184D4D26E2BA}"/>
                </c:ext>
              </c:extLst>
            </c:dLbl>
            <c:dLbl>
              <c:idx val="2"/>
              <c:delete val="1"/>
              <c:extLst>
                <c:ext xmlns:c15="http://schemas.microsoft.com/office/drawing/2012/chart" uri="{CE6537A1-D6FC-4f65-9D91-7224C49458BB}"/>
                <c:ext xmlns:c16="http://schemas.microsoft.com/office/drawing/2014/chart" uri="{C3380CC4-5D6E-409C-BE32-E72D297353CC}">
                  <c16:uniqueId val="{0000000B-195A-4A65-B531-184D4D26E2BA}"/>
                </c:ext>
              </c:extLst>
            </c:dLbl>
            <c:dLbl>
              <c:idx val="3"/>
              <c:layout>
                <c:manualLayout>
                  <c:x val="3.6885353470160392E-2"/>
                  <c:y val="-0.53273832958380207"/>
                </c:manualLayout>
              </c:layout>
              <c:spPr>
                <a:noFill/>
                <a:ln>
                  <a:noFill/>
                </a:ln>
                <a:effectLst/>
              </c:spPr>
              <c:txPr>
                <a:bodyPr rot="0" spcFirstLastPara="1" vertOverflow="ellipsis" vert="horz" wrap="square" lIns="38100" tIns="19050" rIns="38100" bIns="19050" anchor="ctr" anchorCtr="0">
                  <a:noAutofit/>
                </a:bodyPr>
                <a:lstStyle/>
                <a:p>
                  <a:pPr algn="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28924852631126025"/>
                      <c:h val="0.18937523434570677"/>
                    </c:manualLayout>
                  </c15:layout>
                </c:ext>
                <c:ext xmlns:c16="http://schemas.microsoft.com/office/drawing/2014/chart" uri="{C3380CC4-5D6E-409C-BE32-E72D297353CC}">
                  <c16:uniqueId val="{0000000C-195A-4A65-B531-184D4D26E2B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 potable'!$D$370:$D$373</c:f>
              <c:strCache>
                <c:ptCount val="4"/>
                <c:pt idx="0">
                  <c:v>Budget planifié</c:v>
                </c:pt>
                <c:pt idx="1">
                  <c:v>Coûts prévisionnels</c:v>
                </c:pt>
                <c:pt idx="2">
                  <c:v>Coûts prévisionnels</c:v>
                </c:pt>
                <c:pt idx="3">
                  <c:v>Budget planifié</c:v>
                </c:pt>
              </c:strCache>
            </c:strRef>
          </c:cat>
          <c:val>
            <c:numRef>
              <c:f>'CALCULS Eau potable'!$F$370:$F$373</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195A-4A65-B531-184D4D26E2BA}"/>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819805108733138E-3"/>
          <c:y val="5.5761897687317385E-3"/>
          <c:w val="0.9898423167606325"/>
          <c:h val="0.96371191820917679"/>
        </c:manualLayout>
      </c:layout>
      <c:barChart>
        <c:barDir val="bar"/>
        <c:grouping val="clustered"/>
        <c:varyColors val="0"/>
        <c:ser>
          <c:idx val="0"/>
          <c:order val="0"/>
          <c:spPr>
            <a:solidFill>
              <a:srgbClr val="BC5DCF"/>
            </a:solidFill>
            <a:ln>
              <a:noFill/>
            </a:ln>
            <a:effectLst/>
          </c:spPr>
          <c:invertIfNegative val="0"/>
          <c:cat>
            <c:strRef>
              <c:f>'CALCULS Eau potable'!$D$141:$D$146</c:f>
              <c:strCache>
                <c:ptCount val="6"/>
                <c:pt idx="0">
                  <c:v>Autre </c:v>
                </c:pt>
                <c:pt idx="1">
                  <c:v>Manque d'informations</c:v>
                </c:pt>
                <c:pt idx="2">
                  <c:v>Changements climatiques</c:v>
                </c:pt>
                <c:pt idx="3">
                  <c:v>Sous-financement</c:v>
                </c:pt>
                <c:pt idx="4">
                  <c:v>Dotation de personnel</c:v>
                </c:pt>
                <c:pt idx="5">
                  <c:v>Actifs critiques</c:v>
                </c:pt>
              </c:strCache>
            </c:strRef>
          </c:cat>
          <c:val>
            <c:numRef>
              <c:f>'CALCULS Eau potable'!$I$141:$I$146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EBA5-4404-9443-A24B4F62F375}"/>
            </c:ext>
          </c:extLst>
        </c:ser>
        <c:dLbls>
          <c:showLegendKey val="0"/>
          <c:showVal val="0"/>
          <c:showCatName val="0"/>
          <c:showSerName val="0"/>
          <c:showPercent val="0"/>
          <c:showBubbleSize val="0"/>
        </c:dLbls>
        <c:gapWidth val="102"/>
        <c:axId val="1034704655"/>
        <c:axId val="1034703823"/>
      </c:barChart>
      <c:catAx>
        <c:axId val="1034704655"/>
        <c:scaling>
          <c:orientation val="minMax"/>
        </c:scaling>
        <c:delete val="1"/>
        <c:axPos val="l"/>
        <c:numFmt formatCode="General" sourceLinked="1"/>
        <c:majorTickMark val="none"/>
        <c:minorTickMark val="none"/>
        <c:tickLblPos val="nextTo"/>
        <c:crossAx val="1034703823"/>
        <c:crosses val="autoZero"/>
        <c:auto val="1"/>
        <c:lblAlgn val="ctr"/>
        <c:lblOffset val="100"/>
        <c:noMultiLvlLbl val="0"/>
      </c:catAx>
      <c:valAx>
        <c:axId val="1034703823"/>
        <c:scaling>
          <c:orientation val="minMax"/>
          <c:max val="3"/>
        </c:scaling>
        <c:delete val="1"/>
        <c:axPos val="b"/>
        <c:numFmt formatCode="General" sourceLinked="1"/>
        <c:majorTickMark val="none"/>
        <c:minorTickMark val="none"/>
        <c:tickLblPos val="nextTo"/>
        <c:crossAx val="1034704655"/>
        <c:crosses val="autoZero"/>
        <c:crossBetween val="between"/>
        <c:majorUnit val="1"/>
      </c:valAx>
      <c:spPr>
        <a:noFill/>
        <a:ln>
          <a:solidFill>
            <a:schemeClr val="bg1"/>
          </a:solid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918630941630003E-2"/>
          <c:y val="0.14676199255389122"/>
          <c:w val="0.88759273840769903"/>
          <c:h val="0.54036745406824149"/>
        </c:manualLayout>
      </c:layout>
      <c:barChart>
        <c:barDir val="bar"/>
        <c:grouping val="percentStacked"/>
        <c:varyColors val="0"/>
        <c:ser>
          <c:idx val="0"/>
          <c:order val="0"/>
          <c:tx>
            <c:strRef>
              <c:f>'CALCULS Eau potable'!$D$256</c:f>
              <c:strCache>
                <c:ptCount val="1"/>
                <c:pt idx="0">
                  <c:v>Exploitation</c:v>
                </c:pt>
              </c:strCache>
            </c:strRef>
          </c:tx>
          <c:spPr>
            <a:solidFill>
              <a:schemeClr val="accent1"/>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0-9249-4F93-A8C3-75E7ED08599D}"/>
              </c:ext>
            </c:extLst>
          </c:dPt>
          <c:dLbls>
            <c:dLbl>
              <c:idx val="0"/>
              <c:layout>
                <c:manualLayout>
                  <c:x val="-4.5422275155267283E-2"/>
                  <c:y val="-0.282560706401766"/>
                </c:manualLayout>
              </c:layout>
              <c:tx>
                <c:rich>
                  <a:bodyPr/>
                  <a:lstStyle/>
                  <a:p>
                    <a:fld id="{2B3ADD61-34DD-436D-B6EA-E2D5D87BF1F9}"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249-4F93-A8C3-75E7ED08599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 potable'!$O$256</c:f>
              <c:numCache>
                <c:formatCode>#\ ##0\ "$"</c:formatCode>
                <c:ptCount val="1"/>
                <c:pt idx="0">
                  <c:v>0</c:v>
                </c:pt>
              </c:numCache>
            </c:numRef>
          </c:val>
          <c:extLst>
            <c:ext xmlns:c15="http://schemas.microsoft.com/office/drawing/2012/chart" uri="{02D57815-91ED-43cb-92C2-25804820EDAC}">
              <c15:datalabelsRange>
                <c15:f>'CALCULS Eau potable'!$P$256</c15:f>
                <c15:dlblRangeCache>
                  <c:ptCount val="1"/>
                </c15:dlblRangeCache>
              </c15:datalabelsRange>
            </c:ext>
            <c:ext xmlns:c16="http://schemas.microsoft.com/office/drawing/2014/chart" uri="{C3380CC4-5D6E-409C-BE32-E72D297353CC}">
              <c16:uniqueId val="{00000001-9249-4F93-A8C3-75E7ED08599D}"/>
            </c:ext>
          </c:extLst>
        </c:ser>
        <c:ser>
          <c:idx val="1"/>
          <c:order val="1"/>
          <c:tx>
            <c:strRef>
              <c:f>'CALCULS Eau potable'!$D$257</c:f>
              <c:strCache>
                <c:ptCount val="1"/>
                <c:pt idx="0">
                  <c:v>Entretien</c:v>
                </c:pt>
              </c:strCache>
            </c:strRef>
          </c:tx>
          <c:spPr>
            <a:solidFill>
              <a:srgbClr val="0070C0"/>
            </a:solidFill>
            <a:ln>
              <a:noFill/>
            </a:ln>
            <a:effectLst/>
          </c:spPr>
          <c:invertIfNegative val="0"/>
          <c:dLbls>
            <c:dLbl>
              <c:idx val="0"/>
              <c:layout>
                <c:manualLayout>
                  <c:x val="-7.0026007531037104E-2"/>
                  <c:y val="-0.29139072847682118"/>
                </c:manualLayout>
              </c:layout>
              <c:tx>
                <c:rich>
                  <a:bodyPr/>
                  <a:lstStyle/>
                  <a:p>
                    <a:fld id="{0397F37D-D8DF-46CB-B5B1-D58F388E2B49}"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249-4F93-A8C3-75E7ED08599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 potable'!$O$257</c:f>
              <c:numCache>
                <c:formatCode>#\ ##0\ "$"</c:formatCode>
                <c:ptCount val="1"/>
                <c:pt idx="0">
                  <c:v>0</c:v>
                </c:pt>
              </c:numCache>
            </c:numRef>
          </c:val>
          <c:extLst>
            <c:ext xmlns:c15="http://schemas.microsoft.com/office/drawing/2012/chart" uri="{02D57815-91ED-43cb-92C2-25804820EDAC}">
              <c15:datalabelsRange>
                <c15:f>'CALCULS Eau potable'!$P$257</c15:f>
                <c15:dlblRangeCache>
                  <c:ptCount val="1"/>
                </c15:dlblRangeCache>
              </c15:datalabelsRange>
            </c:ext>
            <c:ext xmlns:c16="http://schemas.microsoft.com/office/drawing/2014/chart" uri="{C3380CC4-5D6E-409C-BE32-E72D297353CC}">
              <c16:uniqueId val="{00000003-9249-4F93-A8C3-75E7ED08599D}"/>
            </c:ext>
          </c:extLst>
        </c:ser>
        <c:ser>
          <c:idx val="2"/>
          <c:order val="2"/>
          <c:tx>
            <c:strRef>
              <c:f>'CALCULS Eau potable'!$D$258</c:f>
              <c:strCache>
                <c:ptCount val="1"/>
                <c:pt idx="0">
                  <c:v>Renouvellement</c:v>
                </c:pt>
              </c:strCache>
            </c:strRef>
          </c:tx>
          <c:spPr>
            <a:solidFill>
              <a:schemeClr val="accent4"/>
            </a:solidFill>
            <a:ln>
              <a:noFill/>
            </a:ln>
            <a:effectLst/>
          </c:spPr>
          <c:invertIfNegative val="0"/>
          <c:dLbls>
            <c:dLbl>
              <c:idx val="0"/>
              <c:layout>
                <c:manualLayout>
                  <c:x val="-4.1637085558995084E-2"/>
                  <c:y val="-0.29139072847682118"/>
                </c:manualLayout>
              </c:layout>
              <c:tx>
                <c:rich>
                  <a:bodyPr/>
                  <a:lstStyle/>
                  <a:p>
                    <a:fld id="{5D7B98DE-FBE3-473D-804A-FF4AB852C3AD}"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249-4F93-A8C3-75E7ED08599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 potable'!$O$258</c:f>
              <c:numCache>
                <c:formatCode>#\ ##0\ "$"</c:formatCode>
                <c:ptCount val="1"/>
                <c:pt idx="0">
                  <c:v>0</c:v>
                </c:pt>
              </c:numCache>
            </c:numRef>
          </c:val>
          <c:extLst>
            <c:ext xmlns:c15="http://schemas.microsoft.com/office/drawing/2012/chart" uri="{02D57815-91ED-43cb-92C2-25804820EDAC}">
              <c15:datalabelsRange>
                <c15:f>'CALCULS Eau potable'!$P$258</c15:f>
                <c15:dlblRangeCache>
                  <c:ptCount val="1"/>
                </c15:dlblRangeCache>
              </c15:datalabelsRange>
            </c:ext>
            <c:ext xmlns:c16="http://schemas.microsoft.com/office/drawing/2014/chart" uri="{C3380CC4-5D6E-409C-BE32-E72D297353CC}">
              <c16:uniqueId val="{00000005-9249-4F93-A8C3-75E7ED08599D}"/>
            </c:ext>
          </c:extLst>
        </c:ser>
        <c:ser>
          <c:idx val="3"/>
          <c:order val="3"/>
          <c:tx>
            <c:strRef>
              <c:f>'CALCULS Eau potable'!$D$259</c:f>
              <c:strCache>
                <c:ptCount val="1"/>
                <c:pt idx="0">
                  <c:v>Acquisition</c:v>
                </c:pt>
              </c:strCache>
            </c:strRef>
          </c:tx>
          <c:spPr>
            <a:solidFill>
              <a:schemeClr val="accent2"/>
            </a:solidFill>
            <a:ln>
              <a:noFill/>
            </a:ln>
            <a:effectLst/>
          </c:spPr>
          <c:invertIfNegative val="0"/>
          <c:dLbls>
            <c:dLbl>
              <c:idx val="0"/>
              <c:layout>
                <c:manualLayout>
                  <c:x val="-3.7851895962722738E-2"/>
                  <c:y val="-0.29139072847682118"/>
                </c:manualLayout>
              </c:layout>
              <c:tx>
                <c:rich>
                  <a:bodyPr/>
                  <a:lstStyle/>
                  <a:p>
                    <a:fld id="{AEBCFE20-9641-4887-92BB-B9DB129BE269}"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249-4F93-A8C3-75E7ED08599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 potable'!$O$259</c:f>
              <c:numCache>
                <c:formatCode>#\ ##0\ "$"</c:formatCode>
                <c:ptCount val="1"/>
                <c:pt idx="0">
                  <c:v>0</c:v>
                </c:pt>
              </c:numCache>
            </c:numRef>
          </c:val>
          <c:extLst>
            <c:ext xmlns:c15="http://schemas.microsoft.com/office/drawing/2012/chart" uri="{02D57815-91ED-43cb-92C2-25804820EDAC}">
              <c15:datalabelsRange>
                <c15:f>'CALCULS Eau potable'!$P$259</c15:f>
                <c15:dlblRangeCache>
                  <c:ptCount val="1"/>
                </c15:dlblRangeCache>
              </c15:datalabelsRange>
            </c:ext>
            <c:ext xmlns:c16="http://schemas.microsoft.com/office/drawing/2014/chart" uri="{C3380CC4-5D6E-409C-BE32-E72D297353CC}">
              <c16:uniqueId val="{00000007-9249-4F93-A8C3-75E7ED08599D}"/>
            </c:ext>
          </c:extLst>
        </c:ser>
        <c:ser>
          <c:idx val="4"/>
          <c:order val="4"/>
          <c:tx>
            <c:strRef>
              <c:f>'CALCULS Eau potable'!$D$260</c:f>
              <c:strCache>
                <c:ptCount val="1"/>
                <c:pt idx="0">
                  <c:v>Disposition</c:v>
                </c:pt>
              </c:strCache>
            </c:strRef>
          </c:tx>
          <c:spPr>
            <a:solidFill>
              <a:schemeClr val="accent4">
                <a:lumMod val="50000"/>
              </a:schemeClr>
            </a:solidFill>
            <a:ln>
              <a:noFill/>
            </a:ln>
            <a:effectLst/>
          </c:spPr>
          <c:invertIfNegative val="0"/>
          <c:dLbls>
            <c:dLbl>
              <c:idx val="0"/>
              <c:layout>
                <c:manualLayout>
                  <c:x val="1.1355568788816821E-2"/>
                  <c:y val="-0.26490066225165565"/>
                </c:manualLayout>
              </c:layout>
              <c:tx>
                <c:rich>
                  <a:bodyPr/>
                  <a:lstStyle/>
                  <a:p>
                    <a:fld id="{7C653C38-2F2A-48E0-B062-EE434E12B4C8}"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9249-4F93-A8C3-75E7ED08599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 potable'!$O$260</c:f>
              <c:numCache>
                <c:formatCode>#\ ##0\ "$"</c:formatCode>
                <c:ptCount val="1"/>
                <c:pt idx="0">
                  <c:v>0</c:v>
                </c:pt>
              </c:numCache>
            </c:numRef>
          </c:val>
          <c:extLst>
            <c:ext xmlns:c15="http://schemas.microsoft.com/office/drawing/2012/chart" uri="{02D57815-91ED-43cb-92C2-25804820EDAC}">
              <c15:datalabelsRange>
                <c15:f>'CALCULS Eau potable'!$P$260</c15:f>
                <c15:dlblRangeCache>
                  <c:ptCount val="1"/>
                </c15:dlblRangeCache>
              </c15:datalabelsRange>
            </c:ext>
            <c:ext xmlns:c16="http://schemas.microsoft.com/office/drawing/2014/chart" uri="{C3380CC4-5D6E-409C-BE32-E72D297353CC}">
              <c16:uniqueId val="{00000009-9249-4F93-A8C3-75E7ED08599D}"/>
            </c:ext>
          </c:extLst>
        </c:ser>
        <c:dLbls>
          <c:showLegendKey val="0"/>
          <c:showVal val="0"/>
          <c:showCatName val="0"/>
          <c:showSerName val="0"/>
          <c:showPercent val="0"/>
          <c:showBubbleSize val="0"/>
        </c:dLbls>
        <c:gapWidth val="114"/>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93685987638641943"/>
          <c:h val="0.9585035038936964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5402-4D19-9A13-FAD35225BA73}"/>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5402-4D19-9A13-FAD35225BA7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402-4D19-9A13-FAD35225BA7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402-4D19-9A13-FAD35225BA73}"/>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5402-4D19-9A13-FAD35225BA7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402-4D19-9A13-FAD35225BA7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402-4D19-9A13-FAD35225BA73}"/>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5402-4D19-9A13-FAD35225BA73}"/>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5402-4D19-9A13-FAD35225BA7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402-4D19-9A13-FAD35225BA7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4-E7A0-4E9E-AE6D-1AD405F69EED}"/>
              </c:ext>
            </c:extLst>
          </c:dPt>
          <c:dLbls>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5402-4D19-9A13-FAD35225BA7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'CALCULS Eau potable'!$L$282:$L$292</c:f>
              <c:numCache>
                <c:formatCode>General</c:formatCode>
                <c:ptCount val="11"/>
              </c:numCache>
            </c:numRef>
          </c:cat>
          <c:val>
            <c:numRef>
              <c:f>'CALCULS Eau potable'!$M$282:$M$292</c:f>
              <c:numCache>
                <c:formatCode>#\ ##0\ "$"</c:formatCode>
                <c:ptCount val="11"/>
                <c:pt idx="0">
                  <c:v>0</c:v>
                </c:pt>
                <c:pt idx="1">
                  <c:v>0</c:v>
                </c:pt>
                <c:pt idx="4">
                  <c:v>0</c:v>
                </c:pt>
                <c:pt idx="7">
                  <c:v>0</c:v>
                </c:pt>
                <c:pt idx="8">
                  <c:v>0</c:v>
                </c:pt>
              </c:numCache>
            </c:numRef>
          </c:val>
          <c:extLst>
            <c:ext xmlns:c16="http://schemas.microsoft.com/office/drawing/2014/chart" uri="{C3380CC4-5D6E-409C-BE32-E72D297353CC}">
              <c16:uniqueId val="{00000000-0733-455C-BD97-2D762717C748}"/>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7122868634226478E-2"/>
          <c:y val="3.2069469207688391E-2"/>
          <c:w val="0.97181469449185987"/>
          <c:h val="0.93268121686131511"/>
        </c:manualLayout>
      </c:layout>
      <c:doughnutChart>
        <c:varyColors val="1"/>
        <c:ser>
          <c:idx val="0"/>
          <c:order val="0"/>
          <c:dPt>
            <c:idx val="0"/>
            <c:bubble3D val="0"/>
            <c:spPr>
              <a:solidFill>
                <a:srgbClr val="E4E4E0"/>
              </a:solidFill>
              <a:ln w="19050">
                <a:solidFill>
                  <a:schemeClr val="lt1"/>
                </a:solidFill>
              </a:ln>
              <a:effectLst/>
            </c:spPr>
            <c:extLst>
              <c:ext xmlns:c16="http://schemas.microsoft.com/office/drawing/2014/chart" uri="{C3380CC4-5D6E-409C-BE32-E72D297353CC}">
                <c16:uniqueId val="{00000001-6519-4898-8E35-1379F06EA030}"/>
              </c:ext>
            </c:extLst>
          </c:dPt>
          <c:dPt>
            <c:idx val="1"/>
            <c:bubble3D val="0"/>
            <c:spPr>
              <a:solidFill>
                <a:srgbClr val="ADACA1"/>
              </a:solidFill>
              <a:ln w="19050">
                <a:solidFill>
                  <a:schemeClr val="lt1"/>
                </a:solidFill>
              </a:ln>
              <a:effectLst/>
            </c:spPr>
            <c:extLst>
              <c:ext xmlns:c16="http://schemas.microsoft.com/office/drawing/2014/chart" uri="{C3380CC4-5D6E-409C-BE32-E72D297353CC}">
                <c16:uniqueId val="{00000003-6519-4898-8E35-1379F06EA030}"/>
              </c:ext>
            </c:extLst>
          </c:dPt>
          <c:dPt>
            <c:idx val="2"/>
            <c:bubble3D val="0"/>
            <c:spPr>
              <a:solidFill>
                <a:srgbClr val="737267"/>
              </a:solidFill>
              <a:ln w="19050">
                <a:solidFill>
                  <a:schemeClr val="lt1"/>
                </a:solidFill>
              </a:ln>
              <a:effectLst/>
            </c:spPr>
            <c:extLst>
              <c:ext xmlns:c16="http://schemas.microsoft.com/office/drawing/2014/chart" uri="{C3380CC4-5D6E-409C-BE32-E72D297353CC}">
                <c16:uniqueId val="{00000005-6519-4898-8E35-1379F06EA030}"/>
              </c:ext>
            </c:extLst>
          </c:dPt>
          <c:dPt>
            <c:idx val="3"/>
            <c:bubble3D val="0"/>
            <c:spPr>
              <a:solidFill>
                <a:srgbClr val="DEC98E"/>
              </a:solidFill>
              <a:ln w="19050">
                <a:solidFill>
                  <a:schemeClr val="lt1"/>
                </a:solidFill>
              </a:ln>
              <a:effectLst/>
            </c:spPr>
            <c:extLst>
              <c:ext xmlns:c16="http://schemas.microsoft.com/office/drawing/2014/chart" uri="{C3380CC4-5D6E-409C-BE32-E72D297353CC}">
                <c16:uniqueId val="{00000007-6519-4898-8E35-1379F06EA030}"/>
              </c:ext>
            </c:extLst>
          </c:dPt>
          <c:dPt>
            <c:idx val="4"/>
            <c:bubble3D val="0"/>
            <c:spPr>
              <a:solidFill>
                <a:srgbClr val="BF8F00"/>
              </a:solidFill>
              <a:ln w="19050">
                <a:solidFill>
                  <a:schemeClr val="lt1"/>
                </a:solidFill>
              </a:ln>
              <a:effectLst/>
            </c:spPr>
            <c:extLst>
              <c:ext xmlns:c16="http://schemas.microsoft.com/office/drawing/2014/chart" uri="{C3380CC4-5D6E-409C-BE32-E72D297353CC}">
                <c16:uniqueId val="{00000009-6519-4898-8E35-1379F06EA030}"/>
              </c:ext>
            </c:extLst>
          </c:dPt>
          <c:dPt>
            <c:idx val="5"/>
            <c:bubble3D val="0"/>
            <c:spPr>
              <a:solidFill>
                <a:srgbClr val="806000"/>
              </a:solidFill>
              <a:ln w="19050">
                <a:solidFill>
                  <a:schemeClr val="lt1"/>
                </a:solidFill>
              </a:ln>
              <a:effectLst/>
            </c:spPr>
            <c:extLst>
              <c:ext xmlns:c16="http://schemas.microsoft.com/office/drawing/2014/chart" uri="{C3380CC4-5D6E-409C-BE32-E72D297353CC}">
                <c16:uniqueId val="{0000000B-6519-4898-8E35-1379F06EA030}"/>
              </c:ext>
            </c:extLst>
          </c:dPt>
          <c:dLbls>
            <c:dLbl>
              <c:idx val="0"/>
              <c:layout>
                <c:manualLayout>
                  <c:x val="7.7973829913595676E-3"/>
                  <c:y val="-5.387580767009393E-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519-4898-8E35-1379F06EA030}"/>
                </c:ext>
              </c:extLst>
            </c:dLbl>
            <c:dLbl>
              <c:idx val="2"/>
              <c:layout>
                <c:manualLayout>
                  <c:x val="3.118907743773143E-2"/>
                  <c:y val="-2.1621621621621623E-2"/>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519-4898-8E35-1379F06EA030}"/>
                </c:ext>
              </c:extLst>
            </c:dLbl>
            <c:dLbl>
              <c:idx val="5"/>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B-6519-4898-8E35-1379F06EA030}"/>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'CALCULS Eaux usées'!$D$21:$D$26</c:f>
              <c:strCache>
                <c:ptCount val="6"/>
                <c:pt idx="0">
                  <c:v>Collecte / Linéaire</c:v>
                </c:pt>
                <c:pt idx="1">
                  <c:v>Collecte / Ponctuel</c:v>
                </c:pt>
                <c:pt idx="2">
                  <c:v>Collecte / Autres actifs</c:v>
                </c:pt>
                <c:pt idx="3">
                  <c:v>Traitement / Linéaire</c:v>
                </c:pt>
                <c:pt idx="4">
                  <c:v>Traitement / Ponctuel</c:v>
                </c:pt>
                <c:pt idx="5">
                  <c:v>Traitement / Autres actifs</c:v>
                </c:pt>
              </c:strCache>
            </c:strRef>
          </c:cat>
          <c:val>
            <c:numRef>
              <c:f>'CALCULS Eaux usées'!$E$21:$E$26</c:f>
              <c:numCache>
                <c:formatCode>#\ ##0\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6519-4898-8E35-1379F06EA030}"/>
            </c:ext>
          </c:extLst>
        </c:ser>
        <c:dLbls>
          <c:showLegendKey val="0"/>
          <c:showVal val="0"/>
          <c:showCatName val="0"/>
          <c:showSerName val="0"/>
          <c:showPercent val="0"/>
          <c:showBubbleSize val="0"/>
          <c:showLeaderLines val="1"/>
        </c:dLbls>
        <c:firstSliceAng val="0"/>
        <c:holeSize val="51"/>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69909110706141"/>
          <c:y val="0.12362315030902983"/>
          <c:w val="0.81420967575559611"/>
          <c:h val="0.56916786346267279"/>
        </c:manualLayout>
      </c:layout>
      <c:barChart>
        <c:barDir val="col"/>
        <c:grouping val="clustered"/>
        <c:varyColors val="0"/>
        <c:ser>
          <c:idx val="0"/>
          <c:order val="0"/>
          <c:tx>
            <c:strRef>
              <c:f>'CALCULS Eaux usées'!$D$61</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B407-440D-A991-FAEB4E99F13D}"/>
              </c:ext>
            </c:extLst>
          </c:dPt>
          <c:dPt>
            <c:idx val="1"/>
            <c:invertIfNegative val="0"/>
            <c:bubble3D val="0"/>
            <c:spPr>
              <a:solidFill>
                <a:srgbClr val="00B050"/>
              </a:solidFill>
              <a:ln>
                <a:noFill/>
              </a:ln>
              <a:effectLst/>
            </c:spPr>
            <c:extLst>
              <c:ext xmlns:c16="http://schemas.microsoft.com/office/drawing/2014/chart" uri="{C3380CC4-5D6E-409C-BE32-E72D297353CC}">
                <c16:uniqueId val="{00000003-B407-440D-A991-FAEB4E99F13D}"/>
              </c:ext>
            </c:extLst>
          </c:dPt>
          <c:dPt>
            <c:idx val="2"/>
            <c:invertIfNegative val="0"/>
            <c:bubble3D val="0"/>
            <c:spPr>
              <a:solidFill>
                <a:srgbClr val="FFD347"/>
              </a:solidFill>
              <a:ln>
                <a:noFill/>
              </a:ln>
              <a:effectLst/>
            </c:spPr>
            <c:extLst>
              <c:ext xmlns:c16="http://schemas.microsoft.com/office/drawing/2014/chart" uri="{C3380CC4-5D6E-409C-BE32-E72D297353CC}">
                <c16:uniqueId val="{00000005-B407-440D-A991-FAEB4E99F13D}"/>
              </c:ext>
            </c:extLst>
          </c:dPt>
          <c:dPt>
            <c:idx val="3"/>
            <c:invertIfNegative val="0"/>
            <c:bubble3D val="0"/>
            <c:spPr>
              <a:solidFill>
                <a:srgbClr val="F98007"/>
              </a:solidFill>
              <a:ln>
                <a:noFill/>
              </a:ln>
              <a:effectLst/>
            </c:spPr>
            <c:extLst>
              <c:ext xmlns:c16="http://schemas.microsoft.com/office/drawing/2014/chart" uri="{C3380CC4-5D6E-409C-BE32-E72D297353CC}">
                <c16:uniqueId val="{00000007-B407-440D-A991-FAEB4E99F13D}"/>
              </c:ext>
            </c:extLst>
          </c:dPt>
          <c:dPt>
            <c:idx val="4"/>
            <c:invertIfNegative val="0"/>
            <c:bubble3D val="0"/>
            <c:spPr>
              <a:solidFill>
                <a:srgbClr val="C00000"/>
              </a:solidFill>
              <a:ln>
                <a:noFill/>
              </a:ln>
              <a:effectLst/>
            </c:spPr>
            <c:extLst>
              <c:ext xmlns:c16="http://schemas.microsoft.com/office/drawing/2014/chart" uri="{C3380CC4-5D6E-409C-BE32-E72D297353CC}">
                <c16:uniqueId val="{00000009-B407-440D-A991-FAEB4E99F13D}"/>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B407-440D-A991-FAEB4E99F13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usées'!$E$60:$J$60</c:f>
              <c:strCache>
                <c:ptCount val="6"/>
                <c:pt idx="0">
                  <c:v>Très bon 
(A)</c:v>
                </c:pt>
                <c:pt idx="1">
                  <c:v>Bon 
(B)</c:v>
                </c:pt>
                <c:pt idx="2">
                  <c:v>Satisfaisant 
(C)</c:v>
                </c:pt>
                <c:pt idx="3">
                  <c:v>Mauvais 
(D)</c:v>
                </c:pt>
                <c:pt idx="4">
                  <c:v>Très mauvais 
(E)</c:v>
                </c:pt>
                <c:pt idx="5">
                  <c:v>Inconnu</c:v>
                </c:pt>
              </c:strCache>
            </c:strRef>
          </c:cat>
          <c:val>
            <c:numRef>
              <c:f>'CALCULS Eaux usées'!$E$61:$J$61</c:f>
              <c:numCache>
                <c:formatCode>0.0%</c:formatCode>
                <c:ptCount val="6"/>
                <c:pt idx="0">
                  <c:v>0</c:v>
                </c:pt>
                <c:pt idx="1">
                  <c:v>0</c:v>
                </c:pt>
                <c:pt idx="2">
                  <c:v>0</c:v>
                </c:pt>
                <c:pt idx="3">
                  <c:v>0</c:v>
                </c:pt>
                <c:pt idx="4">
                  <c:v>0</c:v>
                </c:pt>
                <c:pt idx="5">
                  <c:v>1</c:v>
                </c:pt>
              </c:numCache>
            </c:numRef>
          </c:val>
          <c:extLst>
            <c:ext xmlns:c16="http://schemas.microsoft.com/office/drawing/2014/chart" uri="{C3380CC4-5D6E-409C-BE32-E72D297353CC}">
              <c16:uniqueId val="{0000000C-B407-440D-A991-FAEB4E99F13D}"/>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CD1C6"/>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F6F3F0"/>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23179455509239"/>
          <c:y val="0.11344504141769035"/>
          <c:w val="0.83167701096186508"/>
          <c:h val="0.58952408124535172"/>
        </c:manualLayout>
      </c:layout>
      <c:barChart>
        <c:barDir val="col"/>
        <c:grouping val="clustered"/>
        <c:varyColors val="0"/>
        <c:ser>
          <c:idx val="0"/>
          <c:order val="0"/>
          <c:tx>
            <c:strRef>
              <c:f>'CALCULS Eaux usées'!$D$62</c:f>
              <c:strCache>
                <c:ptCount val="1"/>
                <c:pt idx="0">
                  <c:v>PONCTUEL</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5296-4751-867A-2DA822D6111A}"/>
              </c:ext>
            </c:extLst>
          </c:dPt>
          <c:dPt>
            <c:idx val="1"/>
            <c:invertIfNegative val="0"/>
            <c:bubble3D val="0"/>
            <c:spPr>
              <a:solidFill>
                <a:srgbClr val="00B050"/>
              </a:solidFill>
              <a:ln>
                <a:noFill/>
              </a:ln>
              <a:effectLst/>
            </c:spPr>
            <c:extLst>
              <c:ext xmlns:c16="http://schemas.microsoft.com/office/drawing/2014/chart" uri="{C3380CC4-5D6E-409C-BE32-E72D297353CC}">
                <c16:uniqueId val="{00000003-5296-4751-867A-2DA822D6111A}"/>
              </c:ext>
            </c:extLst>
          </c:dPt>
          <c:dPt>
            <c:idx val="2"/>
            <c:invertIfNegative val="0"/>
            <c:bubble3D val="0"/>
            <c:spPr>
              <a:solidFill>
                <a:srgbClr val="FFD347"/>
              </a:solidFill>
              <a:ln>
                <a:noFill/>
              </a:ln>
              <a:effectLst/>
            </c:spPr>
            <c:extLst>
              <c:ext xmlns:c16="http://schemas.microsoft.com/office/drawing/2014/chart" uri="{C3380CC4-5D6E-409C-BE32-E72D297353CC}">
                <c16:uniqueId val="{00000005-5296-4751-867A-2DA822D6111A}"/>
              </c:ext>
            </c:extLst>
          </c:dPt>
          <c:dPt>
            <c:idx val="3"/>
            <c:invertIfNegative val="0"/>
            <c:bubble3D val="0"/>
            <c:spPr>
              <a:solidFill>
                <a:srgbClr val="F98007"/>
              </a:solidFill>
              <a:ln>
                <a:noFill/>
              </a:ln>
              <a:effectLst/>
            </c:spPr>
            <c:extLst>
              <c:ext xmlns:c16="http://schemas.microsoft.com/office/drawing/2014/chart" uri="{C3380CC4-5D6E-409C-BE32-E72D297353CC}">
                <c16:uniqueId val="{00000007-5296-4751-867A-2DA822D6111A}"/>
              </c:ext>
            </c:extLst>
          </c:dPt>
          <c:dPt>
            <c:idx val="4"/>
            <c:invertIfNegative val="0"/>
            <c:bubble3D val="0"/>
            <c:spPr>
              <a:solidFill>
                <a:srgbClr val="C00000"/>
              </a:solidFill>
              <a:ln>
                <a:noFill/>
              </a:ln>
              <a:effectLst/>
            </c:spPr>
            <c:extLst>
              <c:ext xmlns:c16="http://schemas.microsoft.com/office/drawing/2014/chart" uri="{C3380CC4-5D6E-409C-BE32-E72D297353CC}">
                <c16:uniqueId val="{00000009-5296-4751-867A-2DA822D6111A}"/>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5296-4751-867A-2DA822D6111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usées'!$E$60:$J$60</c:f>
              <c:strCache>
                <c:ptCount val="6"/>
                <c:pt idx="0">
                  <c:v>Très bon 
(A)</c:v>
                </c:pt>
                <c:pt idx="1">
                  <c:v>Bon 
(B)</c:v>
                </c:pt>
                <c:pt idx="2">
                  <c:v>Satisfaisant 
(C)</c:v>
                </c:pt>
                <c:pt idx="3">
                  <c:v>Mauvais 
(D)</c:v>
                </c:pt>
                <c:pt idx="4">
                  <c:v>Très mauvais 
(E)</c:v>
                </c:pt>
                <c:pt idx="5">
                  <c:v>Inconnu</c:v>
                </c:pt>
              </c:strCache>
            </c:strRef>
          </c:cat>
          <c:val>
            <c:numRef>
              <c:f>'CALCULS Eaux usées'!$E$62:$J$62</c:f>
              <c:numCache>
                <c:formatCode>0.0%</c:formatCode>
                <c:ptCount val="6"/>
                <c:pt idx="0">
                  <c:v>0</c:v>
                </c:pt>
                <c:pt idx="1">
                  <c:v>0</c:v>
                </c:pt>
                <c:pt idx="2">
                  <c:v>0</c:v>
                </c:pt>
                <c:pt idx="3">
                  <c:v>0</c:v>
                </c:pt>
                <c:pt idx="4">
                  <c:v>0</c:v>
                </c:pt>
                <c:pt idx="5">
                  <c:v>1</c:v>
                </c:pt>
              </c:numCache>
            </c:numRef>
          </c:val>
          <c:extLst>
            <c:ext xmlns:c16="http://schemas.microsoft.com/office/drawing/2014/chart" uri="{C3380CC4-5D6E-409C-BE32-E72D297353CC}">
              <c16:uniqueId val="{0000000C-5296-4751-867A-2DA822D6111A}"/>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CD1C6"/>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F6F3F0"/>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23179455509239"/>
          <c:y val="0.11344504141769035"/>
          <c:w val="0.83167701096186508"/>
          <c:h val="0.58952408124535172"/>
        </c:manualLayout>
      </c:layout>
      <c:barChart>
        <c:barDir val="col"/>
        <c:grouping val="clustered"/>
        <c:varyColors val="0"/>
        <c:ser>
          <c:idx val="0"/>
          <c:order val="0"/>
          <c:tx>
            <c:strRef>
              <c:f>'CALCULS Eaux usées'!$D$63</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49FD-4A9C-925B-FBB503E94BBE}"/>
              </c:ext>
            </c:extLst>
          </c:dPt>
          <c:dPt>
            <c:idx val="1"/>
            <c:invertIfNegative val="0"/>
            <c:bubble3D val="0"/>
            <c:spPr>
              <a:solidFill>
                <a:srgbClr val="00B050"/>
              </a:solidFill>
              <a:ln>
                <a:noFill/>
              </a:ln>
              <a:effectLst/>
            </c:spPr>
            <c:extLst>
              <c:ext xmlns:c16="http://schemas.microsoft.com/office/drawing/2014/chart" uri="{C3380CC4-5D6E-409C-BE32-E72D297353CC}">
                <c16:uniqueId val="{00000003-49FD-4A9C-925B-FBB503E94BBE}"/>
              </c:ext>
            </c:extLst>
          </c:dPt>
          <c:dPt>
            <c:idx val="2"/>
            <c:invertIfNegative val="0"/>
            <c:bubble3D val="0"/>
            <c:spPr>
              <a:solidFill>
                <a:srgbClr val="FFD347"/>
              </a:solidFill>
              <a:ln>
                <a:noFill/>
              </a:ln>
              <a:effectLst/>
            </c:spPr>
            <c:extLst>
              <c:ext xmlns:c16="http://schemas.microsoft.com/office/drawing/2014/chart" uri="{C3380CC4-5D6E-409C-BE32-E72D297353CC}">
                <c16:uniqueId val="{00000005-49FD-4A9C-925B-FBB503E94BBE}"/>
              </c:ext>
            </c:extLst>
          </c:dPt>
          <c:dPt>
            <c:idx val="3"/>
            <c:invertIfNegative val="0"/>
            <c:bubble3D val="0"/>
            <c:spPr>
              <a:solidFill>
                <a:srgbClr val="F98007"/>
              </a:solidFill>
              <a:ln>
                <a:noFill/>
              </a:ln>
              <a:effectLst/>
            </c:spPr>
            <c:extLst>
              <c:ext xmlns:c16="http://schemas.microsoft.com/office/drawing/2014/chart" uri="{C3380CC4-5D6E-409C-BE32-E72D297353CC}">
                <c16:uniqueId val="{00000007-49FD-4A9C-925B-FBB503E94BBE}"/>
              </c:ext>
            </c:extLst>
          </c:dPt>
          <c:dPt>
            <c:idx val="4"/>
            <c:invertIfNegative val="0"/>
            <c:bubble3D val="0"/>
            <c:spPr>
              <a:solidFill>
                <a:srgbClr val="C00000"/>
              </a:solidFill>
              <a:ln>
                <a:noFill/>
              </a:ln>
              <a:effectLst/>
            </c:spPr>
            <c:extLst>
              <c:ext xmlns:c16="http://schemas.microsoft.com/office/drawing/2014/chart" uri="{C3380CC4-5D6E-409C-BE32-E72D297353CC}">
                <c16:uniqueId val="{00000009-49FD-4A9C-925B-FBB503E94BBE}"/>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49FD-4A9C-925B-FBB503E94BB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usées'!$E$60:$J$60</c:f>
              <c:strCache>
                <c:ptCount val="6"/>
                <c:pt idx="0">
                  <c:v>Très bon 
(A)</c:v>
                </c:pt>
                <c:pt idx="1">
                  <c:v>Bon 
(B)</c:v>
                </c:pt>
                <c:pt idx="2">
                  <c:v>Satisfaisant 
(C)</c:v>
                </c:pt>
                <c:pt idx="3">
                  <c:v>Mauvais 
(D)</c:v>
                </c:pt>
                <c:pt idx="4">
                  <c:v>Très mauvais 
(E)</c:v>
                </c:pt>
                <c:pt idx="5">
                  <c:v>Inconnu</c:v>
                </c:pt>
              </c:strCache>
            </c:strRef>
          </c:cat>
          <c:val>
            <c:numRef>
              <c:f>'CALCULS Eaux usées'!$E$63:$J$63</c:f>
              <c:numCache>
                <c:formatCode>0.0%</c:formatCode>
                <c:ptCount val="6"/>
                <c:pt idx="0">
                  <c:v>0</c:v>
                </c:pt>
                <c:pt idx="1">
                  <c:v>0</c:v>
                </c:pt>
                <c:pt idx="2">
                  <c:v>0</c:v>
                </c:pt>
                <c:pt idx="3">
                  <c:v>0</c:v>
                </c:pt>
                <c:pt idx="4">
                  <c:v>0</c:v>
                </c:pt>
                <c:pt idx="5">
                  <c:v>1</c:v>
                </c:pt>
              </c:numCache>
            </c:numRef>
          </c:val>
          <c:extLst>
            <c:ext xmlns:c16="http://schemas.microsoft.com/office/drawing/2014/chart" uri="{C3380CC4-5D6E-409C-BE32-E72D297353CC}">
              <c16:uniqueId val="{0000000C-49FD-4A9C-925B-FBB503E94BBE}"/>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CD1C6"/>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F6F3F0"/>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23179455509239"/>
          <c:y val="0.11344504141769035"/>
          <c:w val="0.83167701096186508"/>
          <c:h val="0.58952408124535172"/>
        </c:manualLayout>
      </c:layout>
      <c:barChart>
        <c:barDir val="col"/>
        <c:grouping val="clustered"/>
        <c:varyColors val="0"/>
        <c:ser>
          <c:idx val="0"/>
          <c:order val="0"/>
          <c:tx>
            <c:strRef>
              <c:f>'CALCULS Eaux usées'!$D$64</c:f>
              <c:strCache>
                <c:ptCount val="1"/>
                <c:pt idx="0">
                  <c:v>PONCTUEL</c:v>
                </c:pt>
              </c:strCache>
            </c:strRef>
          </c:tx>
          <c:spPr>
            <a:solidFill>
              <a:srgbClr val="FFD347"/>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FF1A-4799-9B3E-AB3AB5C9F871}"/>
              </c:ext>
            </c:extLst>
          </c:dPt>
          <c:dPt>
            <c:idx val="1"/>
            <c:invertIfNegative val="0"/>
            <c:bubble3D val="0"/>
            <c:spPr>
              <a:solidFill>
                <a:srgbClr val="00B050"/>
              </a:solidFill>
              <a:ln>
                <a:noFill/>
              </a:ln>
              <a:effectLst/>
            </c:spPr>
            <c:extLst>
              <c:ext xmlns:c16="http://schemas.microsoft.com/office/drawing/2014/chart" uri="{C3380CC4-5D6E-409C-BE32-E72D297353CC}">
                <c16:uniqueId val="{00000003-FF1A-4799-9B3E-AB3AB5C9F871}"/>
              </c:ext>
            </c:extLst>
          </c:dPt>
          <c:dPt>
            <c:idx val="2"/>
            <c:invertIfNegative val="0"/>
            <c:bubble3D val="0"/>
            <c:spPr>
              <a:solidFill>
                <a:srgbClr val="FFD347"/>
              </a:solidFill>
              <a:ln>
                <a:noFill/>
              </a:ln>
              <a:effectLst/>
            </c:spPr>
            <c:extLst>
              <c:ext xmlns:c16="http://schemas.microsoft.com/office/drawing/2014/chart" uri="{C3380CC4-5D6E-409C-BE32-E72D297353CC}">
                <c16:uniqueId val="{00000005-FF1A-4799-9B3E-AB3AB5C9F871}"/>
              </c:ext>
            </c:extLst>
          </c:dPt>
          <c:dPt>
            <c:idx val="3"/>
            <c:invertIfNegative val="0"/>
            <c:bubble3D val="0"/>
            <c:spPr>
              <a:solidFill>
                <a:srgbClr val="F98007"/>
              </a:solidFill>
              <a:ln>
                <a:noFill/>
              </a:ln>
              <a:effectLst/>
            </c:spPr>
            <c:extLst>
              <c:ext xmlns:c16="http://schemas.microsoft.com/office/drawing/2014/chart" uri="{C3380CC4-5D6E-409C-BE32-E72D297353CC}">
                <c16:uniqueId val="{00000007-FF1A-4799-9B3E-AB3AB5C9F871}"/>
              </c:ext>
            </c:extLst>
          </c:dPt>
          <c:dPt>
            <c:idx val="4"/>
            <c:invertIfNegative val="0"/>
            <c:bubble3D val="0"/>
            <c:spPr>
              <a:solidFill>
                <a:srgbClr val="C00000"/>
              </a:solidFill>
              <a:ln>
                <a:noFill/>
              </a:ln>
              <a:effectLst/>
            </c:spPr>
            <c:extLst>
              <c:ext xmlns:c16="http://schemas.microsoft.com/office/drawing/2014/chart" uri="{C3380CC4-5D6E-409C-BE32-E72D297353CC}">
                <c16:uniqueId val="{00000009-FF1A-4799-9B3E-AB3AB5C9F871}"/>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FF1A-4799-9B3E-AB3AB5C9F87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usées'!$E$60:$J$60</c:f>
              <c:strCache>
                <c:ptCount val="6"/>
                <c:pt idx="0">
                  <c:v>Très bon 
(A)</c:v>
                </c:pt>
                <c:pt idx="1">
                  <c:v>Bon 
(B)</c:v>
                </c:pt>
                <c:pt idx="2">
                  <c:v>Satisfaisant 
(C)</c:v>
                </c:pt>
                <c:pt idx="3">
                  <c:v>Mauvais 
(D)</c:v>
                </c:pt>
                <c:pt idx="4">
                  <c:v>Très mauvais 
(E)</c:v>
                </c:pt>
                <c:pt idx="5">
                  <c:v>Inconnu</c:v>
                </c:pt>
              </c:strCache>
            </c:strRef>
          </c:cat>
          <c:val>
            <c:numRef>
              <c:f>'CALCULS Eaux usées'!$E$64:$J$64</c:f>
              <c:numCache>
                <c:formatCode>0.0%</c:formatCode>
                <c:ptCount val="6"/>
                <c:pt idx="0">
                  <c:v>0</c:v>
                </c:pt>
                <c:pt idx="1">
                  <c:v>0</c:v>
                </c:pt>
                <c:pt idx="2">
                  <c:v>0</c:v>
                </c:pt>
                <c:pt idx="3">
                  <c:v>0</c:v>
                </c:pt>
                <c:pt idx="4">
                  <c:v>0</c:v>
                </c:pt>
                <c:pt idx="5">
                  <c:v>1</c:v>
                </c:pt>
              </c:numCache>
            </c:numRef>
          </c:val>
          <c:extLst>
            <c:ext xmlns:c16="http://schemas.microsoft.com/office/drawing/2014/chart" uri="{C3380CC4-5D6E-409C-BE32-E72D297353CC}">
              <c16:uniqueId val="{0000000C-FF1A-4799-9B3E-AB3AB5C9F871}"/>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CD1C6"/>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F6F3F0"/>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5412300432523"/>
          <c:y val="6.3291139240506333E-2"/>
          <c:w val="0.83578104056560576"/>
          <c:h val="0.65456423954072873"/>
        </c:manualLayout>
      </c:layout>
      <c:barChart>
        <c:barDir val="col"/>
        <c:grouping val="stacked"/>
        <c:varyColors val="0"/>
        <c:ser>
          <c:idx val="0"/>
          <c:order val="0"/>
          <c:tx>
            <c:strRef>
              <c:f>'CALCULS Eaux usées'!$D$181</c:f>
              <c:strCache>
                <c:ptCount val="1"/>
                <c:pt idx="0">
                  <c:v>Exploitation</c:v>
                </c:pt>
              </c:strCache>
            </c:strRef>
          </c:tx>
          <c:spPr>
            <a:solidFill>
              <a:srgbClr val="00B0F0"/>
            </a:solidFill>
            <a:ln>
              <a:noFill/>
            </a:ln>
            <a:effectLst/>
          </c:spPr>
          <c:invertIfNegative val="0"/>
          <c:cat>
            <c:numRef>
              <c:f>'CALCULS Eaux usées'!$E$179:$N$179</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Eaux usées'!$E$181:$N$181</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20C-4E4E-A363-E69D2CF57F3F}"/>
            </c:ext>
          </c:extLst>
        </c:ser>
        <c:ser>
          <c:idx val="3"/>
          <c:order val="1"/>
          <c:tx>
            <c:strRef>
              <c:f>'CALCULS Eaux usées'!$D$182</c:f>
              <c:strCache>
                <c:ptCount val="1"/>
                <c:pt idx="0">
                  <c:v>Entretien</c:v>
                </c:pt>
              </c:strCache>
            </c:strRef>
          </c:tx>
          <c:spPr>
            <a:solidFill>
              <a:srgbClr val="0070C0"/>
            </a:solidFill>
            <a:ln>
              <a:noFill/>
            </a:ln>
            <a:effectLst/>
          </c:spPr>
          <c:invertIfNegative val="0"/>
          <c:cat>
            <c:numRef>
              <c:f>'CALCULS Eaux usées'!$E$179:$N$179</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Eaux usées'!$E$182:$N$182</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820C-4E4E-A363-E69D2CF57F3F}"/>
            </c:ext>
          </c:extLst>
        </c:ser>
        <c:ser>
          <c:idx val="4"/>
          <c:order val="2"/>
          <c:tx>
            <c:strRef>
              <c:f>'CALCULS Eaux usées'!$D$183</c:f>
              <c:strCache>
                <c:ptCount val="1"/>
                <c:pt idx="0">
                  <c:v>Renouvellement</c:v>
                </c:pt>
              </c:strCache>
            </c:strRef>
          </c:tx>
          <c:spPr>
            <a:solidFill>
              <a:schemeClr val="accent4"/>
            </a:solidFill>
            <a:ln>
              <a:noFill/>
            </a:ln>
            <a:effectLst/>
          </c:spPr>
          <c:invertIfNegative val="0"/>
          <c:val>
            <c:numRef>
              <c:f>'CALCULS Eaux usées'!$E$183:$N$183</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820C-4E4E-A363-E69D2CF57F3F}"/>
            </c:ext>
          </c:extLst>
        </c:ser>
        <c:ser>
          <c:idx val="5"/>
          <c:order val="3"/>
          <c:tx>
            <c:strRef>
              <c:f>'CALCULS Eaux usées'!$D$184</c:f>
              <c:strCache>
                <c:ptCount val="1"/>
                <c:pt idx="0">
                  <c:v>Acquisition</c:v>
                </c:pt>
              </c:strCache>
            </c:strRef>
          </c:tx>
          <c:spPr>
            <a:solidFill>
              <a:schemeClr val="accent2"/>
            </a:solidFill>
            <a:ln>
              <a:noFill/>
            </a:ln>
            <a:effectLst/>
          </c:spPr>
          <c:invertIfNegative val="0"/>
          <c:val>
            <c:numRef>
              <c:f>'CALCULS Eaux usées'!$E$184:$N$184</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820C-4E4E-A363-E69D2CF57F3F}"/>
            </c:ext>
          </c:extLst>
        </c:ser>
        <c:ser>
          <c:idx val="6"/>
          <c:order val="4"/>
          <c:tx>
            <c:strRef>
              <c:f>'CALCULS Eaux usées'!$D$185</c:f>
              <c:strCache>
                <c:ptCount val="1"/>
                <c:pt idx="0">
                  <c:v>Disposition</c:v>
                </c:pt>
              </c:strCache>
            </c:strRef>
          </c:tx>
          <c:spPr>
            <a:solidFill>
              <a:schemeClr val="accent4">
                <a:lumMod val="50000"/>
              </a:schemeClr>
            </a:solidFill>
            <a:ln>
              <a:noFill/>
            </a:ln>
            <a:effectLst/>
          </c:spPr>
          <c:invertIfNegative val="0"/>
          <c:val>
            <c:numRef>
              <c:f>'CALCULS Eaux usées'!$E$185:$N$185</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820C-4E4E-A363-E69D2CF57F3F}"/>
            </c:ext>
          </c:extLst>
        </c:ser>
        <c:dLbls>
          <c:showLegendKey val="0"/>
          <c:showVal val="0"/>
          <c:showCatName val="0"/>
          <c:showSerName val="0"/>
          <c:showPercent val="0"/>
          <c:showBubbleSize val="0"/>
        </c:dLbls>
        <c:gapWidth val="219"/>
        <c:overlap val="100"/>
        <c:axId val="1704784576"/>
        <c:axId val="1704796224"/>
      </c:barChart>
      <c:lineChart>
        <c:grouping val="standard"/>
        <c:varyColors val="0"/>
        <c:ser>
          <c:idx val="1"/>
          <c:order val="5"/>
          <c:tx>
            <c:strRef>
              <c:f>'CALCULS Eaux usées'!$D$180</c:f>
              <c:strCache>
                <c:ptCount val="1"/>
                <c:pt idx="0">
                  <c:v>Budget actuel</c:v>
                </c:pt>
              </c:strCache>
            </c:strRef>
          </c:tx>
          <c:spPr>
            <a:ln w="22225" cap="rnd">
              <a:solidFill>
                <a:schemeClr val="tx2">
                  <a:lumMod val="50000"/>
                </a:schemeClr>
              </a:solidFill>
              <a:round/>
            </a:ln>
            <a:effectLst/>
          </c:spPr>
          <c:marker>
            <c:symbol val="none"/>
          </c:marker>
          <c:val>
            <c:numRef>
              <c:f>'CALCULS Eaux usées'!$E$180:$N$180</c:f>
              <c:numCache>
                <c:formatCode>#\ ##0\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5-820C-4E4E-A363-E69D2CF57F3F}"/>
            </c:ext>
          </c:extLst>
        </c:ser>
        <c:dLbls>
          <c:showLegendKey val="0"/>
          <c:showVal val="0"/>
          <c:showCatName val="0"/>
          <c:showSerName val="0"/>
          <c:showPercent val="0"/>
          <c:showBubbleSize val="0"/>
        </c:dLbls>
        <c:marker val="1"/>
        <c:smooth val="0"/>
        <c:axId val="1704784576"/>
        <c:axId val="1704796224"/>
      </c:lineChart>
      <c:catAx>
        <c:axId val="1704784576"/>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96224"/>
        <c:crosses val="autoZero"/>
        <c:auto val="1"/>
        <c:lblAlgn val="ctr"/>
        <c:lblOffset val="100"/>
        <c:noMultiLvlLbl val="0"/>
      </c:catAx>
      <c:valAx>
        <c:axId val="1704796224"/>
        <c:scaling>
          <c:orientation val="minMax"/>
        </c:scaling>
        <c:delete val="0"/>
        <c:axPos val="l"/>
        <c:majorGridlines>
          <c:spPr>
            <a:ln w="9525" cap="flat" cmpd="sng" algn="ctr">
              <a:solidFill>
                <a:schemeClr val="tx1">
                  <a:lumMod val="15000"/>
                  <a:lumOff val="85000"/>
                </a:schemeClr>
              </a:solidFill>
              <a:round/>
            </a:ln>
            <a:effectLst/>
          </c:spPr>
        </c:majorGridlines>
        <c:numFmt formatCode="#\ ##0\ &quot;$&quot;" sourceLinked="1"/>
        <c:majorTickMark val="none"/>
        <c:minorTickMark val="none"/>
        <c:tickLblPos val="nextTo"/>
        <c:spPr>
          <a:noFill/>
          <a:ln>
            <a:solidFill>
              <a:schemeClr val="tx2">
                <a:lumMod val="50000"/>
              </a:schemeClr>
            </a:solidFill>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84576"/>
        <c:crosses val="autoZero"/>
        <c:crossBetween val="between"/>
      </c:valAx>
      <c:spPr>
        <a:noFill/>
        <a:ln>
          <a:noFill/>
        </a:ln>
        <a:effectLst/>
      </c:spPr>
    </c:plotArea>
    <c:legend>
      <c:legendPos val="b"/>
      <c:layout>
        <c:manualLayout>
          <c:xMode val="edge"/>
          <c:yMode val="edge"/>
          <c:x val="1.3843061293421619E-2"/>
          <c:y val="0.83343590885061625"/>
          <c:w val="0.97218424740172971"/>
          <c:h val="0.119226510113797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69909110706141"/>
          <c:y val="0.12362315030902983"/>
          <c:w val="0.81420967575559611"/>
          <c:h val="0.56916786346267279"/>
        </c:manualLayout>
      </c:layout>
      <c:barChart>
        <c:barDir val="col"/>
        <c:grouping val="clustered"/>
        <c:varyColors val="0"/>
        <c:ser>
          <c:idx val="0"/>
          <c:order val="0"/>
          <c:tx>
            <c:strRef>
              <c:f>'CALCULS Eau potable'!$D$61</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2-8FF4-4577-B283-1BF95218CE29}"/>
              </c:ext>
            </c:extLst>
          </c:dPt>
          <c:dPt>
            <c:idx val="1"/>
            <c:invertIfNegative val="0"/>
            <c:bubble3D val="0"/>
            <c:spPr>
              <a:solidFill>
                <a:srgbClr val="00B050"/>
              </a:solidFill>
              <a:ln>
                <a:noFill/>
              </a:ln>
              <a:effectLst/>
            </c:spPr>
            <c:extLst>
              <c:ext xmlns:c16="http://schemas.microsoft.com/office/drawing/2014/chart" uri="{C3380CC4-5D6E-409C-BE32-E72D297353CC}">
                <c16:uniqueId val="{00000004-8FF4-4577-B283-1BF95218CE29}"/>
              </c:ext>
            </c:extLst>
          </c:dPt>
          <c:dPt>
            <c:idx val="2"/>
            <c:invertIfNegative val="0"/>
            <c:bubble3D val="0"/>
            <c:spPr>
              <a:solidFill>
                <a:srgbClr val="FFD347"/>
              </a:solidFill>
              <a:ln>
                <a:noFill/>
              </a:ln>
              <a:effectLst/>
            </c:spPr>
            <c:extLst>
              <c:ext xmlns:c16="http://schemas.microsoft.com/office/drawing/2014/chart" uri="{C3380CC4-5D6E-409C-BE32-E72D297353CC}">
                <c16:uniqueId val="{00000006-8FF4-4577-B283-1BF95218CE29}"/>
              </c:ext>
            </c:extLst>
          </c:dPt>
          <c:dPt>
            <c:idx val="3"/>
            <c:invertIfNegative val="0"/>
            <c:bubble3D val="0"/>
            <c:spPr>
              <a:solidFill>
                <a:srgbClr val="F98007"/>
              </a:solidFill>
              <a:ln>
                <a:noFill/>
              </a:ln>
              <a:effectLst/>
            </c:spPr>
            <c:extLst>
              <c:ext xmlns:c16="http://schemas.microsoft.com/office/drawing/2014/chart" uri="{C3380CC4-5D6E-409C-BE32-E72D297353CC}">
                <c16:uniqueId val="{00000007-8FF4-4577-B283-1BF95218CE29}"/>
              </c:ext>
            </c:extLst>
          </c:dPt>
          <c:dPt>
            <c:idx val="4"/>
            <c:invertIfNegative val="0"/>
            <c:bubble3D val="0"/>
            <c:spPr>
              <a:solidFill>
                <a:srgbClr val="C00000"/>
              </a:solidFill>
              <a:ln>
                <a:noFill/>
              </a:ln>
              <a:effectLst/>
            </c:spPr>
            <c:extLst>
              <c:ext xmlns:c16="http://schemas.microsoft.com/office/drawing/2014/chart" uri="{C3380CC4-5D6E-409C-BE32-E72D297353CC}">
                <c16:uniqueId val="{00000008-8FF4-4577-B283-1BF95218CE29}"/>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8FF4-4577-B283-1BF95218CE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 potable'!$E$60:$J$60</c:f>
              <c:strCache>
                <c:ptCount val="6"/>
                <c:pt idx="0">
                  <c:v>Très bon 
(A)</c:v>
                </c:pt>
                <c:pt idx="1">
                  <c:v>Bon 
(B)</c:v>
                </c:pt>
                <c:pt idx="2">
                  <c:v>Satisfaisant 
(C)</c:v>
                </c:pt>
                <c:pt idx="3">
                  <c:v>Mauvais 
(D)</c:v>
                </c:pt>
                <c:pt idx="4">
                  <c:v>Très mauvais 
(E)</c:v>
                </c:pt>
                <c:pt idx="5">
                  <c:v>Inconnu</c:v>
                </c:pt>
              </c:strCache>
            </c:strRef>
          </c:cat>
          <c:val>
            <c:numRef>
              <c:f>'CALCULS Eau potable'!$E$61:$J$61</c:f>
              <c:numCache>
                <c:formatCode>0.0%</c:formatCode>
                <c:ptCount val="6"/>
                <c:pt idx="0">
                  <c:v>0</c:v>
                </c:pt>
                <c:pt idx="1">
                  <c:v>0</c:v>
                </c:pt>
                <c:pt idx="2">
                  <c:v>0</c:v>
                </c:pt>
                <c:pt idx="3">
                  <c:v>0</c:v>
                </c:pt>
                <c:pt idx="4">
                  <c:v>0</c:v>
                </c:pt>
                <c:pt idx="5">
                  <c:v>1</c:v>
                </c:pt>
              </c:numCache>
            </c:numRef>
          </c:val>
          <c:extLst>
            <c:ext xmlns:c16="http://schemas.microsoft.com/office/drawing/2014/chart" uri="{C3380CC4-5D6E-409C-BE32-E72D297353CC}">
              <c16:uniqueId val="{00000000-8FF4-4577-B283-1BF95218CE29}"/>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chemeClr val="tx2">
                  <a:lumMod val="20000"/>
                  <a:lumOff val="80000"/>
                </a:schemeClr>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7F0F9"/>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918630941630003E-2"/>
          <c:y val="0.14676199255389122"/>
          <c:w val="0.88759273840769903"/>
          <c:h val="0.54036745406824149"/>
        </c:manualLayout>
      </c:layout>
      <c:barChart>
        <c:barDir val="bar"/>
        <c:grouping val="percentStacked"/>
        <c:varyColors val="0"/>
        <c:ser>
          <c:idx val="0"/>
          <c:order val="0"/>
          <c:tx>
            <c:strRef>
              <c:f>'CALCULS Eaux usées'!$D$239</c:f>
              <c:strCache>
                <c:ptCount val="1"/>
                <c:pt idx="0">
                  <c:v>Exploitation</c:v>
                </c:pt>
              </c:strCache>
            </c:strRef>
          </c:tx>
          <c:spPr>
            <a:solidFill>
              <a:srgbClr val="00B0F0"/>
            </a:solidFill>
            <a:ln>
              <a:noFill/>
            </a:ln>
            <a:effectLst/>
          </c:spPr>
          <c:invertIfNegative val="0"/>
          <c:dLbls>
            <c:dLbl>
              <c:idx val="0"/>
              <c:layout>
                <c:manualLayout>
                  <c:x val="-4.5896467017288479E-2"/>
                  <c:y val="-0.27455676882464897"/>
                </c:manualLayout>
              </c:layout>
              <c:tx>
                <c:rich>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fld id="{BEB56E9D-A709-42FE-B109-2F8F76F63979}" type="CELLRANGE">
                      <a:rPr lang="en-US"/>
                      <a:pPr algn="l">
                        <a:defRPr sz="1200">
                          <a:latin typeface="Bahnschrift Light SemiCondensed" panose="020B0502040204020203" pitchFamily="34" charset="0"/>
                        </a:defRPr>
                      </a:pPr>
                      <a:t>[PLAGECELL]</a:t>
                    </a:fld>
                    <a:endParaRPr lang="fr-CA"/>
                  </a:p>
                </c:rich>
              </c:tx>
              <c:spPr>
                <a:noFill/>
                <a:ln>
                  <a:noFill/>
                </a:ln>
                <a:effectLst/>
              </c:spPr>
              <c:txPr>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8.2988857614294198E-2"/>
                      <c:h val="0.20177816355632711"/>
                    </c:manualLayout>
                  </c15:layout>
                  <c15:dlblFieldTable/>
                  <c15:showDataLabelsRange val="1"/>
                </c:ext>
                <c:ext xmlns:c16="http://schemas.microsoft.com/office/drawing/2014/chart" uri="{C3380CC4-5D6E-409C-BE32-E72D297353CC}">
                  <c16:uniqueId val="{00000000-6D75-49F5-8D0C-6082034F23D8}"/>
                </c:ext>
              </c:extLst>
            </c:dLbl>
            <c:spPr>
              <a:noFill/>
              <a:ln>
                <a:noFill/>
              </a:ln>
              <a:effectLst/>
            </c:spPr>
            <c:txPr>
              <a:bodyPr rot="0" spcFirstLastPara="1" vertOverflow="ellipsis" vert="horz" wrap="square" anchor="ctr" anchorCtr="1"/>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Eaux usées'!$O$239</c:f>
              <c:numCache>
                <c:formatCode>#\ ##0\ "$"</c:formatCode>
                <c:ptCount val="1"/>
                <c:pt idx="0">
                  <c:v>0</c:v>
                </c:pt>
              </c:numCache>
            </c:numRef>
          </c:val>
          <c:extLst>
            <c:ext xmlns:c15="http://schemas.microsoft.com/office/drawing/2012/chart" uri="{02D57815-91ED-43cb-92C2-25804820EDAC}">
              <c15:datalabelsRange>
                <c15:f>'CALCULS Eaux usées'!$P$239:$P$243</c15:f>
                <c15:dlblRangeCache>
                  <c:ptCount val="5"/>
                </c15:dlblRangeCache>
              </c15:datalabelsRange>
            </c:ext>
            <c:ext xmlns:c16="http://schemas.microsoft.com/office/drawing/2014/chart" uri="{C3380CC4-5D6E-409C-BE32-E72D297353CC}">
              <c16:uniqueId val="{00000001-6D75-49F5-8D0C-6082034F23D8}"/>
            </c:ext>
          </c:extLst>
        </c:ser>
        <c:ser>
          <c:idx val="1"/>
          <c:order val="1"/>
          <c:tx>
            <c:strRef>
              <c:f>'CALCULS Eaux usées'!$D$240</c:f>
              <c:strCache>
                <c:ptCount val="1"/>
                <c:pt idx="0">
                  <c:v>Entretien</c:v>
                </c:pt>
              </c:strCache>
            </c:strRef>
          </c:tx>
          <c:spPr>
            <a:solidFill>
              <a:srgbClr val="0070C0"/>
            </a:solidFill>
            <a:ln>
              <a:noFill/>
            </a:ln>
            <a:effectLst/>
          </c:spPr>
          <c:invertIfNegative val="0"/>
          <c:dLbls>
            <c:dLbl>
              <c:idx val="0"/>
              <c:layout>
                <c:manualLayout>
                  <c:x val="-0.13204909599538864"/>
                  <c:y val="-0.28247373024492428"/>
                </c:manualLayout>
              </c:layout>
              <c:tx>
                <c:rich>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fld id="{146B93FB-48AE-4509-8186-7DFCFCE8D9E2}" type="CELLRANGE">
                      <a:rPr lang="en-US"/>
                      <a:pPr algn="l">
                        <a:defRPr sz="1200">
                          <a:latin typeface="Bahnschrift Light SemiCondensed" panose="020B0502040204020203" pitchFamily="34" charset="0"/>
                        </a:defRPr>
                      </a:pPr>
                      <a:t>[PLAGECELL]</a:t>
                    </a:fld>
                    <a:endParaRPr lang="fr-CA"/>
                  </a:p>
                </c:rich>
              </c:tx>
              <c:spPr>
                <a:noFill/>
                <a:ln>
                  <a:noFill/>
                </a:ln>
                <a:effectLst/>
              </c:spPr>
              <c:txPr>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8.5958066242947148E-2"/>
                      <c:h val="0.20177816355632711"/>
                    </c:manualLayout>
                  </c15:layout>
                  <c15:dlblFieldTable/>
                  <c15:showDataLabelsRange val="1"/>
                </c:ext>
                <c:ext xmlns:c16="http://schemas.microsoft.com/office/drawing/2014/chart" uri="{C3380CC4-5D6E-409C-BE32-E72D297353CC}">
                  <c16:uniqueId val="{00000002-6D75-49F5-8D0C-6082034F23D8}"/>
                </c:ext>
              </c:extLst>
            </c:dLbl>
            <c:spPr>
              <a:noFill/>
              <a:ln>
                <a:noFill/>
              </a:ln>
              <a:effectLst/>
            </c:spPr>
            <c:txPr>
              <a:bodyPr rot="0" spcFirstLastPara="1" vertOverflow="ellipsis" vert="horz" wrap="square" anchor="ctr" anchorCtr="1"/>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inBase"/>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Eaux usées'!$O$240</c:f>
              <c:numCache>
                <c:formatCode>#\ ##0\ "$"</c:formatCode>
                <c:ptCount val="1"/>
                <c:pt idx="0">
                  <c:v>0</c:v>
                </c:pt>
              </c:numCache>
            </c:numRef>
          </c:val>
          <c:extLst>
            <c:ext xmlns:c15="http://schemas.microsoft.com/office/drawing/2012/chart" uri="{02D57815-91ED-43cb-92C2-25804820EDAC}">
              <c15:datalabelsRange>
                <c15:f>'CALCULS Eaux usées'!$P$240</c15:f>
                <c15:dlblRangeCache>
                  <c:ptCount val="1"/>
                </c15:dlblRangeCache>
              </c15:datalabelsRange>
            </c:ext>
            <c:ext xmlns:c16="http://schemas.microsoft.com/office/drawing/2014/chart" uri="{C3380CC4-5D6E-409C-BE32-E72D297353CC}">
              <c16:uniqueId val="{00000003-6D75-49F5-8D0C-6082034F23D8}"/>
            </c:ext>
          </c:extLst>
        </c:ser>
        <c:ser>
          <c:idx val="2"/>
          <c:order val="2"/>
          <c:tx>
            <c:strRef>
              <c:f>'CALCULS Eaux usées'!$D$241</c:f>
              <c:strCache>
                <c:ptCount val="1"/>
                <c:pt idx="0">
                  <c:v>Renouvellement</c:v>
                </c:pt>
              </c:strCache>
            </c:strRef>
          </c:tx>
          <c:spPr>
            <a:solidFill>
              <a:schemeClr val="accent4"/>
            </a:solidFill>
            <a:ln>
              <a:noFill/>
            </a:ln>
            <a:effectLst/>
          </c:spPr>
          <c:invertIfNegative val="0"/>
          <c:dLbls>
            <c:dLbl>
              <c:idx val="0"/>
              <c:layout>
                <c:manualLayout>
                  <c:x val="-5.9833490403799323E-2"/>
                  <c:y val="-0.28856934910310766"/>
                </c:manualLayout>
              </c:layout>
              <c:tx>
                <c:rich>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fld id="{5C3E3AE9-AA8C-4CDE-8B60-345D70DC18FA}" type="CELLRANGE">
                      <a:rPr lang="en-US"/>
                      <a:pPr algn="l">
                        <a:defRPr sz="1200">
                          <a:latin typeface="Bahnschrift Light SemiCondensed" panose="020B0502040204020203" pitchFamily="34" charset="0"/>
                        </a:defRPr>
                      </a:pPr>
                      <a:t>[PLAGECELL]</a:t>
                    </a:fld>
                    <a:endParaRPr lang="fr-CA"/>
                  </a:p>
                </c:rich>
              </c:tx>
              <c:spPr>
                <a:noFill/>
                <a:ln>
                  <a:noFill/>
                </a:ln>
                <a:effectLst/>
              </c:spPr>
              <c:txPr>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0"/>
              <c:showBubbleSize val="0"/>
              <c:separator>; </c:separator>
              <c:extLst>
                <c:ext xmlns:c15="http://schemas.microsoft.com/office/drawing/2012/chart" uri="{CE6537A1-D6FC-4f65-9D91-7224C49458BB}">
                  <c15:layout>
                    <c:manualLayout>
                      <c:w val="8.0727460706621318E-2"/>
                      <c:h val="0.20177816355632711"/>
                    </c:manualLayout>
                  </c15:layout>
                  <c15:dlblFieldTable/>
                  <c15:showDataLabelsRange val="1"/>
                </c:ext>
                <c:ext xmlns:c16="http://schemas.microsoft.com/office/drawing/2014/chart" uri="{C3380CC4-5D6E-409C-BE32-E72D297353CC}">
                  <c16:uniqueId val="{00000004-6D75-49F5-8D0C-6082034F23D8}"/>
                </c:ext>
              </c:extLst>
            </c:dLbl>
            <c:spPr>
              <a:noFill/>
              <a:ln>
                <a:noFill/>
              </a:ln>
              <a:effectLst/>
            </c:spPr>
            <c:txPr>
              <a:bodyPr rot="0" spcFirstLastPara="1" vertOverflow="ellipsis" vert="horz" wrap="square" anchor="ctr" anchorCtr="1"/>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Eaux usées'!$O$241</c:f>
              <c:numCache>
                <c:formatCode>#\ ##0\ "$"</c:formatCode>
                <c:ptCount val="1"/>
                <c:pt idx="0">
                  <c:v>0</c:v>
                </c:pt>
              </c:numCache>
            </c:numRef>
          </c:val>
          <c:extLst>
            <c:ext xmlns:c15="http://schemas.microsoft.com/office/drawing/2012/chart" uri="{02D57815-91ED-43cb-92C2-25804820EDAC}">
              <c15:datalabelsRange>
                <c15:f>'CALCULS Eaux usées'!$P$241</c15:f>
                <c15:dlblRangeCache>
                  <c:ptCount val="1"/>
                </c15:dlblRangeCache>
              </c15:datalabelsRange>
            </c:ext>
            <c:ext xmlns:c16="http://schemas.microsoft.com/office/drawing/2014/chart" uri="{C3380CC4-5D6E-409C-BE32-E72D297353CC}">
              <c16:uniqueId val="{00000005-6D75-49F5-8D0C-6082034F23D8}"/>
            </c:ext>
          </c:extLst>
        </c:ser>
        <c:ser>
          <c:idx val="3"/>
          <c:order val="3"/>
          <c:tx>
            <c:strRef>
              <c:f>'CALCULS Eaux usées'!$D$242</c:f>
              <c:strCache>
                <c:ptCount val="1"/>
                <c:pt idx="0">
                  <c:v>Acquisition</c:v>
                </c:pt>
              </c:strCache>
            </c:strRef>
          </c:tx>
          <c:spPr>
            <a:solidFill>
              <a:schemeClr val="accent2"/>
            </a:solidFill>
            <a:ln>
              <a:noFill/>
            </a:ln>
            <a:effectLst/>
          </c:spPr>
          <c:invertIfNegative val="0"/>
          <c:dLbls>
            <c:dLbl>
              <c:idx val="0"/>
              <c:layout>
                <c:manualLayout>
                  <c:x val="-5.7183559639983901E-2"/>
                  <c:y val="-0.28575376938378322"/>
                </c:manualLayout>
              </c:layout>
              <c:tx>
                <c:rich>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fld id="{F95475E0-459C-4F3F-832F-90B841749144}" type="CELLRANGE">
                      <a:rPr lang="en-US"/>
                      <a:pPr algn="l">
                        <a:defRPr sz="1200">
                          <a:latin typeface="Bahnschrift Light SemiCondensed" panose="020B0502040204020203" pitchFamily="34" charset="0"/>
                        </a:defRPr>
                      </a:pPr>
                      <a:t>[PLAGECELL]</a:t>
                    </a:fld>
                    <a:endParaRPr lang="fr-CA"/>
                  </a:p>
                </c:rich>
              </c:tx>
              <c:spPr>
                <a:noFill/>
                <a:ln>
                  <a:noFill/>
                </a:ln>
                <a:effectLst/>
              </c:spPr>
              <c:txPr>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8.2016695759265373E-2"/>
                      <c:h val="0.20177816355632711"/>
                    </c:manualLayout>
                  </c15:layout>
                  <c15:dlblFieldTable/>
                  <c15:showDataLabelsRange val="1"/>
                </c:ext>
                <c:ext xmlns:c16="http://schemas.microsoft.com/office/drawing/2014/chart" uri="{C3380CC4-5D6E-409C-BE32-E72D297353CC}">
                  <c16:uniqueId val="{00000006-6D75-49F5-8D0C-6082034F23D8}"/>
                </c:ext>
              </c:extLst>
            </c:dLbl>
            <c:spPr>
              <a:noFill/>
              <a:ln>
                <a:noFill/>
              </a:ln>
              <a:effectLst/>
            </c:spPr>
            <c:txPr>
              <a:bodyPr rot="0" spcFirstLastPara="1" vertOverflow="ellipsis" vert="horz" wrap="square" anchor="ctr" anchorCtr="1"/>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Eaux usées'!$O$242</c:f>
              <c:numCache>
                <c:formatCode>#\ ##0\ "$"</c:formatCode>
                <c:ptCount val="1"/>
                <c:pt idx="0">
                  <c:v>0</c:v>
                </c:pt>
              </c:numCache>
            </c:numRef>
          </c:val>
          <c:extLst>
            <c:ext xmlns:c15="http://schemas.microsoft.com/office/drawing/2012/chart" uri="{02D57815-91ED-43cb-92C2-25804820EDAC}">
              <c15:datalabelsRange>
                <c15:f>'CALCULS Eaux usées'!$P$241</c15:f>
                <c15:dlblRangeCache>
                  <c:ptCount val="1"/>
                </c15:dlblRangeCache>
              </c15:datalabelsRange>
            </c:ext>
            <c:ext xmlns:c16="http://schemas.microsoft.com/office/drawing/2014/chart" uri="{C3380CC4-5D6E-409C-BE32-E72D297353CC}">
              <c16:uniqueId val="{00000007-6D75-49F5-8D0C-6082034F23D8}"/>
            </c:ext>
          </c:extLst>
        </c:ser>
        <c:ser>
          <c:idx val="4"/>
          <c:order val="4"/>
          <c:tx>
            <c:strRef>
              <c:f>'CALCULS Eaux usées'!$D$243</c:f>
              <c:strCache>
                <c:ptCount val="1"/>
                <c:pt idx="0">
                  <c:v>Disposition</c:v>
                </c:pt>
              </c:strCache>
            </c:strRef>
          </c:tx>
          <c:spPr>
            <a:solidFill>
              <a:schemeClr val="accent4">
                <a:lumMod val="50000"/>
              </a:schemeClr>
            </a:solidFill>
            <a:ln>
              <a:noFill/>
            </a:ln>
            <a:effectLst/>
          </c:spPr>
          <c:invertIfNegative val="0"/>
          <c:dLbls>
            <c:dLbl>
              <c:idx val="0"/>
              <c:layout>
                <c:manualLayout>
                  <c:x val="2.9097974416886933E-2"/>
                  <c:y val="-0.2795518340414031"/>
                </c:manualLayout>
              </c:layout>
              <c:tx>
                <c:rich>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fld id="{C8766855-6322-4EB7-A501-A1649E3BA3F2}" type="CELLRANGE">
                      <a:rPr lang="en-US"/>
                      <a:pPr algn="l">
                        <a:defRPr sz="1200">
                          <a:latin typeface="Bahnschrift Light SemiCondensed" panose="020B0502040204020203" pitchFamily="34" charset="0"/>
                        </a:defRPr>
                      </a:pPr>
                      <a:t>[PLAGECELL]</a:t>
                    </a:fld>
                    <a:endParaRPr lang="fr-CA"/>
                  </a:p>
                </c:rich>
              </c:tx>
              <c:spPr>
                <a:noFill/>
                <a:ln>
                  <a:noFill/>
                </a:ln>
                <a:effectLst/>
              </c:spPr>
              <c:txPr>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7.6076808869525656E-2"/>
                      <c:h val="0.22277553888441107"/>
                    </c:manualLayout>
                  </c15:layout>
                  <c15:dlblFieldTable/>
                  <c15:showDataLabelsRange val="1"/>
                </c:ext>
                <c:ext xmlns:c16="http://schemas.microsoft.com/office/drawing/2014/chart" uri="{C3380CC4-5D6E-409C-BE32-E72D297353CC}">
                  <c16:uniqueId val="{00000008-6D75-49F5-8D0C-6082034F23D8}"/>
                </c:ext>
              </c:extLst>
            </c:dLbl>
            <c:spPr>
              <a:noFill/>
              <a:ln>
                <a:noFill/>
              </a:ln>
              <a:effectLst/>
            </c:spPr>
            <c:txPr>
              <a:bodyPr rot="0" spcFirstLastPara="1" vertOverflow="ellipsis" vert="horz" wrap="square" anchor="ctr" anchorCtr="1"/>
              <a:lstStyle/>
              <a:p>
                <a:pPr>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inBase"/>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Eaux usées'!$O$243</c:f>
              <c:numCache>
                <c:formatCode>#\ ##0\ "$"</c:formatCode>
                <c:ptCount val="1"/>
                <c:pt idx="0">
                  <c:v>0</c:v>
                </c:pt>
              </c:numCache>
            </c:numRef>
          </c:val>
          <c:extLst>
            <c:ext xmlns:c15="http://schemas.microsoft.com/office/drawing/2012/chart" uri="{02D57815-91ED-43cb-92C2-25804820EDAC}">
              <c15:datalabelsRange>
                <c15:f>'CALCULS Eaux usées'!$P$243</c15:f>
                <c15:dlblRangeCache>
                  <c:ptCount val="1"/>
                </c15:dlblRangeCache>
              </c15:datalabelsRange>
            </c:ext>
            <c:ext xmlns:c16="http://schemas.microsoft.com/office/drawing/2014/chart" uri="{C3380CC4-5D6E-409C-BE32-E72D297353CC}">
              <c16:uniqueId val="{00000009-6D75-49F5-8D0C-6082034F23D8}"/>
            </c:ext>
          </c:extLst>
        </c:ser>
        <c:dLbls>
          <c:showLegendKey val="0"/>
          <c:showVal val="0"/>
          <c:showCatName val="0"/>
          <c:showSerName val="0"/>
          <c:showPercent val="0"/>
          <c:showBubbleSize val="0"/>
        </c:dLbls>
        <c:gapWidth val="114"/>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40143432701434E-2"/>
          <c:y val="0.21155511811023625"/>
          <c:w val="0.82257532468778138"/>
          <c:h val="0.76355127484064489"/>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0AEE-4991-8B62-768129680712}"/>
              </c:ext>
            </c:extLst>
          </c:dPt>
          <c:dPt>
            <c:idx val="1"/>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3-0AEE-4991-8B62-768129680712}"/>
              </c:ext>
            </c:extLst>
          </c:dPt>
          <c:dPt>
            <c:idx val="2"/>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5-0AEE-4991-8B62-768129680712}"/>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0AEE-4991-8B62-768129680712}"/>
              </c:ext>
            </c:extLst>
          </c:dPt>
          <c:dLbls>
            <c:dLbl>
              <c:idx val="0"/>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EE-4991-8B62-768129680712}"/>
                </c:ext>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EE-4991-8B62-768129680712}"/>
                </c:ext>
              </c:extLst>
            </c:dLbl>
            <c:dLbl>
              <c:idx val="2"/>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EE-4991-8B62-768129680712}"/>
                </c:ext>
              </c:extLst>
            </c:dLbl>
            <c:dLbl>
              <c:idx val="3"/>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AEE-4991-8B62-768129680712}"/>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usées'!$D$322:$D$325</c:f>
              <c:strCache>
                <c:ptCount val="4"/>
                <c:pt idx="0">
                  <c:v>Budget planifié</c:v>
                </c:pt>
                <c:pt idx="1">
                  <c:v>Coûts prévisionnels</c:v>
                </c:pt>
                <c:pt idx="2">
                  <c:v>Coûts prévisionnels</c:v>
                </c:pt>
                <c:pt idx="3">
                  <c:v>Budget planifié</c:v>
                </c:pt>
              </c:strCache>
            </c:strRef>
          </c:cat>
          <c:val>
            <c:numRef>
              <c:f>'CALCULS Eaux usées'!$E$322:$E$325</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0AEE-4991-8B62-768129680712}"/>
            </c:ext>
          </c:extLst>
        </c:ser>
        <c:ser>
          <c:idx val="1"/>
          <c:order val="1"/>
          <c:tx>
            <c:strRef>
              <c:f>'CALCULS Eaux usées'!$F$321</c:f>
              <c:strCache>
                <c:ptCount val="1"/>
                <c:pt idx="0">
                  <c:v>Déficit de financement</c:v>
                </c:pt>
              </c:strCache>
            </c:strRef>
          </c:tx>
          <c:spPr>
            <a:solidFill>
              <a:srgbClr val="C00000"/>
            </a:solidFill>
            <a:ln>
              <a:solidFill>
                <a:srgbClr val="C00000"/>
              </a:solidFill>
            </a:ln>
            <a:effectLst/>
          </c:spPr>
          <c:invertIfNegative val="0"/>
          <c:dLbls>
            <c:dLbl>
              <c:idx val="0"/>
              <c:layout>
                <c:manualLayout>
                  <c:x val="-2.519943203820834E-2"/>
                  <c:y val="-0.52903777652793404"/>
                </c:manualLayout>
              </c:layout>
              <c:spPr>
                <a:noFill/>
                <a:ln>
                  <a:noFill/>
                </a:ln>
                <a:effectLst/>
              </c:spPr>
              <c:txPr>
                <a:bodyPr rot="0" spcFirstLastPara="1" vertOverflow="ellipsis" vert="horz" wrap="square" lIns="38100" tIns="19050" rIns="38100" bIns="19050" anchor="ctr" anchorCtr="0">
                  <a:noAutofit/>
                </a:bodyPr>
                <a:lstStyle/>
                <a:p>
                  <a:pPr algn="l">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740501699582634"/>
                      <c:h val="0.1919239782527184"/>
                    </c:manualLayout>
                  </c15:layout>
                </c:ext>
                <c:ext xmlns:c16="http://schemas.microsoft.com/office/drawing/2014/chart" uri="{C3380CC4-5D6E-409C-BE32-E72D297353CC}">
                  <c16:uniqueId val="{00000009-0AEE-4991-8B62-768129680712}"/>
                </c:ext>
              </c:extLst>
            </c:dLbl>
            <c:dLbl>
              <c:idx val="1"/>
              <c:delete val="1"/>
              <c:extLst>
                <c:ext xmlns:c15="http://schemas.microsoft.com/office/drawing/2012/chart" uri="{CE6537A1-D6FC-4f65-9D91-7224C49458BB}"/>
                <c:ext xmlns:c16="http://schemas.microsoft.com/office/drawing/2014/chart" uri="{C3380CC4-5D6E-409C-BE32-E72D297353CC}">
                  <c16:uniqueId val="{0000000A-0AEE-4991-8B62-768129680712}"/>
                </c:ext>
              </c:extLst>
            </c:dLbl>
            <c:dLbl>
              <c:idx val="2"/>
              <c:delete val="1"/>
              <c:extLst>
                <c:ext xmlns:c15="http://schemas.microsoft.com/office/drawing/2012/chart" uri="{CE6537A1-D6FC-4f65-9D91-7224C49458BB}"/>
                <c:ext xmlns:c16="http://schemas.microsoft.com/office/drawing/2014/chart" uri="{C3380CC4-5D6E-409C-BE32-E72D297353CC}">
                  <c16:uniqueId val="{0000000B-0AEE-4991-8B62-768129680712}"/>
                </c:ext>
              </c:extLst>
            </c:dLbl>
            <c:dLbl>
              <c:idx val="3"/>
              <c:layout>
                <c:manualLayout>
                  <c:x val="2.8572350587324026E-2"/>
                  <c:y val="-0.51517575928008996"/>
                </c:manualLayout>
              </c:layout>
              <c:spPr>
                <a:noFill/>
                <a:ln>
                  <a:noFill/>
                </a:ln>
                <a:effectLst/>
              </c:spPr>
              <c:txPr>
                <a:bodyPr rot="0" spcFirstLastPara="1" vertOverflow="ellipsis" vert="horz" wrap="square" lIns="38100" tIns="19050" rIns="38100" bIns="19050" anchor="ctr" anchorCtr="0">
                  <a:noAutofit/>
                </a:bodyPr>
                <a:lstStyle/>
                <a:p>
                  <a:pPr algn="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77240652295512"/>
                      <c:h val="0.19780371203599553"/>
                    </c:manualLayout>
                  </c15:layout>
                </c:ext>
                <c:ext xmlns:c16="http://schemas.microsoft.com/office/drawing/2014/chart" uri="{C3380CC4-5D6E-409C-BE32-E72D297353CC}">
                  <c16:uniqueId val="{0000000C-0AEE-4991-8B62-768129680712}"/>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usées'!$D$322:$D$325</c:f>
              <c:strCache>
                <c:ptCount val="4"/>
                <c:pt idx="0">
                  <c:v>Budget planifié</c:v>
                </c:pt>
                <c:pt idx="1">
                  <c:v>Coûts prévisionnels</c:v>
                </c:pt>
                <c:pt idx="2">
                  <c:v>Coûts prévisionnels</c:v>
                </c:pt>
                <c:pt idx="3">
                  <c:v>Budget planifié</c:v>
                </c:pt>
              </c:strCache>
            </c:strRef>
          </c:cat>
          <c:val>
            <c:numRef>
              <c:f>'CALCULS Eaux usées'!$F$322:$F$325</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0AEE-4991-8B62-768129680712}"/>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40143432701434E-2"/>
          <c:y val="0.21410627243023195"/>
          <c:w val="0.82257532468778138"/>
          <c:h val="0.76208259681825485"/>
        </c:manualLayout>
      </c:layout>
      <c:barChart>
        <c:barDir val="col"/>
        <c:grouping val="stacked"/>
        <c:varyColors val="0"/>
        <c:ser>
          <c:idx val="0"/>
          <c:order val="0"/>
          <c:spPr>
            <a:solidFill>
              <a:schemeClr val="accent1"/>
            </a:solidFill>
            <a:ln>
              <a:solidFill>
                <a:schemeClr val="accent5">
                  <a:lumMod val="75000"/>
                </a:schemeClr>
              </a:solid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0762-4B99-81EA-8F9A69863426}"/>
              </c:ext>
            </c:extLst>
          </c:dPt>
          <c:dPt>
            <c:idx val="1"/>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3-0762-4B99-81EA-8F9A69863426}"/>
              </c:ext>
            </c:extLst>
          </c:dPt>
          <c:dPt>
            <c:idx val="2"/>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5-0762-4B99-81EA-8F9A69863426}"/>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0762-4B99-81EA-8F9A69863426}"/>
              </c:ext>
            </c:extLst>
          </c:dPt>
          <c:dLbls>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62-4B99-81EA-8F9A69863426}"/>
                </c:ext>
              </c:extLst>
            </c:dLbl>
            <c:dLbl>
              <c:idx val="2"/>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62-4B99-81EA-8F9A69863426}"/>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usées'!$D$346:$D$349</c:f>
              <c:strCache>
                <c:ptCount val="4"/>
                <c:pt idx="0">
                  <c:v>Budget planifié</c:v>
                </c:pt>
                <c:pt idx="1">
                  <c:v>Coûts prévisionnels</c:v>
                </c:pt>
                <c:pt idx="2">
                  <c:v>Coûts prévisionnels</c:v>
                </c:pt>
                <c:pt idx="3">
                  <c:v>Budget planifié</c:v>
                </c:pt>
              </c:strCache>
            </c:strRef>
          </c:cat>
          <c:val>
            <c:numRef>
              <c:f>'CALCULS Eaux usées'!$E$346:$E$349</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0762-4B99-81EA-8F9A69863426}"/>
            </c:ext>
          </c:extLst>
        </c:ser>
        <c:ser>
          <c:idx val="1"/>
          <c:order val="1"/>
          <c:tx>
            <c:strRef>
              <c:f>'CALCULS Eaux usées'!$F$345</c:f>
              <c:strCache>
                <c:ptCount val="1"/>
                <c:pt idx="0">
                  <c:v>Déficit de financement</c:v>
                </c:pt>
              </c:strCache>
            </c:strRef>
          </c:tx>
          <c:spPr>
            <a:solidFill>
              <a:srgbClr val="C00000"/>
            </a:solidFill>
            <a:ln>
              <a:solidFill>
                <a:srgbClr val="C00000"/>
              </a:solidFill>
            </a:ln>
            <a:effectLst/>
          </c:spPr>
          <c:invertIfNegative val="0"/>
          <c:dLbls>
            <c:dLbl>
              <c:idx val="0"/>
              <c:layout>
                <c:manualLayout>
                  <c:x val="-1.9125683060109294E-2"/>
                  <c:y val="-0.5208335676790401"/>
                </c:manualLayout>
              </c:layout>
              <c:spPr>
                <a:noFill/>
                <a:ln>
                  <a:noFill/>
                </a:ln>
                <a:effectLst/>
              </c:spPr>
              <c:txPr>
                <a:bodyPr rot="0" spcFirstLastPara="1" vertOverflow="ellipsis" vert="horz" wrap="square" lIns="38100" tIns="19050" rIns="38100" bIns="19050" anchor="ctr" anchorCtr="0">
                  <a:noAutofit/>
                </a:bodyPr>
                <a:lstStyle/>
                <a:p>
                  <a:pPr algn="l">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051912568306011"/>
                      <c:h val="0.19633952005999247"/>
                    </c:manualLayout>
                  </c15:layout>
                </c:ext>
                <c:ext xmlns:c16="http://schemas.microsoft.com/office/drawing/2014/chart" uri="{C3380CC4-5D6E-409C-BE32-E72D297353CC}">
                  <c16:uniqueId val="{00000009-0762-4B99-81EA-8F9A69863426}"/>
                </c:ext>
              </c:extLst>
            </c:dLbl>
            <c:dLbl>
              <c:idx val="1"/>
              <c:delete val="1"/>
              <c:extLst>
                <c:ext xmlns:c15="http://schemas.microsoft.com/office/drawing/2012/chart" uri="{CE6537A1-D6FC-4f65-9D91-7224C49458BB}"/>
                <c:ext xmlns:c16="http://schemas.microsoft.com/office/drawing/2014/chart" uri="{C3380CC4-5D6E-409C-BE32-E72D297353CC}">
                  <c16:uniqueId val="{0000000A-0762-4B99-81EA-8F9A69863426}"/>
                </c:ext>
              </c:extLst>
            </c:dLbl>
            <c:dLbl>
              <c:idx val="2"/>
              <c:delete val="1"/>
              <c:extLst>
                <c:ext xmlns:c15="http://schemas.microsoft.com/office/drawing/2012/chart" uri="{CE6537A1-D6FC-4f65-9D91-7224C49458BB}"/>
                <c:ext xmlns:c16="http://schemas.microsoft.com/office/drawing/2014/chart" uri="{C3380CC4-5D6E-409C-BE32-E72D297353CC}">
                  <c16:uniqueId val="{0000000B-0762-4B99-81EA-8F9A69863426}"/>
                </c:ext>
              </c:extLst>
            </c:dLbl>
            <c:dLbl>
              <c:idx val="3"/>
              <c:layout>
                <c:manualLayout>
                  <c:x val="3.3552342842390503E-2"/>
                  <c:y val="-0.51488024934383203"/>
                </c:manualLayout>
              </c:layout>
              <c:spPr>
                <a:noFill/>
                <a:ln>
                  <a:noFill/>
                </a:ln>
                <a:effectLst/>
              </c:spPr>
              <c:txPr>
                <a:bodyPr rot="0" spcFirstLastPara="1" vertOverflow="ellipsis" vert="horz" wrap="square" lIns="38100" tIns="19050" rIns="38100" bIns="19050" anchor="ctr" anchorCtr="0">
                  <a:noAutofit/>
                </a:bodyPr>
                <a:lstStyle/>
                <a:p>
                  <a:pPr algn="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29658556000172109"/>
                      <c:h val="0.19633952005999247"/>
                    </c:manualLayout>
                  </c15:layout>
                </c:ext>
                <c:ext xmlns:c16="http://schemas.microsoft.com/office/drawing/2014/chart" uri="{C3380CC4-5D6E-409C-BE32-E72D297353CC}">
                  <c16:uniqueId val="{0000000C-0762-4B99-81EA-8F9A69863426}"/>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usées'!$D$346:$D$349</c:f>
              <c:strCache>
                <c:ptCount val="4"/>
                <c:pt idx="0">
                  <c:v>Budget planifié</c:v>
                </c:pt>
                <c:pt idx="1">
                  <c:v>Coûts prévisionnels</c:v>
                </c:pt>
                <c:pt idx="2">
                  <c:v>Coûts prévisionnels</c:v>
                </c:pt>
                <c:pt idx="3">
                  <c:v>Budget planifié</c:v>
                </c:pt>
              </c:strCache>
            </c:strRef>
          </c:cat>
          <c:val>
            <c:numRef>
              <c:f>'CALCULS Eaux usées'!$F$346:$F$349</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0762-4B99-81EA-8F9A69863426}"/>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40143432701434E-2"/>
          <c:y val="0.20560273715785526"/>
          <c:w val="0.82257532468778138"/>
          <c:h val="0.76950365579302582"/>
        </c:manualLayout>
      </c:layout>
      <c:barChart>
        <c:barDir val="col"/>
        <c:grouping val="stacked"/>
        <c:varyColors val="0"/>
        <c:ser>
          <c:idx val="0"/>
          <c:order val="0"/>
          <c:spPr>
            <a:solidFill>
              <a:schemeClr val="bg1"/>
            </a:solidFill>
            <a:ln>
              <a:solidFill>
                <a:schemeClr val="accent5">
                  <a:lumMod val="75000"/>
                </a:schemeClr>
              </a:solidFill>
            </a:ln>
            <a:effectLst/>
          </c:spPr>
          <c:invertIfNegative val="0"/>
          <c:dPt>
            <c:idx val="1"/>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1-4964-4A6B-9AB6-86030333F511}"/>
              </c:ext>
            </c:extLst>
          </c:dPt>
          <c:dPt>
            <c:idx val="2"/>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3-4964-4A6B-9AB6-86030333F511}"/>
              </c:ext>
            </c:extLst>
          </c:dPt>
          <c:dLbls>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4-4A6B-9AB6-86030333F511}"/>
                </c:ext>
              </c:extLst>
            </c:dLbl>
            <c:dLbl>
              <c:idx val="2"/>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64-4A6B-9AB6-86030333F51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usées'!$D$370:$D$373</c:f>
              <c:strCache>
                <c:ptCount val="4"/>
                <c:pt idx="0">
                  <c:v>Budget planifié</c:v>
                </c:pt>
                <c:pt idx="1">
                  <c:v>Coûts prévisionnels</c:v>
                </c:pt>
                <c:pt idx="2">
                  <c:v>Coûts prévisionnels</c:v>
                </c:pt>
                <c:pt idx="3">
                  <c:v>Budget planifié</c:v>
                </c:pt>
              </c:strCache>
            </c:strRef>
          </c:cat>
          <c:val>
            <c:numRef>
              <c:f>'CALCULS Eaux usées'!$E$370:$E$373</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4-4964-4A6B-9AB6-86030333F511}"/>
            </c:ext>
          </c:extLst>
        </c:ser>
        <c:ser>
          <c:idx val="1"/>
          <c:order val="1"/>
          <c:tx>
            <c:strRef>
              <c:f>'CALCULS Eaux usées'!$F$369</c:f>
              <c:strCache>
                <c:ptCount val="1"/>
                <c:pt idx="0">
                  <c:v>Déficit de financement</c:v>
                </c:pt>
              </c:strCache>
            </c:strRef>
          </c:tx>
          <c:spPr>
            <a:solidFill>
              <a:srgbClr val="C00000"/>
            </a:solidFill>
            <a:ln>
              <a:solidFill>
                <a:srgbClr val="C00000"/>
              </a:solidFill>
            </a:ln>
            <a:effectLst/>
          </c:spPr>
          <c:invertIfNegative val="0"/>
          <c:dLbls>
            <c:dLbl>
              <c:idx val="0"/>
              <c:layout>
                <c:manualLayout>
                  <c:x val="-2.3224043715846993E-2"/>
                  <c:y val="-0.52678547994000746"/>
                </c:manualLayout>
              </c:layout>
              <c:spPr>
                <a:noFill/>
                <a:ln>
                  <a:noFill/>
                </a:ln>
                <a:effectLst/>
              </c:spPr>
              <c:txPr>
                <a:bodyPr rot="0" spcFirstLastPara="1" vertOverflow="ellipsis" vert="horz" wrap="square" lIns="38100" tIns="19050" rIns="38100" bIns="19050" anchor="ctr" anchorCtr="0">
                  <a:noAutofit/>
                </a:bodyPr>
                <a:lstStyle/>
                <a:p>
                  <a:pPr algn="l">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017748805989414"/>
                      <c:h val="0.20127999625046866"/>
                    </c:manualLayout>
                  </c15:layout>
                </c:ext>
                <c:ext xmlns:c16="http://schemas.microsoft.com/office/drawing/2014/chart" uri="{C3380CC4-5D6E-409C-BE32-E72D297353CC}">
                  <c16:uniqueId val="{00000005-4964-4A6B-9AB6-86030333F511}"/>
                </c:ext>
              </c:extLst>
            </c:dLbl>
            <c:dLbl>
              <c:idx val="1"/>
              <c:delete val="1"/>
              <c:extLst>
                <c:ext xmlns:c15="http://schemas.microsoft.com/office/drawing/2012/chart" uri="{CE6537A1-D6FC-4f65-9D91-7224C49458BB}"/>
                <c:ext xmlns:c16="http://schemas.microsoft.com/office/drawing/2014/chart" uri="{C3380CC4-5D6E-409C-BE32-E72D297353CC}">
                  <c16:uniqueId val="{00000006-4964-4A6B-9AB6-86030333F511}"/>
                </c:ext>
              </c:extLst>
            </c:dLbl>
            <c:dLbl>
              <c:idx val="2"/>
              <c:delete val="1"/>
              <c:extLst>
                <c:ext xmlns:c15="http://schemas.microsoft.com/office/drawing/2012/chart" uri="{CE6537A1-D6FC-4f65-9D91-7224C49458BB}"/>
                <c:ext xmlns:c16="http://schemas.microsoft.com/office/drawing/2014/chart" uri="{C3380CC4-5D6E-409C-BE32-E72D297353CC}">
                  <c16:uniqueId val="{00000007-4964-4A6B-9AB6-86030333F511}"/>
                </c:ext>
              </c:extLst>
            </c:dLbl>
            <c:dLbl>
              <c:idx val="3"/>
              <c:layout>
                <c:manualLayout>
                  <c:x val="3.6885353470160392E-2"/>
                  <c:y val="-0.53273832958380207"/>
                </c:manualLayout>
              </c:layout>
              <c:spPr>
                <a:noFill/>
                <a:ln>
                  <a:noFill/>
                </a:ln>
                <a:effectLst/>
              </c:spPr>
              <c:txPr>
                <a:bodyPr rot="0" spcFirstLastPara="1" vertOverflow="ellipsis" vert="horz" wrap="square" lIns="38100" tIns="19050" rIns="38100" bIns="19050" anchor="ctr" anchorCtr="0">
                  <a:noAutofit/>
                </a:bodyPr>
                <a:lstStyle/>
                <a:p>
                  <a:pPr algn="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28924852631126025"/>
                      <c:h val="0.18937523434570677"/>
                    </c:manualLayout>
                  </c15:layout>
                </c:ext>
                <c:ext xmlns:c16="http://schemas.microsoft.com/office/drawing/2014/chart" uri="{C3380CC4-5D6E-409C-BE32-E72D297353CC}">
                  <c16:uniqueId val="{00000008-4964-4A6B-9AB6-86030333F51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usées'!$D$370:$D$373</c:f>
              <c:strCache>
                <c:ptCount val="4"/>
                <c:pt idx="0">
                  <c:v>Budget planifié</c:v>
                </c:pt>
                <c:pt idx="1">
                  <c:v>Coûts prévisionnels</c:v>
                </c:pt>
                <c:pt idx="2">
                  <c:v>Coûts prévisionnels</c:v>
                </c:pt>
                <c:pt idx="3">
                  <c:v>Budget planifié</c:v>
                </c:pt>
              </c:strCache>
            </c:strRef>
          </c:cat>
          <c:val>
            <c:numRef>
              <c:f>'CALCULS Eaux usées'!$F$370:$F$373</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9-4964-4A6B-9AB6-86030333F511}"/>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819805108733138E-3"/>
          <c:y val="5.5761897687317385E-3"/>
          <c:w val="0.9898423167606325"/>
          <c:h val="0.96371191820917679"/>
        </c:manualLayout>
      </c:layout>
      <c:barChart>
        <c:barDir val="bar"/>
        <c:grouping val="clustered"/>
        <c:varyColors val="0"/>
        <c:ser>
          <c:idx val="0"/>
          <c:order val="0"/>
          <c:spPr>
            <a:solidFill>
              <a:srgbClr val="BC5DCF"/>
            </a:solidFill>
            <a:ln>
              <a:noFill/>
            </a:ln>
            <a:effectLst/>
          </c:spPr>
          <c:invertIfNegative val="0"/>
          <c:cat>
            <c:strRef>
              <c:f>'CALCULS Eaux usées'!$D$141:$D$146</c:f>
              <c:strCache>
                <c:ptCount val="6"/>
                <c:pt idx="0">
                  <c:v>Autre </c:v>
                </c:pt>
                <c:pt idx="1">
                  <c:v>Manque d'informations</c:v>
                </c:pt>
                <c:pt idx="2">
                  <c:v>Changements climatiques</c:v>
                </c:pt>
                <c:pt idx="3">
                  <c:v>Sous-financement</c:v>
                </c:pt>
                <c:pt idx="4">
                  <c:v>Dotation de personnel</c:v>
                </c:pt>
                <c:pt idx="5">
                  <c:v>Actifs critiques</c:v>
                </c:pt>
              </c:strCache>
            </c:strRef>
          </c:cat>
          <c:val>
            <c:numRef>
              <c:f>'CALCULS Eaux usées'!$I$141:$I$146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D6D-4709-A524-31CCB541BD4F}"/>
            </c:ext>
          </c:extLst>
        </c:ser>
        <c:dLbls>
          <c:showLegendKey val="0"/>
          <c:showVal val="0"/>
          <c:showCatName val="0"/>
          <c:showSerName val="0"/>
          <c:showPercent val="0"/>
          <c:showBubbleSize val="0"/>
        </c:dLbls>
        <c:gapWidth val="102"/>
        <c:axId val="1034704655"/>
        <c:axId val="1034703823"/>
      </c:barChart>
      <c:catAx>
        <c:axId val="1034704655"/>
        <c:scaling>
          <c:orientation val="minMax"/>
        </c:scaling>
        <c:delete val="1"/>
        <c:axPos val="l"/>
        <c:numFmt formatCode="General" sourceLinked="1"/>
        <c:majorTickMark val="none"/>
        <c:minorTickMark val="none"/>
        <c:tickLblPos val="nextTo"/>
        <c:crossAx val="1034703823"/>
        <c:crosses val="autoZero"/>
        <c:auto val="1"/>
        <c:lblAlgn val="ctr"/>
        <c:lblOffset val="100"/>
        <c:noMultiLvlLbl val="0"/>
      </c:catAx>
      <c:valAx>
        <c:axId val="1034703823"/>
        <c:scaling>
          <c:orientation val="minMax"/>
          <c:max val="3"/>
        </c:scaling>
        <c:delete val="1"/>
        <c:axPos val="b"/>
        <c:numFmt formatCode="General" sourceLinked="1"/>
        <c:majorTickMark val="none"/>
        <c:minorTickMark val="none"/>
        <c:tickLblPos val="nextTo"/>
        <c:crossAx val="1034704655"/>
        <c:crosses val="autoZero"/>
        <c:crossBetween val="between"/>
        <c:majorUnit val="1"/>
      </c:valAx>
      <c:spPr>
        <a:noFill/>
        <a:ln>
          <a:solidFill>
            <a:schemeClr val="bg1"/>
          </a:solid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918630941630003E-2"/>
          <c:y val="0.14676199255389122"/>
          <c:w val="0.88759273840769903"/>
          <c:h val="0.54036745406824149"/>
        </c:manualLayout>
      </c:layout>
      <c:barChart>
        <c:barDir val="bar"/>
        <c:grouping val="percentStacked"/>
        <c:varyColors val="0"/>
        <c:ser>
          <c:idx val="0"/>
          <c:order val="0"/>
          <c:tx>
            <c:strRef>
              <c:f>'CALCULS Eaux usées'!$D$256</c:f>
              <c:strCache>
                <c:ptCount val="1"/>
                <c:pt idx="0">
                  <c:v>Exploitation</c:v>
                </c:pt>
              </c:strCache>
            </c:strRef>
          </c:tx>
          <c:spPr>
            <a:solidFill>
              <a:schemeClr val="accent1"/>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533D-430A-80BE-54945660D6CB}"/>
              </c:ext>
            </c:extLst>
          </c:dPt>
          <c:dLbls>
            <c:dLbl>
              <c:idx val="0"/>
              <c:layout>
                <c:manualLayout>
                  <c:x val="-4.5422275155267283E-2"/>
                  <c:y val="-0.282560706401766"/>
                </c:manualLayout>
              </c:layout>
              <c:tx>
                <c:rich>
                  <a:bodyPr/>
                  <a:lstStyle/>
                  <a:p>
                    <a:fld id="{6F1B768F-8B4C-4006-B0D2-992C99B3E9ED}"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33D-430A-80BE-54945660D6C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Eaux usées'!$O$256</c:f>
              <c:numCache>
                <c:formatCode>#\ ##0\ "$"</c:formatCode>
                <c:ptCount val="1"/>
                <c:pt idx="0">
                  <c:v>0</c:v>
                </c:pt>
              </c:numCache>
            </c:numRef>
          </c:val>
          <c:extLst>
            <c:ext xmlns:c15="http://schemas.microsoft.com/office/drawing/2012/chart" uri="{02D57815-91ED-43cb-92C2-25804820EDAC}">
              <c15:datalabelsRange>
                <c15:f>'CALCULS Eaux usées'!$P$256</c15:f>
                <c15:dlblRangeCache>
                  <c:ptCount val="1"/>
                </c15:dlblRangeCache>
              </c15:datalabelsRange>
            </c:ext>
            <c:ext xmlns:c16="http://schemas.microsoft.com/office/drawing/2014/chart" uri="{C3380CC4-5D6E-409C-BE32-E72D297353CC}">
              <c16:uniqueId val="{00000002-533D-430A-80BE-54945660D6CB}"/>
            </c:ext>
          </c:extLst>
        </c:ser>
        <c:ser>
          <c:idx val="1"/>
          <c:order val="1"/>
          <c:tx>
            <c:strRef>
              <c:f>'CALCULS Eaux usées'!$D$257</c:f>
              <c:strCache>
                <c:ptCount val="1"/>
                <c:pt idx="0">
                  <c:v>Entretien</c:v>
                </c:pt>
              </c:strCache>
            </c:strRef>
          </c:tx>
          <c:spPr>
            <a:solidFill>
              <a:srgbClr val="0070C0"/>
            </a:solidFill>
            <a:ln>
              <a:noFill/>
            </a:ln>
            <a:effectLst/>
          </c:spPr>
          <c:invertIfNegative val="0"/>
          <c:dLbls>
            <c:dLbl>
              <c:idx val="0"/>
              <c:layout>
                <c:manualLayout>
                  <c:x val="-7.0026007531037104E-2"/>
                  <c:y val="-0.29139072847682118"/>
                </c:manualLayout>
              </c:layout>
              <c:tx>
                <c:rich>
                  <a:bodyPr/>
                  <a:lstStyle/>
                  <a:p>
                    <a:fld id="{DD94C2F2-04D6-48AC-84E2-A18D115D3152}"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33D-430A-80BE-54945660D6C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Eaux usées'!$O$257</c:f>
              <c:numCache>
                <c:formatCode>#\ ##0\ "$"</c:formatCode>
                <c:ptCount val="1"/>
                <c:pt idx="0">
                  <c:v>0</c:v>
                </c:pt>
              </c:numCache>
            </c:numRef>
          </c:val>
          <c:extLst>
            <c:ext xmlns:c15="http://schemas.microsoft.com/office/drawing/2012/chart" uri="{02D57815-91ED-43cb-92C2-25804820EDAC}">
              <c15:datalabelsRange>
                <c15:f>'CALCULS Eaux usées'!$P$257</c15:f>
                <c15:dlblRangeCache>
                  <c:ptCount val="1"/>
                </c15:dlblRangeCache>
              </c15:datalabelsRange>
            </c:ext>
            <c:ext xmlns:c16="http://schemas.microsoft.com/office/drawing/2014/chart" uri="{C3380CC4-5D6E-409C-BE32-E72D297353CC}">
              <c16:uniqueId val="{00000004-533D-430A-80BE-54945660D6CB}"/>
            </c:ext>
          </c:extLst>
        </c:ser>
        <c:ser>
          <c:idx val="2"/>
          <c:order val="2"/>
          <c:tx>
            <c:strRef>
              <c:f>'CALCULS Eaux usées'!$D$258</c:f>
              <c:strCache>
                <c:ptCount val="1"/>
                <c:pt idx="0">
                  <c:v>Renouvellement</c:v>
                </c:pt>
              </c:strCache>
            </c:strRef>
          </c:tx>
          <c:spPr>
            <a:solidFill>
              <a:schemeClr val="accent4"/>
            </a:solidFill>
            <a:ln>
              <a:noFill/>
            </a:ln>
            <a:effectLst/>
          </c:spPr>
          <c:invertIfNegative val="0"/>
          <c:dLbls>
            <c:dLbl>
              <c:idx val="0"/>
              <c:layout>
                <c:manualLayout>
                  <c:x val="-4.1637085558995084E-2"/>
                  <c:y val="-0.29139072847682118"/>
                </c:manualLayout>
              </c:layout>
              <c:tx>
                <c:rich>
                  <a:bodyPr/>
                  <a:lstStyle/>
                  <a:p>
                    <a:fld id="{3CDA38ED-45DB-47CA-B2EC-4F7BA7E67796}"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33D-430A-80BE-54945660D6C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Eaux usées'!$O$258</c:f>
              <c:numCache>
                <c:formatCode>#\ ##0\ "$"</c:formatCode>
                <c:ptCount val="1"/>
                <c:pt idx="0">
                  <c:v>0</c:v>
                </c:pt>
              </c:numCache>
            </c:numRef>
          </c:val>
          <c:extLst>
            <c:ext xmlns:c15="http://schemas.microsoft.com/office/drawing/2012/chart" uri="{02D57815-91ED-43cb-92C2-25804820EDAC}">
              <c15:datalabelsRange>
                <c15:f>'CALCULS Eaux usées'!$P$258</c15:f>
                <c15:dlblRangeCache>
                  <c:ptCount val="1"/>
                </c15:dlblRangeCache>
              </c15:datalabelsRange>
            </c:ext>
            <c:ext xmlns:c16="http://schemas.microsoft.com/office/drawing/2014/chart" uri="{C3380CC4-5D6E-409C-BE32-E72D297353CC}">
              <c16:uniqueId val="{00000006-533D-430A-80BE-54945660D6CB}"/>
            </c:ext>
          </c:extLst>
        </c:ser>
        <c:ser>
          <c:idx val="3"/>
          <c:order val="3"/>
          <c:tx>
            <c:strRef>
              <c:f>'CALCULS Eaux usées'!$D$259</c:f>
              <c:strCache>
                <c:ptCount val="1"/>
                <c:pt idx="0">
                  <c:v>Acquisition</c:v>
                </c:pt>
              </c:strCache>
            </c:strRef>
          </c:tx>
          <c:spPr>
            <a:solidFill>
              <a:schemeClr val="accent2"/>
            </a:solidFill>
            <a:ln>
              <a:noFill/>
            </a:ln>
            <a:effectLst/>
          </c:spPr>
          <c:invertIfNegative val="0"/>
          <c:dLbls>
            <c:dLbl>
              <c:idx val="0"/>
              <c:layout>
                <c:manualLayout>
                  <c:x val="-3.7851895962722738E-2"/>
                  <c:y val="-0.29139072847682118"/>
                </c:manualLayout>
              </c:layout>
              <c:tx>
                <c:rich>
                  <a:bodyPr/>
                  <a:lstStyle/>
                  <a:p>
                    <a:fld id="{7F22AFA6-6E0A-4387-8B79-49F35C2CEB72}"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33D-430A-80BE-54945660D6C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Eaux usées'!$O$259</c:f>
              <c:numCache>
                <c:formatCode>#\ ##0\ "$"</c:formatCode>
                <c:ptCount val="1"/>
                <c:pt idx="0">
                  <c:v>0</c:v>
                </c:pt>
              </c:numCache>
            </c:numRef>
          </c:val>
          <c:extLst>
            <c:ext xmlns:c15="http://schemas.microsoft.com/office/drawing/2012/chart" uri="{02D57815-91ED-43cb-92C2-25804820EDAC}">
              <c15:datalabelsRange>
                <c15:f>'CALCULS Eaux usées'!$P$259</c15:f>
                <c15:dlblRangeCache>
                  <c:ptCount val="1"/>
                </c15:dlblRangeCache>
              </c15:datalabelsRange>
            </c:ext>
            <c:ext xmlns:c16="http://schemas.microsoft.com/office/drawing/2014/chart" uri="{C3380CC4-5D6E-409C-BE32-E72D297353CC}">
              <c16:uniqueId val="{00000008-533D-430A-80BE-54945660D6CB}"/>
            </c:ext>
          </c:extLst>
        </c:ser>
        <c:ser>
          <c:idx val="4"/>
          <c:order val="4"/>
          <c:tx>
            <c:strRef>
              <c:f>'CALCULS Eaux usées'!$D$260</c:f>
              <c:strCache>
                <c:ptCount val="1"/>
                <c:pt idx="0">
                  <c:v>Disposition</c:v>
                </c:pt>
              </c:strCache>
            </c:strRef>
          </c:tx>
          <c:spPr>
            <a:solidFill>
              <a:schemeClr val="accent4">
                <a:lumMod val="50000"/>
              </a:schemeClr>
            </a:solidFill>
            <a:ln>
              <a:noFill/>
            </a:ln>
            <a:effectLst/>
          </c:spPr>
          <c:invertIfNegative val="0"/>
          <c:dLbls>
            <c:dLbl>
              <c:idx val="0"/>
              <c:layout>
                <c:manualLayout>
                  <c:x val="1.1355568788816821E-2"/>
                  <c:y val="-0.26490066225165565"/>
                </c:manualLayout>
              </c:layout>
              <c:tx>
                <c:rich>
                  <a:bodyPr/>
                  <a:lstStyle/>
                  <a:p>
                    <a:fld id="{C8E36558-43BE-4FBB-8425-5E174DD3666C}"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33D-430A-80BE-54945660D6C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Eaux usées'!$O$260</c:f>
              <c:numCache>
                <c:formatCode>#\ ##0\ "$"</c:formatCode>
                <c:ptCount val="1"/>
                <c:pt idx="0">
                  <c:v>0</c:v>
                </c:pt>
              </c:numCache>
            </c:numRef>
          </c:val>
          <c:extLst>
            <c:ext xmlns:c15="http://schemas.microsoft.com/office/drawing/2012/chart" uri="{02D57815-91ED-43cb-92C2-25804820EDAC}">
              <c15:datalabelsRange>
                <c15:f>'CALCULS Eaux usées'!$P$260</c15:f>
                <c15:dlblRangeCache>
                  <c:ptCount val="1"/>
                </c15:dlblRangeCache>
              </c15:datalabelsRange>
            </c:ext>
            <c:ext xmlns:c16="http://schemas.microsoft.com/office/drawing/2014/chart" uri="{C3380CC4-5D6E-409C-BE32-E72D297353CC}">
              <c16:uniqueId val="{0000000A-533D-430A-80BE-54945660D6CB}"/>
            </c:ext>
          </c:extLst>
        </c:ser>
        <c:dLbls>
          <c:showLegendKey val="0"/>
          <c:showVal val="0"/>
          <c:showCatName val="0"/>
          <c:showSerName val="0"/>
          <c:showPercent val="0"/>
          <c:showBubbleSize val="0"/>
        </c:dLbls>
        <c:gapWidth val="114"/>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93685987638641943"/>
          <c:h val="0.9585035038936964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6834-4E01-AA91-38DFA27029DC}"/>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6834-4E01-AA91-38DFA27029D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834-4E01-AA91-38DFA27029D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834-4E01-AA91-38DFA27029DC}"/>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6834-4E01-AA91-38DFA27029D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834-4E01-AA91-38DFA27029D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834-4E01-AA91-38DFA27029DC}"/>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6834-4E01-AA91-38DFA27029DC}"/>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6834-4E01-AA91-38DFA27029D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6834-4E01-AA91-38DFA27029DC}"/>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6834-4E01-AA91-38DFA27029DC}"/>
              </c:ext>
            </c:extLst>
          </c:dPt>
          <c:dLbls>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6834-4E01-AA91-38DFA27029D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'CALCULS Eaux usées'!$L$282:$L$292</c:f>
              <c:numCache>
                <c:formatCode>General</c:formatCode>
                <c:ptCount val="11"/>
              </c:numCache>
            </c:numRef>
          </c:cat>
          <c:val>
            <c:numRef>
              <c:f>'CALCULS Eaux usées'!$M$282:$M$292</c:f>
              <c:numCache>
                <c:formatCode>#\ ##0\ "$"</c:formatCode>
                <c:ptCount val="11"/>
                <c:pt idx="0">
                  <c:v>0</c:v>
                </c:pt>
                <c:pt idx="1">
                  <c:v>0</c:v>
                </c:pt>
                <c:pt idx="4">
                  <c:v>0</c:v>
                </c:pt>
                <c:pt idx="7">
                  <c:v>0</c:v>
                </c:pt>
                <c:pt idx="8">
                  <c:v>0</c:v>
                </c:pt>
              </c:numCache>
            </c:numRef>
          </c:val>
          <c:extLst>
            <c:ext xmlns:c16="http://schemas.microsoft.com/office/drawing/2014/chart" uri="{C3380CC4-5D6E-409C-BE32-E72D297353CC}">
              <c16:uniqueId val="{00000016-6834-4E01-AA91-38DFA27029DC}"/>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9535267881724574E-2"/>
          <c:y val="3.206951833723487E-2"/>
          <c:w val="0.97181469449185987"/>
          <c:h val="0.93268121686131511"/>
        </c:manualLayout>
      </c:layout>
      <c:doughnutChart>
        <c:varyColors val="1"/>
        <c:ser>
          <c:idx val="0"/>
          <c:order val="0"/>
          <c:dPt>
            <c:idx val="0"/>
            <c:bubble3D val="0"/>
            <c:spPr>
              <a:solidFill>
                <a:srgbClr val="C7D3D1"/>
              </a:solidFill>
              <a:ln w="19050">
                <a:solidFill>
                  <a:schemeClr val="lt1"/>
                </a:solidFill>
              </a:ln>
              <a:effectLst/>
            </c:spPr>
            <c:extLst>
              <c:ext xmlns:c16="http://schemas.microsoft.com/office/drawing/2014/chart" uri="{C3380CC4-5D6E-409C-BE32-E72D297353CC}">
                <c16:uniqueId val="{00000001-18AB-4D78-83A7-548051C16A55}"/>
              </c:ext>
            </c:extLst>
          </c:dPt>
          <c:dPt>
            <c:idx val="1"/>
            <c:bubble3D val="0"/>
            <c:spPr>
              <a:solidFill>
                <a:srgbClr val="87A19C"/>
              </a:solidFill>
              <a:ln w="19050">
                <a:solidFill>
                  <a:schemeClr val="lt1"/>
                </a:solidFill>
              </a:ln>
              <a:effectLst/>
            </c:spPr>
            <c:extLst>
              <c:ext xmlns:c16="http://schemas.microsoft.com/office/drawing/2014/chart" uri="{C3380CC4-5D6E-409C-BE32-E72D297353CC}">
                <c16:uniqueId val="{00000003-18AB-4D78-83A7-548051C16A55}"/>
              </c:ext>
            </c:extLst>
          </c:dPt>
          <c:dPt>
            <c:idx val="2"/>
            <c:bubble3D val="0"/>
            <c:spPr>
              <a:solidFill>
                <a:srgbClr val="3A4A47"/>
              </a:solidFill>
              <a:ln w="19050">
                <a:solidFill>
                  <a:schemeClr val="lt1"/>
                </a:solidFill>
              </a:ln>
              <a:effectLst/>
            </c:spPr>
            <c:extLst>
              <c:ext xmlns:c16="http://schemas.microsoft.com/office/drawing/2014/chart" uri="{C3380CC4-5D6E-409C-BE32-E72D297353CC}">
                <c16:uniqueId val="{00000005-18AB-4D78-83A7-548051C16A55}"/>
              </c:ext>
            </c:extLst>
          </c:dPt>
          <c:dPt>
            <c:idx val="3"/>
            <c:bubble3D val="0"/>
            <c:spPr>
              <a:solidFill>
                <a:srgbClr val="C6F2ED"/>
              </a:solidFill>
              <a:ln w="19050">
                <a:solidFill>
                  <a:schemeClr val="lt1"/>
                </a:solidFill>
              </a:ln>
              <a:effectLst/>
            </c:spPr>
            <c:extLst>
              <c:ext xmlns:c16="http://schemas.microsoft.com/office/drawing/2014/chart" uri="{C3380CC4-5D6E-409C-BE32-E72D297353CC}">
                <c16:uniqueId val="{00000007-18AB-4D78-83A7-548051C16A55}"/>
              </c:ext>
            </c:extLst>
          </c:dPt>
          <c:dPt>
            <c:idx val="4"/>
            <c:bubble3D val="0"/>
            <c:spPr>
              <a:solidFill>
                <a:srgbClr val="2BB3A3"/>
              </a:solidFill>
              <a:ln w="19050">
                <a:solidFill>
                  <a:schemeClr val="lt1"/>
                </a:solidFill>
              </a:ln>
              <a:effectLst/>
            </c:spPr>
            <c:extLst>
              <c:ext xmlns:c16="http://schemas.microsoft.com/office/drawing/2014/chart" uri="{C3380CC4-5D6E-409C-BE32-E72D297353CC}">
                <c16:uniqueId val="{00000009-18AB-4D78-83A7-548051C16A55}"/>
              </c:ext>
            </c:extLst>
          </c:dPt>
          <c:dPt>
            <c:idx val="5"/>
            <c:bubble3D val="0"/>
            <c:spPr>
              <a:solidFill>
                <a:srgbClr val="1B7369"/>
              </a:solidFill>
              <a:ln w="19050">
                <a:solidFill>
                  <a:schemeClr val="lt1"/>
                </a:solidFill>
              </a:ln>
              <a:effectLst/>
            </c:spPr>
            <c:extLst>
              <c:ext xmlns:c16="http://schemas.microsoft.com/office/drawing/2014/chart" uri="{C3380CC4-5D6E-409C-BE32-E72D297353CC}">
                <c16:uniqueId val="{0000000B-18AB-4D78-83A7-548051C16A55}"/>
              </c:ext>
            </c:extLst>
          </c:dPt>
          <c:dLbls>
            <c:dLbl>
              <c:idx val="0"/>
              <c:layout>
                <c:manualLayout>
                  <c:x val="7.7972693594327387E-3"/>
                  <c:y val="-4.32432432432432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8AB-4D78-83A7-548051C16A55}"/>
                </c:ext>
              </c:extLst>
            </c:dLbl>
            <c:dLbl>
              <c:idx val="2"/>
              <c:layout>
                <c:manualLayout>
                  <c:x val="3.118907743773143E-2"/>
                  <c:y val="-2.1621621621621623E-2"/>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8AB-4D78-83A7-548051C16A55}"/>
                </c:ext>
              </c:extLst>
            </c:dLbl>
            <c:dLbl>
              <c:idx val="5"/>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B-18AB-4D78-83A7-548051C16A55}"/>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'CALCULS Eaux pluviales'!$D$21:$D$26</c:f>
              <c:strCache>
                <c:ptCount val="6"/>
                <c:pt idx="0">
                  <c:v>Collecte / Linéaire</c:v>
                </c:pt>
                <c:pt idx="1">
                  <c:v>Collecte / Ponctuel</c:v>
                </c:pt>
                <c:pt idx="2">
                  <c:v>Collecte / Autres actifs</c:v>
                </c:pt>
                <c:pt idx="3">
                  <c:v>Traitement / Linéaire</c:v>
                </c:pt>
                <c:pt idx="4">
                  <c:v>Traitement / Ponctuel</c:v>
                </c:pt>
                <c:pt idx="5">
                  <c:v>Traitement / Autres actifs</c:v>
                </c:pt>
              </c:strCache>
            </c:strRef>
          </c:cat>
          <c:val>
            <c:numRef>
              <c:f>'CALCULS Eaux pluviales'!$E$21:$E$26</c:f>
              <c:numCache>
                <c:formatCode>#\ ##0\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18AB-4D78-83A7-548051C16A55}"/>
            </c:ext>
          </c:extLst>
        </c:ser>
        <c:dLbls>
          <c:showLegendKey val="0"/>
          <c:showVal val="0"/>
          <c:showCatName val="0"/>
          <c:showSerName val="0"/>
          <c:showPercent val="0"/>
          <c:showBubbleSize val="0"/>
          <c:showLeaderLines val="1"/>
        </c:dLbls>
        <c:firstSliceAng val="0"/>
        <c:holeSize val="51"/>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69909110706141"/>
          <c:y val="0.12362315030902983"/>
          <c:w val="0.81420967575559611"/>
          <c:h val="0.56916786346267279"/>
        </c:manualLayout>
      </c:layout>
      <c:barChart>
        <c:barDir val="col"/>
        <c:grouping val="clustered"/>
        <c:varyColors val="0"/>
        <c:ser>
          <c:idx val="0"/>
          <c:order val="0"/>
          <c:tx>
            <c:strRef>
              <c:f>'CALCULS Eaux pluviales'!$D$61</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1472-46F2-9D9D-4F6BF4C3190D}"/>
              </c:ext>
            </c:extLst>
          </c:dPt>
          <c:dPt>
            <c:idx val="1"/>
            <c:invertIfNegative val="0"/>
            <c:bubble3D val="0"/>
            <c:spPr>
              <a:solidFill>
                <a:srgbClr val="00B050"/>
              </a:solidFill>
              <a:ln>
                <a:noFill/>
              </a:ln>
              <a:effectLst/>
            </c:spPr>
            <c:extLst>
              <c:ext xmlns:c16="http://schemas.microsoft.com/office/drawing/2014/chart" uri="{C3380CC4-5D6E-409C-BE32-E72D297353CC}">
                <c16:uniqueId val="{00000003-1472-46F2-9D9D-4F6BF4C3190D}"/>
              </c:ext>
            </c:extLst>
          </c:dPt>
          <c:dPt>
            <c:idx val="2"/>
            <c:invertIfNegative val="0"/>
            <c:bubble3D val="0"/>
            <c:spPr>
              <a:solidFill>
                <a:srgbClr val="FFD347"/>
              </a:solidFill>
              <a:ln>
                <a:noFill/>
              </a:ln>
              <a:effectLst/>
            </c:spPr>
            <c:extLst>
              <c:ext xmlns:c16="http://schemas.microsoft.com/office/drawing/2014/chart" uri="{C3380CC4-5D6E-409C-BE32-E72D297353CC}">
                <c16:uniqueId val="{00000005-1472-46F2-9D9D-4F6BF4C3190D}"/>
              </c:ext>
            </c:extLst>
          </c:dPt>
          <c:dPt>
            <c:idx val="3"/>
            <c:invertIfNegative val="0"/>
            <c:bubble3D val="0"/>
            <c:spPr>
              <a:solidFill>
                <a:srgbClr val="F98007"/>
              </a:solidFill>
              <a:ln>
                <a:noFill/>
              </a:ln>
              <a:effectLst/>
            </c:spPr>
            <c:extLst>
              <c:ext xmlns:c16="http://schemas.microsoft.com/office/drawing/2014/chart" uri="{C3380CC4-5D6E-409C-BE32-E72D297353CC}">
                <c16:uniqueId val="{00000007-1472-46F2-9D9D-4F6BF4C3190D}"/>
              </c:ext>
            </c:extLst>
          </c:dPt>
          <c:dPt>
            <c:idx val="4"/>
            <c:invertIfNegative val="0"/>
            <c:bubble3D val="0"/>
            <c:spPr>
              <a:solidFill>
                <a:srgbClr val="C00000"/>
              </a:solidFill>
              <a:ln>
                <a:noFill/>
              </a:ln>
              <a:effectLst/>
            </c:spPr>
            <c:extLst>
              <c:ext xmlns:c16="http://schemas.microsoft.com/office/drawing/2014/chart" uri="{C3380CC4-5D6E-409C-BE32-E72D297353CC}">
                <c16:uniqueId val="{00000009-1472-46F2-9D9D-4F6BF4C3190D}"/>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1472-46F2-9D9D-4F6BF4C3190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pluviales'!$E$60:$J$60</c:f>
              <c:strCache>
                <c:ptCount val="6"/>
                <c:pt idx="0">
                  <c:v>Très bon 
(A)</c:v>
                </c:pt>
                <c:pt idx="1">
                  <c:v>Bon 
(B)</c:v>
                </c:pt>
                <c:pt idx="2">
                  <c:v>Satisfaisant 
(C)</c:v>
                </c:pt>
                <c:pt idx="3">
                  <c:v>Mauvais 
(D)</c:v>
                </c:pt>
                <c:pt idx="4">
                  <c:v>Très mauvais 
(E)</c:v>
                </c:pt>
                <c:pt idx="5">
                  <c:v>Inconnu</c:v>
                </c:pt>
              </c:strCache>
            </c:strRef>
          </c:cat>
          <c:val>
            <c:numRef>
              <c:f>'CALCULS Eaux pluviales'!$E$61:$J$61</c:f>
              <c:numCache>
                <c:formatCode>0.0%</c:formatCode>
                <c:ptCount val="6"/>
                <c:pt idx="0">
                  <c:v>0</c:v>
                </c:pt>
                <c:pt idx="1">
                  <c:v>0</c:v>
                </c:pt>
                <c:pt idx="2">
                  <c:v>0</c:v>
                </c:pt>
                <c:pt idx="3">
                  <c:v>0</c:v>
                </c:pt>
                <c:pt idx="4">
                  <c:v>0</c:v>
                </c:pt>
                <c:pt idx="5">
                  <c:v>1</c:v>
                </c:pt>
              </c:numCache>
            </c:numRef>
          </c:val>
          <c:extLst>
            <c:ext xmlns:c16="http://schemas.microsoft.com/office/drawing/2014/chart" uri="{C3380CC4-5D6E-409C-BE32-E72D297353CC}">
              <c16:uniqueId val="{0000000C-1472-46F2-9D9D-4F6BF4C3190D}"/>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8EBCD"/>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F7FBF7"/>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23179455509239"/>
          <c:y val="0.11344504141769035"/>
          <c:w val="0.83167701096186508"/>
          <c:h val="0.58952408124535172"/>
        </c:manualLayout>
      </c:layout>
      <c:barChart>
        <c:barDir val="col"/>
        <c:grouping val="clustered"/>
        <c:varyColors val="0"/>
        <c:ser>
          <c:idx val="0"/>
          <c:order val="0"/>
          <c:tx>
            <c:strRef>
              <c:f>'CALCULS Eaux pluviales'!$D$62</c:f>
              <c:strCache>
                <c:ptCount val="1"/>
                <c:pt idx="0">
                  <c:v>PONCTUEL</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8654-44EF-9BB5-DE54D40D7FAD}"/>
              </c:ext>
            </c:extLst>
          </c:dPt>
          <c:dPt>
            <c:idx val="1"/>
            <c:invertIfNegative val="0"/>
            <c:bubble3D val="0"/>
            <c:spPr>
              <a:solidFill>
                <a:srgbClr val="00B050"/>
              </a:solidFill>
              <a:ln>
                <a:noFill/>
              </a:ln>
              <a:effectLst/>
            </c:spPr>
            <c:extLst>
              <c:ext xmlns:c16="http://schemas.microsoft.com/office/drawing/2014/chart" uri="{C3380CC4-5D6E-409C-BE32-E72D297353CC}">
                <c16:uniqueId val="{00000003-8654-44EF-9BB5-DE54D40D7FAD}"/>
              </c:ext>
            </c:extLst>
          </c:dPt>
          <c:dPt>
            <c:idx val="2"/>
            <c:invertIfNegative val="0"/>
            <c:bubble3D val="0"/>
            <c:spPr>
              <a:solidFill>
                <a:srgbClr val="FFD347"/>
              </a:solidFill>
              <a:ln>
                <a:noFill/>
              </a:ln>
              <a:effectLst/>
            </c:spPr>
            <c:extLst>
              <c:ext xmlns:c16="http://schemas.microsoft.com/office/drawing/2014/chart" uri="{C3380CC4-5D6E-409C-BE32-E72D297353CC}">
                <c16:uniqueId val="{00000005-8654-44EF-9BB5-DE54D40D7FAD}"/>
              </c:ext>
            </c:extLst>
          </c:dPt>
          <c:dPt>
            <c:idx val="3"/>
            <c:invertIfNegative val="0"/>
            <c:bubble3D val="0"/>
            <c:spPr>
              <a:solidFill>
                <a:srgbClr val="F98007"/>
              </a:solidFill>
              <a:ln>
                <a:noFill/>
              </a:ln>
              <a:effectLst/>
            </c:spPr>
            <c:extLst>
              <c:ext xmlns:c16="http://schemas.microsoft.com/office/drawing/2014/chart" uri="{C3380CC4-5D6E-409C-BE32-E72D297353CC}">
                <c16:uniqueId val="{00000007-8654-44EF-9BB5-DE54D40D7FAD}"/>
              </c:ext>
            </c:extLst>
          </c:dPt>
          <c:dPt>
            <c:idx val="4"/>
            <c:invertIfNegative val="0"/>
            <c:bubble3D val="0"/>
            <c:spPr>
              <a:solidFill>
                <a:srgbClr val="C00000"/>
              </a:solidFill>
              <a:ln>
                <a:noFill/>
              </a:ln>
              <a:effectLst/>
            </c:spPr>
            <c:extLst>
              <c:ext xmlns:c16="http://schemas.microsoft.com/office/drawing/2014/chart" uri="{C3380CC4-5D6E-409C-BE32-E72D297353CC}">
                <c16:uniqueId val="{00000009-8654-44EF-9BB5-DE54D40D7FAD}"/>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8654-44EF-9BB5-DE54D40D7FA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pluviales'!$E$60:$J$60</c:f>
              <c:strCache>
                <c:ptCount val="6"/>
                <c:pt idx="0">
                  <c:v>Très bon 
(A)</c:v>
                </c:pt>
                <c:pt idx="1">
                  <c:v>Bon 
(B)</c:v>
                </c:pt>
                <c:pt idx="2">
                  <c:v>Satisfaisant 
(C)</c:v>
                </c:pt>
                <c:pt idx="3">
                  <c:v>Mauvais 
(D)</c:v>
                </c:pt>
                <c:pt idx="4">
                  <c:v>Très mauvais 
(E)</c:v>
                </c:pt>
                <c:pt idx="5">
                  <c:v>Inconnu</c:v>
                </c:pt>
              </c:strCache>
            </c:strRef>
          </c:cat>
          <c:val>
            <c:numRef>
              <c:f>'CALCULS Eaux pluviales'!$E$62:$J$62</c:f>
              <c:numCache>
                <c:formatCode>0.0%</c:formatCode>
                <c:ptCount val="6"/>
                <c:pt idx="0">
                  <c:v>0</c:v>
                </c:pt>
                <c:pt idx="1">
                  <c:v>0</c:v>
                </c:pt>
                <c:pt idx="2">
                  <c:v>0</c:v>
                </c:pt>
                <c:pt idx="3">
                  <c:v>0</c:v>
                </c:pt>
                <c:pt idx="4">
                  <c:v>0</c:v>
                </c:pt>
                <c:pt idx="5">
                  <c:v>1</c:v>
                </c:pt>
              </c:numCache>
            </c:numRef>
          </c:val>
          <c:extLst>
            <c:ext xmlns:c16="http://schemas.microsoft.com/office/drawing/2014/chart" uri="{C3380CC4-5D6E-409C-BE32-E72D297353CC}">
              <c16:uniqueId val="{0000000C-8654-44EF-9BB5-DE54D40D7FAD}"/>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8EBCD"/>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F7FBF7"/>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23179455509239"/>
          <c:y val="0.11344504141769035"/>
          <c:w val="0.83167701096186508"/>
          <c:h val="0.58952408124535172"/>
        </c:manualLayout>
      </c:layout>
      <c:barChart>
        <c:barDir val="col"/>
        <c:grouping val="clustered"/>
        <c:varyColors val="0"/>
        <c:ser>
          <c:idx val="0"/>
          <c:order val="0"/>
          <c:tx>
            <c:strRef>
              <c:f>'CALCULS Eau potable'!$D$62</c:f>
              <c:strCache>
                <c:ptCount val="1"/>
                <c:pt idx="0">
                  <c:v>PONCTUEL</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661D-4906-AA72-299919AF697F}"/>
              </c:ext>
            </c:extLst>
          </c:dPt>
          <c:dPt>
            <c:idx val="1"/>
            <c:invertIfNegative val="0"/>
            <c:bubble3D val="0"/>
            <c:spPr>
              <a:solidFill>
                <a:srgbClr val="00B050"/>
              </a:solidFill>
              <a:ln>
                <a:noFill/>
              </a:ln>
              <a:effectLst/>
            </c:spPr>
            <c:extLst>
              <c:ext xmlns:c16="http://schemas.microsoft.com/office/drawing/2014/chart" uri="{C3380CC4-5D6E-409C-BE32-E72D297353CC}">
                <c16:uniqueId val="{00000003-661D-4906-AA72-299919AF697F}"/>
              </c:ext>
            </c:extLst>
          </c:dPt>
          <c:dPt>
            <c:idx val="2"/>
            <c:invertIfNegative val="0"/>
            <c:bubble3D val="0"/>
            <c:spPr>
              <a:solidFill>
                <a:srgbClr val="FFD347"/>
              </a:solidFill>
              <a:ln>
                <a:noFill/>
              </a:ln>
              <a:effectLst/>
            </c:spPr>
            <c:extLst>
              <c:ext xmlns:c16="http://schemas.microsoft.com/office/drawing/2014/chart" uri="{C3380CC4-5D6E-409C-BE32-E72D297353CC}">
                <c16:uniqueId val="{00000005-661D-4906-AA72-299919AF697F}"/>
              </c:ext>
            </c:extLst>
          </c:dPt>
          <c:dPt>
            <c:idx val="3"/>
            <c:invertIfNegative val="0"/>
            <c:bubble3D val="0"/>
            <c:spPr>
              <a:solidFill>
                <a:srgbClr val="F98007"/>
              </a:solidFill>
              <a:ln>
                <a:noFill/>
              </a:ln>
              <a:effectLst/>
            </c:spPr>
            <c:extLst>
              <c:ext xmlns:c16="http://schemas.microsoft.com/office/drawing/2014/chart" uri="{C3380CC4-5D6E-409C-BE32-E72D297353CC}">
                <c16:uniqueId val="{00000007-661D-4906-AA72-299919AF697F}"/>
              </c:ext>
            </c:extLst>
          </c:dPt>
          <c:dPt>
            <c:idx val="4"/>
            <c:invertIfNegative val="0"/>
            <c:bubble3D val="0"/>
            <c:spPr>
              <a:solidFill>
                <a:srgbClr val="C00000"/>
              </a:solidFill>
              <a:ln>
                <a:noFill/>
              </a:ln>
              <a:effectLst/>
            </c:spPr>
            <c:extLst>
              <c:ext xmlns:c16="http://schemas.microsoft.com/office/drawing/2014/chart" uri="{C3380CC4-5D6E-409C-BE32-E72D297353CC}">
                <c16:uniqueId val="{00000009-661D-4906-AA72-299919AF697F}"/>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661D-4906-AA72-299919AF697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 potable'!$E$60:$J$60</c:f>
              <c:strCache>
                <c:ptCount val="6"/>
                <c:pt idx="0">
                  <c:v>Très bon 
(A)</c:v>
                </c:pt>
                <c:pt idx="1">
                  <c:v>Bon 
(B)</c:v>
                </c:pt>
                <c:pt idx="2">
                  <c:v>Satisfaisant 
(C)</c:v>
                </c:pt>
                <c:pt idx="3">
                  <c:v>Mauvais 
(D)</c:v>
                </c:pt>
                <c:pt idx="4">
                  <c:v>Très mauvais 
(E)</c:v>
                </c:pt>
                <c:pt idx="5">
                  <c:v>Inconnu</c:v>
                </c:pt>
              </c:strCache>
            </c:strRef>
          </c:cat>
          <c:val>
            <c:numRef>
              <c:f>'CALCULS Eau potable'!$E$62:$J$62</c:f>
              <c:numCache>
                <c:formatCode>0.0%</c:formatCode>
                <c:ptCount val="6"/>
                <c:pt idx="0">
                  <c:v>0</c:v>
                </c:pt>
                <c:pt idx="1">
                  <c:v>0</c:v>
                </c:pt>
                <c:pt idx="2">
                  <c:v>0</c:v>
                </c:pt>
                <c:pt idx="3">
                  <c:v>0</c:v>
                </c:pt>
                <c:pt idx="4">
                  <c:v>0</c:v>
                </c:pt>
                <c:pt idx="5">
                  <c:v>1</c:v>
                </c:pt>
              </c:numCache>
            </c:numRef>
          </c:val>
          <c:extLst>
            <c:ext xmlns:c16="http://schemas.microsoft.com/office/drawing/2014/chart" uri="{C3380CC4-5D6E-409C-BE32-E72D297353CC}">
              <c16:uniqueId val="{0000000C-661D-4906-AA72-299919AF697F}"/>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chemeClr val="tx2">
                  <a:lumMod val="20000"/>
                  <a:lumOff val="80000"/>
                </a:schemeClr>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7F0F9"/>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23179455509239"/>
          <c:y val="0.11344504141769035"/>
          <c:w val="0.83167701096186508"/>
          <c:h val="0.58952408124535172"/>
        </c:manualLayout>
      </c:layout>
      <c:barChart>
        <c:barDir val="col"/>
        <c:grouping val="clustered"/>
        <c:varyColors val="0"/>
        <c:ser>
          <c:idx val="0"/>
          <c:order val="0"/>
          <c:tx>
            <c:strRef>
              <c:f>'CALCULS Eaux pluviales'!$D$63</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F8BB-4125-A708-7763A96A7E27}"/>
              </c:ext>
            </c:extLst>
          </c:dPt>
          <c:dPt>
            <c:idx val="1"/>
            <c:invertIfNegative val="0"/>
            <c:bubble3D val="0"/>
            <c:spPr>
              <a:solidFill>
                <a:srgbClr val="00B050"/>
              </a:solidFill>
              <a:ln>
                <a:noFill/>
              </a:ln>
              <a:effectLst/>
            </c:spPr>
            <c:extLst>
              <c:ext xmlns:c16="http://schemas.microsoft.com/office/drawing/2014/chart" uri="{C3380CC4-5D6E-409C-BE32-E72D297353CC}">
                <c16:uniqueId val="{00000003-F8BB-4125-A708-7763A96A7E27}"/>
              </c:ext>
            </c:extLst>
          </c:dPt>
          <c:dPt>
            <c:idx val="2"/>
            <c:invertIfNegative val="0"/>
            <c:bubble3D val="0"/>
            <c:spPr>
              <a:solidFill>
                <a:srgbClr val="FFD347"/>
              </a:solidFill>
              <a:ln>
                <a:noFill/>
              </a:ln>
              <a:effectLst/>
            </c:spPr>
            <c:extLst>
              <c:ext xmlns:c16="http://schemas.microsoft.com/office/drawing/2014/chart" uri="{C3380CC4-5D6E-409C-BE32-E72D297353CC}">
                <c16:uniqueId val="{00000005-F8BB-4125-A708-7763A96A7E27}"/>
              </c:ext>
            </c:extLst>
          </c:dPt>
          <c:dPt>
            <c:idx val="3"/>
            <c:invertIfNegative val="0"/>
            <c:bubble3D val="0"/>
            <c:spPr>
              <a:solidFill>
                <a:srgbClr val="F98007"/>
              </a:solidFill>
              <a:ln>
                <a:noFill/>
              </a:ln>
              <a:effectLst/>
            </c:spPr>
            <c:extLst>
              <c:ext xmlns:c16="http://schemas.microsoft.com/office/drawing/2014/chart" uri="{C3380CC4-5D6E-409C-BE32-E72D297353CC}">
                <c16:uniqueId val="{00000007-F8BB-4125-A708-7763A96A7E27}"/>
              </c:ext>
            </c:extLst>
          </c:dPt>
          <c:dPt>
            <c:idx val="4"/>
            <c:invertIfNegative val="0"/>
            <c:bubble3D val="0"/>
            <c:spPr>
              <a:solidFill>
                <a:srgbClr val="C00000"/>
              </a:solidFill>
              <a:ln>
                <a:noFill/>
              </a:ln>
              <a:effectLst/>
            </c:spPr>
            <c:extLst>
              <c:ext xmlns:c16="http://schemas.microsoft.com/office/drawing/2014/chart" uri="{C3380CC4-5D6E-409C-BE32-E72D297353CC}">
                <c16:uniqueId val="{00000009-F8BB-4125-A708-7763A96A7E27}"/>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F8BB-4125-A708-7763A96A7E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pluviales'!$E$60:$J$60</c:f>
              <c:strCache>
                <c:ptCount val="6"/>
                <c:pt idx="0">
                  <c:v>Très bon 
(A)</c:v>
                </c:pt>
                <c:pt idx="1">
                  <c:v>Bon 
(B)</c:v>
                </c:pt>
                <c:pt idx="2">
                  <c:v>Satisfaisant 
(C)</c:v>
                </c:pt>
                <c:pt idx="3">
                  <c:v>Mauvais 
(D)</c:v>
                </c:pt>
                <c:pt idx="4">
                  <c:v>Très mauvais 
(E)</c:v>
                </c:pt>
                <c:pt idx="5">
                  <c:v>Inconnu</c:v>
                </c:pt>
              </c:strCache>
            </c:strRef>
          </c:cat>
          <c:val>
            <c:numRef>
              <c:f>'CALCULS Eaux pluviales'!$E$63:$J$63</c:f>
              <c:numCache>
                <c:formatCode>0.0%</c:formatCode>
                <c:ptCount val="6"/>
                <c:pt idx="0">
                  <c:v>0</c:v>
                </c:pt>
                <c:pt idx="1">
                  <c:v>0</c:v>
                </c:pt>
                <c:pt idx="2">
                  <c:v>0</c:v>
                </c:pt>
                <c:pt idx="3">
                  <c:v>0</c:v>
                </c:pt>
                <c:pt idx="4">
                  <c:v>0</c:v>
                </c:pt>
                <c:pt idx="5">
                  <c:v>1</c:v>
                </c:pt>
              </c:numCache>
            </c:numRef>
          </c:val>
          <c:extLst>
            <c:ext xmlns:c16="http://schemas.microsoft.com/office/drawing/2014/chart" uri="{C3380CC4-5D6E-409C-BE32-E72D297353CC}">
              <c16:uniqueId val="{0000000C-F8BB-4125-A708-7763A96A7E27}"/>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8EBCD"/>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F7FBF7"/>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23179455509239"/>
          <c:y val="0.11344504141769035"/>
          <c:w val="0.83167701096186508"/>
          <c:h val="0.58952408124535172"/>
        </c:manualLayout>
      </c:layout>
      <c:barChart>
        <c:barDir val="col"/>
        <c:grouping val="clustered"/>
        <c:varyColors val="0"/>
        <c:ser>
          <c:idx val="0"/>
          <c:order val="0"/>
          <c:tx>
            <c:strRef>
              <c:f>'CALCULS Eaux pluviales'!$D$64</c:f>
              <c:strCache>
                <c:ptCount val="1"/>
                <c:pt idx="0">
                  <c:v>PONCTUEL</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A426-456E-AF92-A89DA0777A85}"/>
              </c:ext>
            </c:extLst>
          </c:dPt>
          <c:dPt>
            <c:idx val="1"/>
            <c:invertIfNegative val="0"/>
            <c:bubble3D val="0"/>
            <c:spPr>
              <a:solidFill>
                <a:srgbClr val="00B050"/>
              </a:solidFill>
              <a:ln>
                <a:noFill/>
              </a:ln>
              <a:effectLst/>
            </c:spPr>
            <c:extLst>
              <c:ext xmlns:c16="http://schemas.microsoft.com/office/drawing/2014/chart" uri="{C3380CC4-5D6E-409C-BE32-E72D297353CC}">
                <c16:uniqueId val="{00000003-A426-456E-AF92-A89DA0777A85}"/>
              </c:ext>
            </c:extLst>
          </c:dPt>
          <c:dPt>
            <c:idx val="2"/>
            <c:invertIfNegative val="0"/>
            <c:bubble3D val="0"/>
            <c:spPr>
              <a:solidFill>
                <a:srgbClr val="FFD347"/>
              </a:solidFill>
              <a:ln>
                <a:noFill/>
              </a:ln>
              <a:effectLst/>
            </c:spPr>
            <c:extLst>
              <c:ext xmlns:c16="http://schemas.microsoft.com/office/drawing/2014/chart" uri="{C3380CC4-5D6E-409C-BE32-E72D297353CC}">
                <c16:uniqueId val="{00000005-A426-456E-AF92-A89DA0777A85}"/>
              </c:ext>
            </c:extLst>
          </c:dPt>
          <c:dPt>
            <c:idx val="3"/>
            <c:invertIfNegative val="0"/>
            <c:bubble3D val="0"/>
            <c:spPr>
              <a:solidFill>
                <a:srgbClr val="F98007"/>
              </a:solidFill>
              <a:ln>
                <a:noFill/>
              </a:ln>
              <a:effectLst/>
            </c:spPr>
            <c:extLst>
              <c:ext xmlns:c16="http://schemas.microsoft.com/office/drawing/2014/chart" uri="{C3380CC4-5D6E-409C-BE32-E72D297353CC}">
                <c16:uniqueId val="{00000007-A426-456E-AF92-A89DA0777A85}"/>
              </c:ext>
            </c:extLst>
          </c:dPt>
          <c:dPt>
            <c:idx val="4"/>
            <c:invertIfNegative val="0"/>
            <c:bubble3D val="0"/>
            <c:spPr>
              <a:solidFill>
                <a:srgbClr val="C00000"/>
              </a:solidFill>
              <a:ln>
                <a:noFill/>
              </a:ln>
              <a:effectLst/>
            </c:spPr>
            <c:extLst>
              <c:ext xmlns:c16="http://schemas.microsoft.com/office/drawing/2014/chart" uri="{C3380CC4-5D6E-409C-BE32-E72D297353CC}">
                <c16:uniqueId val="{00000009-A426-456E-AF92-A89DA0777A85}"/>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A426-456E-AF92-A89DA0777A8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pluviales'!$E$60:$J$60</c:f>
              <c:strCache>
                <c:ptCount val="6"/>
                <c:pt idx="0">
                  <c:v>Très bon 
(A)</c:v>
                </c:pt>
                <c:pt idx="1">
                  <c:v>Bon 
(B)</c:v>
                </c:pt>
                <c:pt idx="2">
                  <c:v>Satisfaisant 
(C)</c:v>
                </c:pt>
                <c:pt idx="3">
                  <c:v>Mauvais 
(D)</c:v>
                </c:pt>
                <c:pt idx="4">
                  <c:v>Très mauvais 
(E)</c:v>
                </c:pt>
                <c:pt idx="5">
                  <c:v>Inconnu</c:v>
                </c:pt>
              </c:strCache>
            </c:strRef>
          </c:cat>
          <c:val>
            <c:numRef>
              <c:f>'CALCULS Eaux pluviales'!$E$64:$J$64</c:f>
              <c:numCache>
                <c:formatCode>0.0%</c:formatCode>
                <c:ptCount val="6"/>
                <c:pt idx="0">
                  <c:v>0</c:v>
                </c:pt>
                <c:pt idx="1">
                  <c:v>0</c:v>
                </c:pt>
                <c:pt idx="2">
                  <c:v>0</c:v>
                </c:pt>
                <c:pt idx="3">
                  <c:v>0</c:v>
                </c:pt>
                <c:pt idx="4">
                  <c:v>0</c:v>
                </c:pt>
                <c:pt idx="5">
                  <c:v>1</c:v>
                </c:pt>
              </c:numCache>
            </c:numRef>
          </c:val>
          <c:extLst>
            <c:ext xmlns:c16="http://schemas.microsoft.com/office/drawing/2014/chart" uri="{C3380CC4-5D6E-409C-BE32-E72D297353CC}">
              <c16:uniqueId val="{0000000C-A426-456E-AF92-A89DA0777A85}"/>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8EBCD"/>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F7FBF7"/>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5412300432523"/>
          <c:y val="6.3291139240506333E-2"/>
          <c:w val="0.83578104056560576"/>
          <c:h val="0.65456423954072873"/>
        </c:manualLayout>
      </c:layout>
      <c:barChart>
        <c:barDir val="col"/>
        <c:grouping val="stacked"/>
        <c:varyColors val="0"/>
        <c:ser>
          <c:idx val="0"/>
          <c:order val="0"/>
          <c:tx>
            <c:strRef>
              <c:f>'CALCULS Eaux pluviales'!$D$181</c:f>
              <c:strCache>
                <c:ptCount val="1"/>
                <c:pt idx="0">
                  <c:v>Exploitation</c:v>
                </c:pt>
              </c:strCache>
            </c:strRef>
          </c:tx>
          <c:spPr>
            <a:solidFill>
              <a:srgbClr val="00B0F0"/>
            </a:solidFill>
            <a:ln>
              <a:noFill/>
            </a:ln>
            <a:effectLst/>
          </c:spPr>
          <c:invertIfNegative val="0"/>
          <c:cat>
            <c:numRef>
              <c:f>'CALCULS Eaux pluviales'!$E$179:$N$179</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Eaux pluviales'!$E$181:$N$181</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89C-4136-8041-37718C8E58CB}"/>
            </c:ext>
          </c:extLst>
        </c:ser>
        <c:ser>
          <c:idx val="3"/>
          <c:order val="1"/>
          <c:tx>
            <c:strRef>
              <c:f>'CALCULS Eaux pluviales'!$D$182</c:f>
              <c:strCache>
                <c:ptCount val="1"/>
                <c:pt idx="0">
                  <c:v>Entretien</c:v>
                </c:pt>
              </c:strCache>
            </c:strRef>
          </c:tx>
          <c:spPr>
            <a:solidFill>
              <a:srgbClr val="0070C0"/>
            </a:solidFill>
            <a:ln>
              <a:noFill/>
            </a:ln>
            <a:effectLst/>
          </c:spPr>
          <c:invertIfNegative val="0"/>
          <c:cat>
            <c:numRef>
              <c:f>'CALCULS Eaux pluviales'!$E$179:$N$179</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Eaux pluviales'!$E$182:$N$182</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989C-4136-8041-37718C8E58CB}"/>
            </c:ext>
          </c:extLst>
        </c:ser>
        <c:ser>
          <c:idx val="4"/>
          <c:order val="2"/>
          <c:tx>
            <c:strRef>
              <c:f>'CALCULS Eaux pluviales'!$D$183</c:f>
              <c:strCache>
                <c:ptCount val="1"/>
                <c:pt idx="0">
                  <c:v>Renouvellement</c:v>
                </c:pt>
              </c:strCache>
            </c:strRef>
          </c:tx>
          <c:spPr>
            <a:solidFill>
              <a:schemeClr val="accent4"/>
            </a:solidFill>
            <a:ln>
              <a:noFill/>
            </a:ln>
            <a:effectLst/>
          </c:spPr>
          <c:invertIfNegative val="0"/>
          <c:val>
            <c:numRef>
              <c:f>'CALCULS Eaux pluviales'!$E$183:$N$183</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989C-4136-8041-37718C8E58CB}"/>
            </c:ext>
          </c:extLst>
        </c:ser>
        <c:ser>
          <c:idx val="5"/>
          <c:order val="3"/>
          <c:tx>
            <c:strRef>
              <c:f>'CALCULS Eaux pluviales'!$D$184</c:f>
              <c:strCache>
                <c:ptCount val="1"/>
                <c:pt idx="0">
                  <c:v>Acquisition</c:v>
                </c:pt>
              </c:strCache>
            </c:strRef>
          </c:tx>
          <c:spPr>
            <a:solidFill>
              <a:schemeClr val="accent2"/>
            </a:solidFill>
            <a:ln>
              <a:noFill/>
            </a:ln>
            <a:effectLst/>
          </c:spPr>
          <c:invertIfNegative val="0"/>
          <c:val>
            <c:numRef>
              <c:f>'CALCULS Eaux pluviales'!$E$184:$N$184</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989C-4136-8041-37718C8E58CB}"/>
            </c:ext>
          </c:extLst>
        </c:ser>
        <c:ser>
          <c:idx val="6"/>
          <c:order val="4"/>
          <c:tx>
            <c:strRef>
              <c:f>'CALCULS Eaux pluviales'!$D$185</c:f>
              <c:strCache>
                <c:ptCount val="1"/>
                <c:pt idx="0">
                  <c:v>Disposition</c:v>
                </c:pt>
              </c:strCache>
            </c:strRef>
          </c:tx>
          <c:spPr>
            <a:solidFill>
              <a:schemeClr val="accent4">
                <a:lumMod val="50000"/>
              </a:schemeClr>
            </a:solidFill>
            <a:ln>
              <a:noFill/>
            </a:ln>
            <a:effectLst/>
          </c:spPr>
          <c:invertIfNegative val="0"/>
          <c:val>
            <c:numRef>
              <c:f>'CALCULS Eaux pluviales'!$E$185:$N$185</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989C-4136-8041-37718C8E58CB}"/>
            </c:ext>
          </c:extLst>
        </c:ser>
        <c:dLbls>
          <c:showLegendKey val="0"/>
          <c:showVal val="0"/>
          <c:showCatName val="0"/>
          <c:showSerName val="0"/>
          <c:showPercent val="0"/>
          <c:showBubbleSize val="0"/>
        </c:dLbls>
        <c:gapWidth val="219"/>
        <c:overlap val="100"/>
        <c:axId val="1704784576"/>
        <c:axId val="1704796224"/>
      </c:barChart>
      <c:lineChart>
        <c:grouping val="standard"/>
        <c:varyColors val="0"/>
        <c:ser>
          <c:idx val="1"/>
          <c:order val="5"/>
          <c:tx>
            <c:strRef>
              <c:f>'CALCULS Eaux pluviales'!$D$180</c:f>
              <c:strCache>
                <c:ptCount val="1"/>
                <c:pt idx="0">
                  <c:v>Budget actuel</c:v>
                </c:pt>
              </c:strCache>
            </c:strRef>
          </c:tx>
          <c:spPr>
            <a:ln w="22225" cap="rnd">
              <a:solidFill>
                <a:schemeClr val="tx2">
                  <a:lumMod val="50000"/>
                </a:schemeClr>
              </a:solidFill>
              <a:round/>
            </a:ln>
            <a:effectLst/>
          </c:spPr>
          <c:marker>
            <c:symbol val="none"/>
          </c:marker>
          <c:val>
            <c:numRef>
              <c:f>'CALCULS Eaux pluviales'!$E$180:$N$180</c:f>
              <c:numCache>
                <c:formatCode>#\ ##0\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5-989C-4136-8041-37718C8E58CB}"/>
            </c:ext>
          </c:extLst>
        </c:ser>
        <c:dLbls>
          <c:showLegendKey val="0"/>
          <c:showVal val="0"/>
          <c:showCatName val="0"/>
          <c:showSerName val="0"/>
          <c:showPercent val="0"/>
          <c:showBubbleSize val="0"/>
        </c:dLbls>
        <c:marker val="1"/>
        <c:smooth val="0"/>
        <c:axId val="1704784576"/>
        <c:axId val="1704796224"/>
      </c:lineChart>
      <c:catAx>
        <c:axId val="1704784576"/>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96224"/>
        <c:crosses val="autoZero"/>
        <c:auto val="1"/>
        <c:lblAlgn val="ctr"/>
        <c:lblOffset val="100"/>
        <c:noMultiLvlLbl val="0"/>
      </c:catAx>
      <c:valAx>
        <c:axId val="1704796224"/>
        <c:scaling>
          <c:orientation val="minMax"/>
        </c:scaling>
        <c:delete val="0"/>
        <c:axPos val="l"/>
        <c:majorGridlines>
          <c:spPr>
            <a:ln w="9525" cap="flat" cmpd="sng" algn="ctr">
              <a:solidFill>
                <a:schemeClr val="tx1">
                  <a:lumMod val="15000"/>
                  <a:lumOff val="85000"/>
                </a:schemeClr>
              </a:solidFill>
              <a:round/>
            </a:ln>
            <a:effectLst/>
          </c:spPr>
        </c:majorGridlines>
        <c:numFmt formatCode="#\ ##0\ &quot;$&quot;" sourceLinked="1"/>
        <c:majorTickMark val="none"/>
        <c:minorTickMark val="none"/>
        <c:tickLblPos val="nextTo"/>
        <c:spPr>
          <a:noFill/>
          <a:ln>
            <a:solidFill>
              <a:schemeClr val="tx2">
                <a:lumMod val="50000"/>
              </a:schemeClr>
            </a:solidFill>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84576"/>
        <c:crosses val="autoZero"/>
        <c:crossBetween val="between"/>
      </c:valAx>
      <c:spPr>
        <a:noFill/>
        <a:ln>
          <a:noFill/>
        </a:ln>
        <a:effectLst/>
      </c:spPr>
    </c:plotArea>
    <c:legend>
      <c:legendPos val="b"/>
      <c:layout>
        <c:manualLayout>
          <c:xMode val="edge"/>
          <c:yMode val="edge"/>
          <c:x val="1.3843061293421619E-2"/>
          <c:y val="0.83343590885061625"/>
          <c:w val="0.97218424740172971"/>
          <c:h val="0.119226510113797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918630941630003E-2"/>
          <c:y val="0.14676199255389122"/>
          <c:w val="0.88759273840769903"/>
          <c:h val="0.54036745406824149"/>
        </c:manualLayout>
      </c:layout>
      <c:barChart>
        <c:barDir val="bar"/>
        <c:grouping val="percentStacked"/>
        <c:varyColors val="0"/>
        <c:ser>
          <c:idx val="0"/>
          <c:order val="0"/>
          <c:tx>
            <c:strRef>
              <c:f>'CALCULS Eaux pluviales'!$D$239</c:f>
              <c:strCache>
                <c:ptCount val="1"/>
                <c:pt idx="0">
                  <c:v>Exploitation</c:v>
                </c:pt>
              </c:strCache>
            </c:strRef>
          </c:tx>
          <c:spPr>
            <a:solidFill>
              <a:srgbClr val="00B0F0"/>
            </a:solidFill>
            <a:ln>
              <a:noFill/>
            </a:ln>
            <a:effectLst/>
          </c:spPr>
          <c:invertIfNegative val="0"/>
          <c:dLbls>
            <c:dLbl>
              <c:idx val="0"/>
              <c:layout>
                <c:manualLayout>
                  <c:x val="-4.5896467017288479E-2"/>
                  <c:y val="-0.27455676882464897"/>
                </c:manualLayout>
              </c:layout>
              <c:tx>
                <c:rich>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fld id="{50DF3690-E565-4AF5-A0C2-71FCC2E2FEC9}" type="CELLRANGE">
                      <a:rPr lang="en-US"/>
                      <a:pPr algn="l">
                        <a:defRPr sz="1200">
                          <a:latin typeface="Bahnschrift Light SemiCondensed" panose="020B0502040204020203" pitchFamily="34" charset="0"/>
                        </a:defRPr>
                      </a:pPr>
                      <a:t>[PLAGECELL]</a:t>
                    </a:fld>
                    <a:endParaRPr lang="fr-CA"/>
                  </a:p>
                </c:rich>
              </c:tx>
              <c:spPr>
                <a:noFill/>
                <a:ln>
                  <a:noFill/>
                </a:ln>
                <a:effectLst/>
              </c:spPr>
              <c:txPr>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8.2988857614294198E-2"/>
                      <c:h val="0.20177816355632711"/>
                    </c:manualLayout>
                  </c15:layout>
                  <c15:dlblFieldTable/>
                  <c15:showDataLabelsRange val="1"/>
                </c:ext>
                <c:ext xmlns:c16="http://schemas.microsoft.com/office/drawing/2014/chart" uri="{C3380CC4-5D6E-409C-BE32-E72D297353CC}">
                  <c16:uniqueId val="{00000000-8B39-4C94-A51F-4604298AD935}"/>
                </c:ext>
              </c:extLst>
            </c:dLbl>
            <c:spPr>
              <a:noFill/>
              <a:ln>
                <a:noFill/>
              </a:ln>
              <a:effectLst/>
            </c:spPr>
            <c:txPr>
              <a:bodyPr rot="0" spcFirstLastPara="1" vertOverflow="ellipsis" vert="horz" wrap="square" anchor="ctr" anchorCtr="1"/>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Eaux pluviales'!$O$239</c:f>
              <c:numCache>
                <c:formatCode>#\ ##0\ "$"</c:formatCode>
                <c:ptCount val="1"/>
                <c:pt idx="0">
                  <c:v>0</c:v>
                </c:pt>
              </c:numCache>
            </c:numRef>
          </c:val>
          <c:extLst>
            <c:ext xmlns:c15="http://schemas.microsoft.com/office/drawing/2012/chart" uri="{02D57815-91ED-43cb-92C2-25804820EDAC}">
              <c15:datalabelsRange>
                <c15:f>'CALCULS Eaux pluviales'!$P$239:$P$243</c15:f>
                <c15:dlblRangeCache>
                  <c:ptCount val="5"/>
                </c15:dlblRangeCache>
              </c15:datalabelsRange>
            </c:ext>
            <c:ext xmlns:c16="http://schemas.microsoft.com/office/drawing/2014/chart" uri="{C3380CC4-5D6E-409C-BE32-E72D297353CC}">
              <c16:uniqueId val="{00000001-8B39-4C94-A51F-4604298AD935}"/>
            </c:ext>
          </c:extLst>
        </c:ser>
        <c:ser>
          <c:idx val="1"/>
          <c:order val="1"/>
          <c:tx>
            <c:strRef>
              <c:f>'CALCULS Eaux pluviales'!$D$240</c:f>
              <c:strCache>
                <c:ptCount val="1"/>
                <c:pt idx="0">
                  <c:v>Entretien</c:v>
                </c:pt>
              </c:strCache>
            </c:strRef>
          </c:tx>
          <c:spPr>
            <a:solidFill>
              <a:srgbClr val="0070C0"/>
            </a:solidFill>
            <a:ln>
              <a:noFill/>
            </a:ln>
            <a:effectLst/>
          </c:spPr>
          <c:invertIfNegative val="0"/>
          <c:dLbls>
            <c:dLbl>
              <c:idx val="0"/>
              <c:layout>
                <c:manualLayout>
                  <c:x val="-0.13204909599538864"/>
                  <c:y val="-0.28247373024492428"/>
                </c:manualLayout>
              </c:layout>
              <c:tx>
                <c:rich>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fld id="{D50523B4-D300-4712-A0F0-9BE80BFCB898}" type="CELLRANGE">
                      <a:rPr lang="en-US"/>
                      <a:pPr algn="l">
                        <a:defRPr sz="1200">
                          <a:latin typeface="Bahnschrift Light SemiCondensed" panose="020B0502040204020203" pitchFamily="34" charset="0"/>
                        </a:defRPr>
                      </a:pPr>
                      <a:t>[PLAGECELL]</a:t>
                    </a:fld>
                    <a:endParaRPr lang="fr-CA"/>
                  </a:p>
                </c:rich>
              </c:tx>
              <c:spPr>
                <a:noFill/>
                <a:ln>
                  <a:noFill/>
                </a:ln>
                <a:effectLst/>
              </c:spPr>
              <c:txPr>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8.5958066242947148E-2"/>
                      <c:h val="0.20177816355632711"/>
                    </c:manualLayout>
                  </c15:layout>
                  <c15:dlblFieldTable/>
                  <c15:showDataLabelsRange val="1"/>
                </c:ext>
                <c:ext xmlns:c16="http://schemas.microsoft.com/office/drawing/2014/chart" uri="{C3380CC4-5D6E-409C-BE32-E72D297353CC}">
                  <c16:uniqueId val="{00000002-8B39-4C94-A51F-4604298AD935}"/>
                </c:ext>
              </c:extLst>
            </c:dLbl>
            <c:spPr>
              <a:noFill/>
              <a:ln>
                <a:noFill/>
              </a:ln>
              <a:effectLst/>
            </c:spPr>
            <c:txPr>
              <a:bodyPr rot="0" spcFirstLastPara="1" vertOverflow="ellipsis" vert="horz" wrap="square" anchor="ctr" anchorCtr="1"/>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inBase"/>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Eaux pluviales'!$O$240</c:f>
              <c:numCache>
                <c:formatCode>#\ ##0\ "$"</c:formatCode>
                <c:ptCount val="1"/>
                <c:pt idx="0">
                  <c:v>0</c:v>
                </c:pt>
              </c:numCache>
            </c:numRef>
          </c:val>
          <c:extLst>
            <c:ext xmlns:c15="http://schemas.microsoft.com/office/drawing/2012/chart" uri="{02D57815-91ED-43cb-92C2-25804820EDAC}">
              <c15:datalabelsRange>
                <c15:f>'CALCULS Eaux pluviales'!$P$240</c15:f>
                <c15:dlblRangeCache>
                  <c:ptCount val="1"/>
                </c15:dlblRangeCache>
              </c15:datalabelsRange>
            </c:ext>
            <c:ext xmlns:c16="http://schemas.microsoft.com/office/drawing/2014/chart" uri="{C3380CC4-5D6E-409C-BE32-E72D297353CC}">
              <c16:uniqueId val="{00000003-8B39-4C94-A51F-4604298AD935}"/>
            </c:ext>
          </c:extLst>
        </c:ser>
        <c:ser>
          <c:idx val="2"/>
          <c:order val="2"/>
          <c:tx>
            <c:strRef>
              <c:f>'CALCULS Eaux pluviales'!$D$241</c:f>
              <c:strCache>
                <c:ptCount val="1"/>
                <c:pt idx="0">
                  <c:v>Renouvellement</c:v>
                </c:pt>
              </c:strCache>
            </c:strRef>
          </c:tx>
          <c:spPr>
            <a:solidFill>
              <a:schemeClr val="accent4"/>
            </a:solidFill>
            <a:ln>
              <a:noFill/>
            </a:ln>
            <a:effectLst/>
          </c:spPr>
          <c:invertIfNegative val="0"/>
          <c:dLbls>
            <c:dLbl>
              <c:idx val="0"/>
              <c:layout>
                <c:manualLayout>
                  <c:x val="-5.9833490403799323E-2"/>
                  <c:y val="-0.28856934910310766"/>
                </c:manualLayout>
              </c:layout>
              <c:tx>
                <c:rich>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fld id="{9B35CA72-3F2D-4A94-9F11-8AF115C4803C}" type="CELLRANGE">
                      <a:rPr lang="en-US"/>
                      <a:pPr algn="l">
                        <a:defRPr sz="1200">
                          <a:latin typeface="Bahnschrift Light SemiCondensed" panose="020B0502040204020203" pitchFamily="34" charset="0"/>
                        </a:defRPr>
                      </a:pPr>
                      <a:t>[PLAGECELL]</a:t>
                    </a:fld>
                    <a:endParaRPr lang="fr-CA"/>
                  </a:p>
                </c:rich>
              </c:tx>
              <c:spPr>
                <a:noFill/>
                <a:ln>
                  <a:noFill/>
                </a:ln>
                <a:effectLst/>
              </c:spPr>
              <c:txPr>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0"/>
              <c:showBubbleSize val="0"/>
              <c:separator>; </c:separator>
              <c:extLst>
                <c:ext xmlns:c15="http://schemas.microsoft.com/office/drawing/2012/chart" uri="{CE6537A1-D6FC-4f65-9D91-7224C49458BB}">
                  <c15:layout>
                    <c:manualLayout>
                      <c:w val="8.0727460706621318E-2"/>
                      <c:h val="0.20177816355632711"/>
                    </c:manualLayout>
                  </c15:layout>
                  <c15:dlblFieldTable/>
                  <c15:showDataLabelsRange val="1"/>
                </c:ext>
                <c:ext xmlns:c16="http://schemas.microsoft.com/office/drawing/2014/chart" uri="{C3380CC4-5D6E-409C-BE32-E72D297353CC}">
                  <c16:uniqueId val="{00000004-8B39-4C94-A51F-4604298AD935}"/>
                </c:ext>
              </c:extLst>
            </c:dLbl>
            <c:spPr>
              <a:noFill/>
              <a:ln>
                <a:noFill/>
              </a:ln>
              <a:effectLst/>
            </c:spPr>
            <c:txPr>
              <a:bodyPr rot="0" spcFirstLastPara="1" vertOverflow="ellipsis" vert="horz" wrap="square" anchor="ctr" anchorCtr="1"/>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Eaux pluviales'!$O$241</c:f>
              <c:numCache>
                <c:formatCode>#\ ##0\ "$"</c:formatCode>
                <c:ptCount val="1"/>
                <c:pt idx="0">
                  <c:v>0</c:v>
                </c:pt>
              </c:numCache>
            </c:numRef>
          </c:val>
          <c:extLst>
            <c:ext xmlns:c15="http://schemas.microsoft.com/office/drawing/2012/chart" uri="{02D57815-91ED-43cb-92C2-25804820EDAC}">
              <c15:datalabelsRange>
                <c15:f>'CALCULS Eaux pluviales'!$P$241</c15:f>
                <c15:dlblRangeCache>
                  <c:ptCount val="1"/>
                </c15:dlblRangeCache>
              </c15:datalabelsRange>
            </c:ext>
            <c:ext xmlns:c16="http://schemas.microsoft.com/office/drawing/2014/chart" uri="{C3380CC4-5D6E-409C-BE32-E72D297353CC}">
              <c16:uniqueId val="{00000005-8B39-4C94-A51F-4604298AD935}"/>
            </c:ext>
          </c:extLst>
        </c:ser>
        <c:ser>
          <c:idx val="3"/>
          <c:order val="3"/>
          <c:tx>
            <c:strRef>
              <c:f>'CALCULS Eaux pluviales'!$D$242</c:f>
              <c:strCache>
                <c:ptCount val="1"/>
                <c:pt idx="0">
                  <c:v>Acquisition</c:v>
                </c:pt>
              </c:strCache>
            </c:strRef>
          </c:tx>
          <c:spPr>
            <a:solidFill>
              <a:schemeClr val="accent2"/>
            </a:solidFill>
            <a:ln>
              <a:noFill/>
            </a:ln>
            <a:effectLst/>
          </c:spPr>
          <c:invertIfNegative val="0"/>
          <c:dLbls>
            <c:dLbl>
              <c:idx val="0"/>
              <c:layout>
                <c:manualLayout>
                  <c:x val="-5.7183559639983901E-2"/>
                  <c:y val="-0.28575376938378322"/>
                </c:manualLayout>
              </c:layout>
              <c:tx>
                <c:rich>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fld id="{3BA8067D-62E6-4F52-8780-64DDD8FF4AD4}" type="CELLRANGE">
                      <a:rPr lang="en-US"/>
                      <a:pPr algn="l">
                        <a:defRPr sz="1200">
                          <a:latin typeface="Bahnschrift Light SemiCondensed" panose="020B0502040204020203" pitchFamily="34" charset="0"/>
                        </a:defRPr>
                      </a:pPr>
                      <a:t>[PLAGECELL]</a:t>
                    </a:fld>
                    <a:endParaRPr lang="fr-CA"/>
                  </a:p>
                </c:rich>
              </c:tx>
              <c:spPr>
                <a:noFill/>
                <a:ln>
                  <a:noFill/>
                </a:ln>
                <a:effectLst/>
              </c:spPr>
              <c:txPr>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8.2016695759265373E-2"/>
                      <c:h val="0.20177816355632711"/>
                    </c:manualLayout>
                  </c15:layout>
                  <c15:dlblFieldTable/>
                  <c15:showDataLabelsRange val="1"/>
                </c:ext>
                <c:ext xmlns:c16="http://schemas.microsoft.com/office/drawing/2014/chart" uri="{C3380CC4-5D6E-409C-BE32-E72D297353CC}">
                  <c16:uniqueId val="{00000006-8B39-4C94-A51F-4604298AD935}"/>
                </c:ext>
              </c:extLst>
            </c:dLbl>
            <c:spPr>
              <a:noFill/>
              <a:ln>
                <a:noFill/>
              </a:ln>
              <a:effectLst/>
            </c:spPr>
            <c:txPr>
              <a:bodyPr rot="0" spcFirstLastPara="1" vertOverflow="ellipsis" vert="horz" wrap="square" anchor="ctr" anchorCtr="1"/>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Eaux pluviales'!$O$242</c:f>
              <c:numCache>
                <c:formatCode>#\ ##0\ "$"</c:formatCode>
                <c:ptCount val="1"/>
                <c:pt idx="0">
                  <c:v>0</c:v>
                </c:pt>
              </c:numCache>
            </c:numRef>
          </c:val>
          <c:extLst>
            <c:ext xmlns:c15="http://schemas.microsoft.com/office/drawing/2012/chart" uri="{02D57815-91ED-43cb-92C2-25804820EDAC}">
              <c15:datalabelsRange>
                <c15:f>'CALCULS Eaux pluviales'!$P$241</c15:f>
                <c15:dlblRangeCache>
                  <c:ptCount val="1"/>
                </c15:dlblRangeCache>
              </c15:datalabelsRange>
            </c:ext>
            <c:ext xmlns:c16="http://schemas.microsoft.com/office/drawing/2014/chart" uri="{C3380CC4-5D6E-409C-BE32-E72D297353CC}">
              <c16:uniqueId val="{00000007-8B39-4C94-A51F-4604298AD935}"/>
            </c:ext>
          </c:extLst>
        </c:ser>
        <c:ser>
          <c:idx val="4"/>
          <c:order val="4"/>
          <c:tx>
            <c:strRef>
              <c:f>'CALCULS Eaux pluviales'!$D$243</c:f>
              <c:strCache>
                <c:ptCount val="1"/>
                <c:pt idx="0">
                  <c:v>Disposition</c:v>
                </c:pt>
              </c:strCache>
            </c:strRef>
          </c:tx>
          <c:spPr>
            <a:solidFill>
              <a:schemeClr val="accent4">
                <a:lumMod val="50000"/>
              </a:schemeClr>
            </a:solidFill>
            <a:ln>
              <a:noFill/>
            </a:ln>
            <a:effectLst/>
          </c:spPr>
          <c:invertIfNegative val="0"/>
          <c:dLbls>
            <c:dLbl>
              <c:idx val="0"/>
              <c:layout>
                <c:manualLayout>
                  <c:x val="2.9097974416886933E-2"/>
                  <c:y val="-0.2795518340414031"/>
                </c:manualLayout>
              </c:layout>
              <c:tx>
                <c:rich>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fld id="{17A10F28-DEA5-4D74-A12D-F1CD5B9AD37D}" type="CELLRANGE">
                      <a:rPr lang="en-US"/>
                      <a:pPr algn="l">
                        <a:defRPr sz="1200">
                          <a:latin typeface="Bahnschrift Light SemiCondensed" panose="020B0502040204020203" pitchFamily="34" charset="0"/>
                        </a:defRPr>
                      </a:pPr>
                      <a:t>[PLAGECELL]</a:t>
                    </a:fld>
                    <a:endParaRPr lang="fr-CA"/>
                  </a:p>
                </c:rich>
              </c:tx>
              <c:spPr>
                <a:noFill/>
                <a:ln>
                  <a:noFill/>
                </a:ln>
                <a:effectLst/>
              </c:spPr>
              <c:txPr>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7.6076808869525656E-2"/>
                      <c:h val="0.22277553888441107"/>
                    </c:manualLayout>
                  </c15:layout>
                  <c15:dlblFieldTable/>
                  <c15:showDataLabelsRange val="1"/>
                </c:ext>
                <c:ext xmlns:c16="http://schemas.microsoft.com/office/drawing/2014/chart" uri="{C3380CC4-5D6E-409C-BE32-E72D297353CC}">
                  <c16:uniqueId val="{00000008-8B39-4C94-A51F-4604298AD935}"/>
                </c:ext>
              </c:extLst>
            </c:dLbl>
            <c:spPr>
              <a:noFill/>
              <a:ln>
                <a:noFill/>
              </a:ln>
              <a:effectLst/>
            </c:spPr>
            <c:txPr>
              <a:bodyPr rot="0" spcFirstLastPara="1" vertOverflow="ellipsis" vert="horz" wrap="square" anchor="ctr" anchorCtr="1"/>
              <a:lstStyle/>
              <a:p>
                <a:pPr>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inBase"/>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Eaux pluviales'!$O$243</c:f>
              <c:numCache>
                <c:formatCode>#\ ##0\ "$"</c:formatCode>
                <c:ptCount val="1"/>
                <c:pt idx="0">
                  <c:v>0</c:v>
                </c:pt>
              </c:numCache>
            </c:numRef>
          </c:val>
          <c:extLst>
            <c:ext xmlns:c15="http://schemas.microsoft.com/office/drawing/2012/chart" uri="{02D57815-91ED-43cb-92C2-25804820EDAC}">
              <c15:datalabelsRange>
                <c15:f>'CALCULS Eaux pluviales'!$P$243</c15:f>
                <c15:dlblRangeCache>
                  <c:ptCount val="1"/>
                </c15:dlblRangeCache>
              </c15:datalabelsRange>
            </c:ext>
            <c:ext xmlns:c16="http://schemas.microsoft.com/office/drawing/2014/chart" uri="{C3380CC4-5D6E-409C-BE32-E72D297353CC}">
              <c16:uniqueId val="{00000009-8B39-4C94-A51F-4604298AD935}"/>
            </c:ext>
          </c:extLst>
        </c:ser>
        <c:dLbls>
          <c:showLegendKey val="0"/>
          <c:showVal val="0"/>
          <c:showCatName val="0"/>
          <c:showSerName val="0"/>
          <c:showPercent val="0"/>
          <c:showBubbleSize val="0"/>
        </c:dLbls>
        <c:gapWidth val="114"/>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40143432701434E-2"/>
          <c:y val="0.21155511811023625"/>
          <c:w val="0.82257532468778138"/>
          <c:h val="0.76355127484064489"/>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AA76-4243-A890-7E06E830A90D}"/>
              </c:ext>
            </c:extLst>
          </c:dPt>
          <c:dPt>
            <c:idx val="1"/>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3-AA76-4243-A890-7E06E830A90D}"/>
              </c:ext>
            </c:extLst>
          </c:dPt>
          <c:dPt>
            <c:idx val="2"/>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5-AA76-4243-A890-7E06E830A90D}"/>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AA76-4243-A890-7E06E830A90D}"/>
              </c:ext>
            </c:extLst>
          </c:dPt>
          <c:dLbls>
            <c:dLbl>
              <c:idx val="0"/>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76-4243-A890-7E06E830A90D}"/>
                </c:ext>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76-4243-A890-7E06E830A90D}"/>
                </c:ext>
              </c:extLst>
            </c:dLbl>
            <c:dLbl>
              <c:idx val="2"/>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76-4243-A890-7E06E830A90D}"/>
                </c:ext>
              </c:extLst>
            </c:dLbl>
            <c:dLbl>
              <c:idx val="3"/>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A76-4243-A890-7E06E830A90D}"/>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pluviales'!$D$322:$D$325</c:f>
              <c:strCache>
                <c:ptCount val="4"/>
                <c:pt idx="0">
                  <c:v>Budget planifié</c:v>
                </c:pt>
                <c:pt idx="1">
                  <c:v>Coûts prévisionnels</c:v>
                </c:pt>
                <c:pt idx="2">
                  <c:v>Coûts prévisionnels</c:v>
                </c:pt>
                <c:pt idx="3">
                  <c:v>Budget planifié</c:v>
                </c:pt>
              </c:strCache>
            </c:strRef>
          </c:cat>
          <c:val>
            <c:numRef>
              <c:f>'CALCULS Eaux pluviales'!$E$322:$E$325</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AA76-4243-A890-7E06E830A90D}"/>
            </c:ext>
          </c:extLst>
        </c:ser>
        <c:ser>
          <c:idx val="1"/>
          <c:order val="1"/>
          <c:tx>
            <c:strRef>
              <c:f>'CALCULS Eaux pluviales'!$F$321</c:f>
              <c:strCache>
                <c:ptCount val="1"/>
                <c:pt idx="0">
                  <c:v>Déficit de financement</c:v>
                </c:pt>
              </c:strCache>
            </c:strRef>
          </c:tx>
          <c:spPr>
            <a:solidFill>
              <a:srgbClr val="C00000"/>
            </a:solidFill>
            <a:ln>
              <a:solidFill>
                <a:srgbClr val="C00000"/>
              </a:solidFill>
            </a:ln>
            <a:effectLst/>
          </c:spPr>
          <c:invertIfNegative val="0"/>
          <c:dLbls>
            <c:dLbl>
              <c:idx val="0"/>
              <c:layout>
                <c:manualLayout>
                  <c:x val="-2.519943203820834E-2"/>
                  <c:y val="-0.52903777652793404"/>
                </c:manualLayout>
              </c:layout>
              <c:spPr>
                <a:noFill/>
                <a:ln>
                  <a:noFill/>
                </a:ln>
                <a:effectLst/>
              </c:spPr>
              <c:txPr>
                <a:bodyPr rot="0" spcFirstLastPara="1" vertOverflow="ellipsis" vert="horz" wrap="square" lIns="38100" tIns="19050" rIns="38100" bIns="19050" anchor="ctr" anchorCtr="0">
                  <a:noAutofit/>
                </a:bodyPr>
                <a:lstStyle/>
                <a:p>
                  <a:pPr algn="l">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740501699582634"/>
                      <c:h val="0.1919239782527184"/>
                    </c:manualLayout>
                  </c15:layout>
                </c:ext>
                <c:ext xmlns:c16="http://schemas.microsoft.com/office/drawing/2014/chart" uri="{C3380CC4-5D6E-409C-BE32-E72D297353CC}">
                  <c16:uniqueId val="{00000009-AA76-4243-A890-7E06E830A90D}"/>
                </c:ext>
              </c:extLst>
            </c:dLbl>
            <c:dLbl>
              <c:idx val="1"/>
              <c:delete val="1"/>
              <c:extLst>
                <c:ext xmlns:c15="http://schemas.microsoft.com/office/drawing/2012/chart" uri="{CE6537A1-D6FC-4f65-9D91-7224C49458BB}"/>
                <c:ext xmlns:c16="http://schemas.microsoft.com/office/drawing/2014/chart" uri="{C3380CC4-5D6E-409C-BE32-E72D297353CC}">
                  <c16:uniqueId val="{0000000A-AA76-4243-A890-7E06E830A90D}"/>
                </c:ext>
              </c:extLst>
            </c:dLbl>
            <c:dLbl>
              <c:idx val="2"/>
              <c:delete val="1"/>
              <c:extLst>
                <c:ext xmlns:c15="http://schemas.microsoft.com/office/drawing/2012/chart" uri="{CE6537A1-D6FC-4f65-9D91-7224C49458BB}"/>
                <c:ext xmlns:c16="http://schemas.microsoft.com/office/drawing/2014/chart" uri="{C3380CC4-5D6E-409C-BE32-E72D297353CC}">
                  <c16:uniqueId val="{0000000B-AA76-4243-A890-7E06E830A90D}"/>
                </c:ext>
              </c:extLst>
            </c:dLbl>
            <c:dLbl>
              <c:idx val="3"/>
              <c:layout>
                <c:manualLayout>
                  <c:x val="2.8572350587324026E-2"/>
                  <c:y val="-0.51517575928008996"/>
                </c:manualLayout>
              </c:layout>
              <c:spPr>
                <a:noFill/>
                <a:ln>
                  <a:noFill/>
                </a:ln>
                <a:effectLst/>
              </c:spPr>
              <c:txPr>
                <a:bodyPr rot="0" spcFirstLastPara="1" vertOverflow="ellipsis" vert="horz" wrap="square" lIns="38100" tIns="19050" rIns="38100" bIns="19050" anchor="ctr" anchorCtr="0">
                  <a:noAutofit/>
                </a:bodyPr>
                <a:lstStyle/>
                <a:p>
                  <a:pPr algn="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77240652295512"/>
                      <c:h val="0.19780371203599553"/>
                    </c:manualLayout>
                  </c15:layout>
                </c:ext>
                <c:ext xmlns:c16="http://schemas.microsoft.com/office/drawing/2014/chart" uri="{C3380CC4-5D6E-409C-BE32-E72D297353CC}">
                  <c16:uniqueId val="{0000000C-AA76-4243-A890-7E06E830A90D}"/>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pluviales'!$D$322:$D$325</c:f>
              <c:strCache>
                <c:ptCount val="4"/>
                <c:pt idx="0">
                  <c:v>Budget planifié</c:v>
                </c:pt>
                <c:pt idx="1">
                  <c:v>Coûts prévisionnels</c:v>
                </c:pt>
                <c:pt idx="2">
                  <c:v>Coûts prévisionnels</c:v>
                </c:pt>
                <c:pt idx="3">
                  <c:v>Budget planifié</c:v>
                </c:pt>
              </c:strCache>
            </c:strRef>
          </c:cat>
          <c:val>
            <c:numRef>
              <c:f>'CALCULS Eaux pluviales'!$F$322:$F$325</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AA76-4243-A890-7E06E830A90D}"/>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40143432701434E-2"/>
          <c:y val="0.21410627243023195"/>
          <c:w val="0.82257532468778138"/>
          <c:h val="0.76208259681825485"/>
        </c:manualLayout>
      </c:layout>
      <c:barChart>
        <c:barDir val="col"/>
        <c:grouping val="stacked"/>
        <c:varyColors val="0"/>
        <c:ser>
          <c:idx val="0"/>
          <c:order val="0"/>
          <c:spPr>
            <a:solidFill>
              <a:schemeClr val="accent1"/>
            </a:solidFill>
            <a:ln>
              <a:solidFill>
                <a:schemeClr val="accent5">
                  <a:lumMod val="75000"/>
                </a:schemeClr>
              </a:solid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C24A-4F81-BB7A-B94039245F9A}"/>
              </c:ext>
            </c:extLst>
          </c:dPt>
          <c:dPt>
            <c:idx val="1"/>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3-C24A-4F81-BB7A-B94039245F9A}"/>
              </c:ext>
            </c:extLst>
          </c:dPt>
          <c:dPt>
            <c:idx val="2"/>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5-C24A-4F81-BB7A-B94039245F9A}"/>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C24A-4F81-BB7A-B94039245F9A}"/>
              </c:ext>
            </c:extLst>
          </c:dPt>
          <c:dLbls>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4A-4F81-BB7A-B94039245F9A}"/>
                </c:ext>
              </c:extLst>
            </c:dLbl>
            <c:dLbl>
              <c:idx val="2"/>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4A-4F81-BB7A-B94039245F9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pluviales'!$D$346:$D$349</c:f>
              <c:strCache>
                <c:ptCount val="4"/>
                <c:pt idx="0">
                  <c:v>Budget planifié</c:v>
                </c:pt>
                <c:pt idx="1">
                  <c:v>Coûts prévisionnels</c:v>
                </c:pt>
                <c:pt idx="2">
                  <c:v>Coûts prévisionnels</c:v>
                </c:pt>
                <c:pt idx="3">
                  <c:v>Budget planifié</c:v>
                </c:pt>
              </c:strCache>
            </c:strRef>
          </c:cat>
          <c:val>
            <c:numRef>
              <c:f>'CALCULS Eaux pluviales'!$E$346:$E$349</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C24A-4F81-BB7A-B94039245F9A}"/>
            </c:ext>
          </c:extLst>
        </c:ser>
        <c:ser>
          <c:idx val="1"/>
          <c:order val="1"/>
          <c:tx>
            <c:strRef>
              <c:f>'CALCULS Eaux pluviales'!$F$345</c:f>
              <c:strCache>
                <c:ptCount val="1"/>
                <c:pt idx="0">
                  <c:v>Déficit de financement</c:v>
                </c:pt>
              </c:strCache>
            </c:strRef>
          </c:tx>
          <c:spPr>
            <a:solidFill>
              <a:srgbClr val="C00000"/>
            </a:solidFill>
            <a:ln>
              <a:solidFill>
                <a:srgbClr val="C00000"/>
              </a:solidFill>
            </a:ln>
            <a:effectLst/>
          </c:spPr>
          <c:invertIfNegative val="0"/>
          <c:dLbls>
            <c:dLbl>
              <c:idx val="0"/>
              <c:layout>
                <c:manualLayout>
                  <c:x val="-1.9125683060109294E-2"/>
                  <c:y val="-0.5208335676790401"/>
                </c:manualLayout>
              </c:layout>
              <c:spPr>
                <a:noFill/>
                <a:ln>
                  <a:noFill/>
                </a:ln>
                <a:effectLst/>
              </c:spPr>
              <c:txPr>
                <a:bodyPr rot="0" spcFirstLastPara="1" vertOverflow="ellipsis" vert="horz" wrap="square" lIns="38100" tIns="19050" rIns="38100" bIns="19050" anchor="ctr" anchorCtr="0">
                  <a:noAutofit/>
                </a:bodyPr>
                <a:lstStyle/>
                <a:p>
                  <a:pPr algn="l">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051912568306011"/>
                      <c:h val="0.19633952005999247"/>
                    </c:manualLayout>
                  </c15:layout>
                </c:ext>
                <c:ext xmlns:c16="http://schemas.microsoft.com/office/drawing/2014/chart" uri="{C3380CC4-5D6E-409C-BE32-E72D297353CC}">
                  <c16:uniqueId val="{00000009-C24A-4F81-BB7A-B94039245F9A}"/>
                </c:ext>
              </c:extLst>
            </c:dLbl>
            <c:dLbl>
              <c:idx val="1"/>
              <c:delete val="1"/>
              <c:extLst>
                <c:ext xmlns:c15="http://schemas.microsoft.com/office/drawing/2012/chart" uri="{CE6537A1-D6FC-4f65-9D91-7224C49458BB}"/>
                <c:ext xmlns:c16="http://schemas.microsoft.com/office/drawing/2014/chart" uri="{C3380CC4-5D6E-409C-BE32-E72D297353CC}">
                  <c16:uniqueId val="{0000000A-C24A-4F81-BB7A-B94039245F9A}"/>
                </c:ext>
              </c:extLst>
            </c:dLbl>
            <c:dLbl>
              <c:idx val="2"/>
              <c:delete val="1"/>
              <c:extLst>
                <c:ext xmlns:c15="http://schemas.microsoft.com/office/drawing/2012/chart" uri="{CE6537A1-D6FC-4f65-9D91-7224C49458BB}"/>
                <c:ext xmlns:c16="http://schemas.microsoft.com/office/drawing/2014/chart" uri="{C3380CC4-5D6E-409C-BE32-E72D297353CC}">
                  <c16:uniqueId val="{0000000B-C24A-4F81-BB7A-B94039245F9A}"/>
                </c:ext>
              </c:extLst>
            </c:dLbl>
            <c:dLbl>
              <c:idx val="3"/>
              <c:layout>
                <c:manualLayout>
                  <c:x val="3.3552342842390503E-2"/>
                  <c:y val="-0.51488024934383203"/>
                </c:manualLayout>
              </c:layout>
              <c:spPr>
                <a:noFill/>
                <a:ln>
                  <a:noFill/>
                </a:ln>
                <a:effectLst/>
              </c:spPr>
              <c:txPr>
                <a:bodyPr rot="0" spcFirstLastPara="1" vertOverflow="ellipsis" vert="horz" wrap="square" lIns="38100" tIns="19050" rIns="38100" bIns="19050" anchor="ctr" anchorCtr="0">
                  <a:noAutofit/>
                </a:bodyPr>
                <a:lstStyle/>
                <a:p>
                  <a:pPr algn="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29658556000172109"/>
                      <c:h val="0.19633952005999247"/>
                    </c:manualLayout>
                  </c15:layout>
                </c:ext>
                <c:ext xmlns:c16="http://schemas.microsoft.com/office/drawing/2014/chart" uri="{C3380CC4-5D6E-409C-BE32-E72D297353CC}">
                  <c16:uniqueId val="{0000000C-C24A-4F81-BB7A-B94039245F9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pluviales'!$D$346:$D$349</c:f>
              <c:strCache>
                <c:ptCount val="4"/>
                <c:pt idx="0">
                  <c:v>Budget planifié</c:v>
                </c:pt>
                <c:pt idx="1">
                  <c:v>Coûts prévisionnels</c:v>
                </c:pt>
                <c:pt idx="2">
                  <c:v>Coûts prévisionnels</c:v>
                </c:pt>
                <c:pt idx="3">
                  <c:v>Budget planifié</c:v>
                </c:pt>
              </c:strCache>
            </c:strRef>
          </c:cat>
          <c:val>
            <c:numRef>
              <c:f>'CALCULS Eaux pluviales'!$F$346:$F$349</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C24A-4F81-BB7A-B94039245F9A}"/>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40143432701434E-2"/>
          <c:y val="0.20560273715785526"/>
          <c:w val="0.82257532468778138"/>
          <c:h val="0.76950365579302582"/>
        </c:manualLayout>
      </c:layout>
      <c:barChart>
        <c:barDir val="col"/>
        <c:grouping val="stacked"/>
        <c:varyColors val="0"/>
        <c:ser>
          <c:idx val="0"/>
          <c:order val="0"/>
          <c:spPr>
            <a:solidFill>
              <a:schemeClr val="bg1"/>
            </a:solidFill>
            <a:ln>
              <a:solidFill>
                <a:schemeClr val="accent5">
                  <a:lumMod val="75000"/>
                </a:schemeClr>
              </a:solidFill>
            </a:ln>
            <a:effectLst/>
          </c:spPr>
          <c:invertIfNegative val="0"/>
          <c:dPt>
            <c:idx val="1"/>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1-A786-4678-AC21-4BF18D188F1D}"/>
              </c:ext>
            </c:extLst>
          </c:dPt>
          <c:dPt>
            <c:idx val="2"/>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3-A786-4678-AC21-4BF18D188F1D}"/>
              </c:ext>
            </c:extLst>
          </c:dPt>
          <c:dLbls>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86-4678-AC21-4BF18D188F1D}"/>
                </c:ext>
              </c:extLst>
            </c:dLbl>
            <c:dLbl>
              <c:idx val="2"/>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86-4678-AC21-4BF18D188F1D}"/>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pluviales'!$D$370:$D$373</c:f>
              <c:strCache>
                <c:ptCount val="4"/>
                <c:pt idx="0">
                  <c:v>Budget planifié</c:v>
                </c:pt>
                <c:pt idx="1">
                  <c:v>Coûts prévisionnels</c:v>
                </c:pt>
                <c:pt idx="2">
                  <c:v>Coûts prévisionnels</c:v>
                </c:pt>
                <c:pt idx="3">
                  <c:v>Budget planifié</c:v>
                </c:pt>
              </c:strCache>
            </c:strRef>
          </c:cat>
          <c:val>
            <c:numRef>
              <c:f>'CALCULS Eaux pluviales'!$E$370:$E$373</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4-A786-4678-AC21-4BF18D188F1D}"/>
            </c:ext>
          </c:extLst>
        </c:ser>
        <c:ser>
          <c:idx val="1"/>
          <c:order val="1"/>
          <c:tx>
            <c:strRef>
              <c:f>'CALCULS Eaux pluviales'!$F$369</c:f>
              <c:strCache>
                <c:ptCount val="1"/>
                <c:pt idx="0">
                  <c:v>Déficit de financement</c:v>
                </c:pt>
              </c:strCache>
            </c:strRef>
          </c:tx>
          <c:spPr>
            <a:solidFill>
              <a:srgbClr val="C00000"/>
            </a:solidFill>
            <a:ln>
              <a:solidFill>
                <a:srgbClr val="C00000"/>
              </a:solidFill>
            </a:ln>
            <a:effectLst/>
          </c:spPr>
          <c:invertIfNegative val="0"/>
          <c:dLbls>
            <c:dLbl>
              <c:idx val="0"/>
              <c:layout>
                <c:manualLayout>
                  <c:x val="-2.3224043715846993E-2"/>
                  <c:y val="-0.52678547994000746"/>
                </c:manualLayout>
              </c:layout>
              <c:spPr>
                <a:noFill/>
                <a:ln>
                  <a:noFill/>
                </a:ln>
                <a:effectLst/>
              </c:spPr>
              <c:txPr>
                <a:bodyPr rot="0" spcFirstLastPara="1" vertOverflow="ellipsis" vert="horz" wrap="square" lIns="38100" tIns="19050" rIns="38100" bIns="19050" anchor="ctr" anchorCtr="0">
                  <a:noAutofit/>
                </a:bodyPr>
                <a:lstStyle/>
                <a:p>
                  <a:pPr algn="l">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017748805989414"/>
                      <c:h val="0.20127999625046866"/>
                    </c:manualLayout>
                  </c15:layout>
                </c:ext>
                <c:ext xmlns:c16="http://schemas.microsoft.com/office/drawing/2014/chart" uri="{C3380CC4-5D6E-409C-BE32-E72D297353CC}">
                  <c16:uniqueId val="{00000005-A786-4678-AC21-4BF18D188F1D}"/>
                </c:ext>
              </c:extLst>
            </c:dLbl>
            <c:dLbl>
              <c:idx val="1"/>
              <c:delete val="1"/>
              <c:extLst>
                <c:ext xmlns:c15="http://schemas.microsoft.com/office/drawing/2012/chart" uri="{CE6537A1-D6FC-4f65-9D91-7224C49458BB}"/>
                <c:ext xmlns:c16="http://schemas.microsoft.com/office/drawing/2014/chart" uri="{C3380CC4-5D6E-409C-BE32-E72D297353CC}">
                  <c16:uniqueId val="{00000006-A786-4678-AC21-4BF18D188F1D}"/>
                </c:ext>
              </c:extLst>
            </c:dLbl>
            <c:dLbl>
              <c:idx val="2"/>
              <c:delete val="1"/>
              <c:extLst>
                <c:ext xmlns:c15="http://schemas.microsoft.com/office/drawing/2012/chart" uri="{CE6537A1-D6FC-4f65-9D91-7224C49458BB}"/>
                <c:ext xmlns:c16="http://schemas.microsoft.com/office/drawing/2014/chart" uri="{C3380CC4-5D6E-409C-BE32-E72D297353CC}">
                  <c16:uniqueId val="{00000007-A786-4678-AC21-4BF18D188F1D}"/>
                </c:ext>
              </c:extLst>
            </c:dLbl>
            <c:dLbl>
              <c:idx val="3"/>
              <c:layout>
                <c:manualLayout>
                  <c:x val="3.6885353470160392E-2"/>
                  <c:y val="-0.53273832958380207"/>
                </c:manualLayout>
              </c:layout>
              <c:spPr>
                <a:noFill/>
                <a:ln>
                  <a:noFill/>
                </a:ln>
                <a:effectLst/>
              </c:spPr>
              <c:txPr>
                <a:bodyPr rot="0" spcFirstLastPara="1" vertOverflow="ellipsis" vert="horz" wrap="square" lIns="38100" tIns="19050" rIns="38100" bIns="19050" anchor="ctr" anchorCtr="0">
                  <a:noAutofit/>
                </a:bodyPr>
                <a:lstStyle/>
                <a:p>
                  <a:pPr algn="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28924852631126025"/>
                      <c:h val="0.18937523434570677"/>
                    </c:manualLayout>
                  </c15:layout>
                </c:ext>
                <c:ext xmlns:c16="http://schemas.microsoft.com/office/drawing/2014/chart" uri="{C3380CC4-5D6E-409C-BE32-E72D297353CC}">
                  <c16:uniqueId val="{00000008-A786-4678-AC21-4BF18D188F1D}"/>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pluviales'!$D$370:$D$373</c:f>
              <c:strCache>
                <c:ptCount val="4"/>
                <c:pt idx="0">
                  <c:v>Budget planifié</c:v>
                </c:pt>
                <c:pt idx="1">
                  <c:v>Coûts prévisionnels</c:v>
                </c:pt>
                <c:pt idx="2">
                  <c:v>Coûts prévisionnels</c:v>
                </c:pt>
                <c:pt idx="3">
                  <c:v>Budget planifié</c:v>
                </c:pt>
              </c:strCache>
            </c:strRef>
          </c:cat>
          <c:val>
            <c:numRef>
              <c:f>'CALCULS Eaux pluviales'!$F$370:$F$373</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9-A786-4678-AC21-4BF18D188F1D}"/>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819805108733138E-3"/>
          <c:y val="5.5761897687317385E-3"/>
          <c:w val="0.9898423167606325"/>
          <c:h val="0.96371191820917679"/>
        </c:manualLayout>
      </c:layout>
      <c:barChart>
        <c:barDir val="bar"/>
        <c:grouping val="clustered"/>
        <c:varyColors val="0"/>
        <c:ser>
          <c:idx val="0"/>
          <c:order val="0"/>
          <c:spPr>
            <a:solidFill>
              <a:srgbClr val="BC5DCF"/>
            </a:solidFill>
            <a:ln>
              <a:noFill/>
            </a:ln>
            <a:effectLst/>
          </c:spPr>
          <c:invertIfNegative val="0"/>
          <c:cat>
            <c:strRef>
              <c:f>'CALCULS Eaux pluviales'!$D$141:$D$146</c:f>
              <c:strCache>
                <c:ptCount val="6"/>
                <c:pt idx="0">
                  <c:v>Autre </c:v>
                </c:pt>
                <c:pt idx="1">
                  <c:v>Manque d'informations</c:v>
                </c:pt>
                <c:pt idx="2">
                  <c:v>Changements climatiques</c:v>
                </c:pt>
                <c:pt idx="3">
                  <c:v>Sous-financement</c:v>
                </c:pt>
                <c:pt idx="4">
                  <c:v>Dotation de personnel</c:v>
                </c:pt>
                <c:pt idx="5">
                  <c:v>Actifs critiques</c:v>
                </c:pt>
              </c:strCache>
            </c:strRef>
          </c:cat>
          <c:val>
            <c:numRef>
              <c:f>'CALCULS Eaux pluviales'!$I$141:$I$146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42B-48DE-8C1E-FC22D4C18782}"/>
            </c:ext>
          </c:extLst>
        </c:ser>
        <c:dLbls>
          <c:showLegendKey val="0"/>
          <c:showVal val="0"/>
          <c:showCatName val="0"/>
          <c:showSerName val="0"/>
          <c:showPercent val="0"/>
          <c:showBubbleSize val="0"/>
        </c:dLbls>
        <c:gapWidth val="102"/>
        <c:axId val="1034704655"/>
        <c:axId val="1034703823"/>
      </c:barChart>
      <c:catAx>
        <c:axId val="1034704655"/>
        <c:scaling>
          <c:orientation val="minMax"/>
        </c:scaling>
        <c:delete val="1"/>
        <c:axPos val="l"/>
        <c:numFmt formatCode="General" sourceLinked="1"/>
        <c:majorTickMark val="none"/>
        <c:minorTickMark val="none"/>
        <c:tickLblPos val="nextTo"/>
        <c:crossAx val="1034703823"/>
        <c:crosses val="autoZero"/>
        <c:auto val="1"/>
        <c:lblAlgn val="ctr"/>
        <c:lblOffset val="100"/>
        <c:noMultiLvlLbl val="0"/>
      </c:catAx>
      <c:valAx>
        <c:axId val="1034703823"/>
        <c:scaling>
          <c:orientation val="minMax"/>
          <c:max val="3"/>
        </c:scaling>
        <c:delete val="1"/>
        <c:axPos val="b"/>
        <c:numFmt formatCode="General" sourceLinked="1"/>
        <c:majorTickMark val="none"/>
        <c:minorTickMark val="none"/>
        <c:tickLblPos val="nextTo"/>
        <c:crossAx val="1034704655"/>
        <c:crosses val="autoZero"/>
        <c:crossBetween val="between"/>
        <c:majorUnit val="1"/>
      </c:valAx>
      <c:spPr>
        <a:noFill/>
        <a:ln>
          <a:solidFill>
            <a:schemeClr val="bg1"/>
          </a:solid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918630941630003E-2"/>
          <c:y val="0.14676199255389122"/>
          <c:w val="0.88759273840769903"/>
          <c:h val="0.54036745406824149"/>
        </c:manualLayout>
      </c:layout>
      <c:barChart>
        <c:barDir val="bar"/>
        <c:grouping val="percentStacked"/>
        <c:varyColors val="0"/>
        <c:ser>
          <c:idx val="0"/>
          <c:order val="0"/>
          <c:tx>
            <c:strRef>
              <c:f>'CALCULS Eaux pluviales'!$D$256</c:f>
              <c:strCache>
                <c:ptCount val="1"/>
                <c:pt idx="0">
                  <c:v>Exploitation</c:v>
                </c:pt>
              </c:strCache>
            </c:strRef>
          </c:tx>
          <c:spPr>
            <a:solidFill>
              <a:schemeClr val="accent1"/>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4CF6-440F-93EC-05B31BD85A5B}"/>
              </c:ext>
            </c:extLst>
          </c:dPt>
          <c:dLbls>
            <c:dLbl>
              <c:idx val="0"/>
              <c:layout>
                <c:manualLayout>
                  <c:x val="-4.5422275155267283E-2"/>
                  <c:y val="-0.282560706401766"/>
                </c:manualLayout>
              </c:layout>
              <c:tx>
                <c:rich>
                  <a:bodyPr/>
                  <a:lstStyle/>
                  <a:p>
                    <a:fld id="{3E559388-BA3B-4684-979E-DC11D09B4461}"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4CF6-440F-93EC-05B31BD85A5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Eaux pluviales'!$O$256</c:f>
              <c:numCache>
                <c:formatCode>#\ ##0\ "$"</c:formatCode>
                <c:ptCount val="1"/>
                <c:pt idx="0">
                  <c:v>0</c:v>
                </c:pt>
              </c:numCache>
            </c:numRef>
          </c:val>
          <c:extLst>
            <c:ext xmlns:c15="http://schemas.microsoft.com/office/drawing/2012/chart" uri="{02D57815-91ED-43cb-92C2-25804820EDAC}">
              <c15:datalabelsRange>
                <c15:f>'CALCULS Eaux pluviales'!$P$256</c15:f>
                <c15:dlblRangeCache>
                  <c:ptCount val="1"/>
                </c15:dlblRangeCache>
              </c15:datalabelsRange>
            </c:ext>
            <c:ext xmlns:c16="http://schemas.microsoft.com/office/drawing/2014/chart" uri="{C3380CC4-5D6E-409C-BE32-E72D297353CC}">
              <c16:uniqueId val="{00000002-4CF6-440F-93EC-05B31BD85A5B}"/>
            </c:ext>
          </c:extLst>
        </c:ser>
        <c:ser>
          <c:idx val="1"/>
          <c:order val="1"/>
          <c:tx>
            <c:strRef>
              <c:f>'CALCULS Eaux pluviales'!$D$257</c:f>
              <c:strCache>
                <c:ptCount val="1"/>
                <c:pt idx="0">
                  <c:v>Entretien</c:v>
                </c:pt>
              </c:strCache>
            </c:strRef>
          </c:tx>
          <c:spPr>
            <a:solidFill>
              <a:srgbClr val="0070C0"/>
            </a:solidFill>
            <a:ln>
              <a:noFill/>
            </a:ln>
            <a:effectLst/>
          </c:spPr>
          <c:invertIfNegative val="0"/>
          <c:dLbls>
            <c:dLbl>
              <c:idx val="0"/>
              <c:layout>
                <c:manualLayout>
                  <c:x val="-7.0026007531037104E-2"/>
                  <c:y val="-0.29139072847682118"/>
                </c:manualLayout>
              </c:layout>
              <c:tx>
                <c:rich>
                  <a:bodyPr/>
                  <a:lstStyle/>
                  <a:p>
                    <a:fld id="{1A4B269B-2026-43D6-9CBF-883D8BCCC575}"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4CF6-440F-93EC-05B31BD85A5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Eaux pluviales'!$O$257</c:f>
              <c:numCache>
                <c:formatCode>#\ ##0\ "$"</c:formatCode>
                <c:ptCount val="1"/>
                <c:pt idx="0">
                  <c:v>0</c:v>
                </c:pt>
              </c:numCache>
            </c:numRef>
          </c:val>
          <c:extLst>
            <c:ext xmlns:c15="http://schemas.microsoft.com/office/drawing/2012/chart" uri="{02D57815-91ED-43cb-92C2-25804820EDAC}">
              <c15:datalabelsRange>
                <c15:f>'CALCULS Eaux pluviales'!$P$257</c15:f>
                <c15:dlblRangeCache>
                  <c:ptCount val="1"/>
                </c15:dlblRangeCache>
              </c15:datalabelsRange>
            </c:ext>
            <c:ext xmlns:c16="http://schemas.microsoft.com/office/drawing/2014/chart" uri="{C3380CC4-5D6E-409C-BE32-E72D297353CC}">
              <c16:uniqueId val="{00000004-4CF6-440F-93EC-05B31BD85A5B}"/>
            </c:ext>
          </c:extLst>
        </c:ser>
        <c:ser>
          <c:idx val="2"/>
          <c:order val="2"/>
          <c:tx>
            <c:strRef>
              <c:f>'CALCULS Eaux pluviales'!$D$258</c:f>
              <c:strCache>
                <c:ptCount val="1"/>
                <c:pt idx="0">
                  <c:v>Renouvellement</c:v>
                </c:pt>
              </c:strCache>
            </c:strRef>
          </c:tx>
          <c:spPr>
            <a:solidFill>
              <a:schemeClr val="accent4"/>
            </a:solidFill>
            <a:ln>
              <a:noFill/>
            </a:ln>
            <a:effectLst/>
          </c:spPr>
          <c:invertIfNegative val="0"/>
          <c:dLbls>
            <c:dLbl>
              <c:idx val="0"/>
              <c:layout>
                <c:manualLayout>
                  <c:x val="-4.1637085558995084E-2"/>
                  <c:y val="-0.29139072847682118"/>
                </c:manualLayout>
              </c:layout>
              <c:tx>
                <c:rich>
                  <a:bodyPr/>
                  <a:lstStyle/>
                  <a:p>
                    <a:fld id="{2EB44ECC-657F-4570-90CF-3A60CAC89A51}"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CF6-440F-93EC-05B31BD85A5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Eaux pluviales'!$O$258</c:f>
              <c:numCache>
                <c:formatCode>#\ ##0\ "$"</c:formatCode>
                <c:ptCount val="1"/>
                <c:pt idx="0">
                  <c:v>0</c:v>
                </c:pt>
              </c:numCache>
            </c:numRef>
          </c:val>
          <c:extLst>
            <c:ext xmlns:c15="http://schemas.microsoft.com/office/drawing/2012/chart" uri="{02D57815-91ED-43cb-92C2-25804820EDAC}">
              <c15:datalabelsRange>
                <c15:f>'CALCULS Eaux pluviales'!$P$258</c15:f>
                <c15:dlblRangeCache>
                  <c:ptCount val="1"/>
                </c15:dlblRangeCache>
              </c15:datalabelsRange>
            </c:ext>
            <c:ext xmlns:c16="http://schemas.microsoft.com/office/drawing/2014/chart" uri="{C3380CC4-5D6E-409C-BE32-E72D297353CC}">
              <c16:uniqueId val="{00000006-4CF6-440F-93EC-05B31BD85A5B}"/>
            </c:ext>
          </c:extLst>
        </c:ser>
        <c:ser>
          <c:idx val="3"/>
          <c:order val="3"/>
          <c:tx>
            <c:strRef>
              <c:f>'CALCULS Eaux pluviales'!$D$259</c:f>
              <c:strCache>
                <c:ptCount val="1"/>
                <c:pt idx="0">
                  <c:v>Acquisition</c:v>
                </c:pt>
              </c:strCache>
            </c:strRef>
          </c:tx>
          <c:spPr>
            <a:solidFill>
              <a:schemeClr val="accent2"/>
            </a:solidFill>
            <a:ln>
              <a:noFill/>
            </a:ln>
            <a:effectLst/>
          </c:spPr>
          <c:invertIfNegative val="0"/>
          <c:dLbls>
            <c:dLbl>
              <c:idx val="0"/>
              <c:layout>
                <c:manualLayout>
                  <c:x val="-3.7851895962722738E-2"/>
                  <c:y val="-0.29139072847682118"/>
                </c:manualLayout>
              </c:layout>
              <c:tx>
                <c:rich>
                  <a:bodyPr/>
                  <a:lstStyle/>
                  <a:p>
                    <a:fld id="{C870A41A-ADD7-48AD-B2FA-D0643B3D4DA5}"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4CF6-440F-93EC-05B31BD85A5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Eaux pluviales'!$O$259</c:f>
              <c:numCache>
                <c:formatCode>#\ ##0\ "$"</c:formatCode>
                <c:ptCount val="1"/>
                <c:pt idx="0">
                  <c:v>0</c:v>
                </c:pt>
              </c:numCache>
            </c:numRef>
          </c:val>
          <c:extLst>
            <c:ext xmlns:c15="http://schemas.microsoft.com/office/drawing/2012/chart" uri="{02D57815-91ED-43cb-92C2-25804820EDAC}">
              <c15:datalabelsRange>
                <c15:f>'CALCULS Eaux pluviales'!$P$259</c15:f>
                <c15:dlblRangeCache>
                  <c:ptCount val="1"/>
                </c15:dlblRangeCache>
              </c15:datalabelsRange>
            </c:ext>
            <c:ext xmlns:c16="http://schemas.microsoft.com/office/drawing/2014/chart" uri="{C3380CC4-5D6E-409C-BE32-E72D297353CC}">
              <c16:uniqueId val="{00000008-4CF6-440F-93EC-05B31BD85A5B}"/>
            </c:ext>
          </c:extLst>
        </c:ser>
        <c:ser>
          <c:idx val="4"/>
          <c:order val="4"/>
          <c:tx>
            <c:strRef>
              <c:f>'CALCULS Eaux pluviales'!$D$260</c:f>
              <c:strCache>
                <c:ptCount val="1"/>
                <c:pt idx="0">
                  <c:v>Disposition</c:v>
                </c:pt>
              </c:strCache>
            </c:strRef>
          </c:tx>
          <c:spPr>
            <a:solidFill>
              <a:schemeClr val="accent4">
                <a:lumMod val="50000"/>
              </a:schemeClr>
            </a:solidFill>
            <a:ln>
              <a:noFill/>
            </a:ln>
            <a:effectLst/>
          </c:spPr>
          <c:invertIfNegative val="0"/>
          <c:dLbls>
            <c:dLbl>
              <c:idx val="0"/>
              <c:layout>
                <c:manualLayout>
                  <c:x val="1.1355568788816821E-2"/>
                  <c:y val="-0.26490066225165565"/>
                </c:manualLayout>
              </c:layout>
              <c:tx>
                <c:rich>
                  <a:bodyPr/>
                  <a:lstStyle/>
                  <a:p>
                    <a:fld id="{43C87381-F1B3-4BDF-B2E5-60DFF9670BE1}"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CF6-440F-93EC-05B31BD85A5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Eaux pluviales'!$O$260</c:f>
              <c:numCache>
                <c:formatCode>#\ ##0\ "$"</c:formatCode>
                <c:ptCount val="1"/>
                <c:pt idx="0">
                  <c:v>0</c:v>
                </c:pt>
              </c:numCache>
            </c:numRef>
          </c:val>
          <c:extLst>
            <c:ext xmlns:c15="http://schemas.microsoft.com/office/drawing/2012/chart" uri="{02D57815-91ED-43cb-92C2-25804820EDAC}">
              <c15:datalabelsRange>
                <c15:f>'CALCULS Eaux pluviales'!$P$260</c15:f>
                <c15:dlblRangeCache>
                  <c:ptCount val="1"/>
                </c15:dlblRangeCache>
              </c15:datalabelsRange>
            </c:ext>
            <c:ext xmlns:c16="http://schemas.microsoft.com/office/drawing/2014/chart" uri="{C3380CC4-5D6E-409C-BE32-E72D297353CC}">
              <c16:uniqueId val="{0000000A-4CF6-440F-93EC-05B31BD85A5B}"/>
            </c:ext>
          </c:extLst>
        </c:ser>
        <c:dLbls>
          <c:showLegendKey val="0"/>
          <c:showVal val="0"/>
          <c:showCatName val="0"/>
          <c:showSerName val="0"/>
          <c:showPercent val="0"/>
          <c:showBubbleSize val="0"/>
        </c:dLbls>
        <c:gapWidth val="114"/>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93685987638641943"/>
          <c:h val="0.9585035038936964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9AE0-4783-B46B-61AF41848840}"/>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9AE0-4783-B46B-61AF4184884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AE0-4783-B46B-61AF4184884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AE0-4783-B46B-61AF41848840}"/>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9AE0-4783-B46B-61AF4184884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AE0-4783-B46B-61AF4184884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AE0-4783-B46B-61AF41848840}"/>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9AE0-4783-B46B-61AF41848840}"/>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9AE0-4783-B46B-61AF4184884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9AE0-4783-B46B-61AF41848840}"/>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9AE0-4783-B46B-61AF41848840}"/>
              </c:ext>
            </c:extLst>
          </c:dPt>
          <c:dLbls>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9AE0-4783-B46B-61AF4184884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'CALCULS Eaux pluviales'!$L$282:$L$292</c:f>
              <c:numCache>
                <c:formatCode>General</c:formatCode>
                <c:ptCount val="11"/>
              </c:numCache>
            </c:numRef>
          </c:cat>
          <c:val>
            <c:numRef>
              <c:f>'CALCULS Eaux pluviales'!$M$282:$M$292</c:f>
              <c:numCache>
                <c:formatCode>#\ ##0\ "$"</c:formatCode>
                <c:ptCount val="11"/>
                <c:pt idx="0">
                  <c:v>0</c:v>
                </c:pt>
                <c:pt idx="1">
                  <c:v>0</c:v>
                </c:pt>
                <c:pt idx="4">
                  <c:v>0</c:v>
                </c:pt>
                <c:pt idx="7">
                  <c:v>0</c:v>
                </c:pt>
                <c:pt idx="8">
                  <c:v>0</c:v>
                </c:pt>
              </c:numCache>
            </c:numRef>
          </c:val>
          <c:extLst>
            <c:ext xmlns:c16="http://schemas.microsoft.com/office/drawing/2014/chart" uri="{C3380CC4-5D6E-409C-BE32-E72D297353CC}">
              <c16:uniqueId val="{00000016-9AE0-4783-B46B-61AF41848840}"/>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23179455509239"/>
          <c:y val="0.11344504141769035"/>
          <c:w val="0.83167701096186508"/>
          <c:h val="0.58952408124535172"/>
        </c:manualLayout>
      </c:layout>
      <c:barChart>
        <c:barDir val="col"/>
        <c:grouping val="clustered"/>
        <c:varyColors val="0"/>
        <c:ser>
          <c:idx val="0"/>
          <c:order val="0"/>
          <c:tx>
            <c:strRef>
              <c:f>'CALCULS Eau potable'!$D$63</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E86B-448B-B5DA-1C410E8569BC}"/>
              </c:ext>
            </c:extLst>
          </c:dPt>
          <c:dPt>
            <c:idx val="1"/>
            <c:invertIfNegative val="0"/>
            <c:bubble3D val="0"/>
            <c:spPr>
              <a:solidFill>
                <a:srgbClr val="00B050"/>
              </a:solidFill>
              <a:ln>
                <a:noFill/>
              </a:ln>
              <a:effectLst/>
            </c:spPr>
            <c:extLst>
              <c:ext xmlns:c16="http://schemas.microsoft.com/office/drawing/2014/chart" uri="{C3380CC4-5D6E-409C-BE32-E72D297353CC}">
                <c16:uniqueId val="{00000003-E86B-448B-B5DA-1C410E8569BC}"/>
              </c:ext>
            </c:extLst>
          </c:dPt>
          <c:dPt>
            <c:idx val="2"/>
            <c:invertIfNegative val="0"/>
            <c:bubble3D val="0"/>
            <c:spPr>
              <a:solidFill>
                <a:srgbClr val="FFD347"/>
              </a:solidFill>
              <a:ln>
                <a:noFill/>
              </a:ln>
              <a:effectLst/>
            </c:spPr>
            <c:extLst>
              <c:ext xmlns:c16="http://schemas.microsoft.com/office/drawing/2014/chart" uri="{C3380CC4-5D6E-409C-BE32-E72D297353CC}">
                <c16:uniqueId val="{00000005-E86B-448B-B5DA-1C410E8569BC}"/>
              </c:ext>
            </c:extLst>
          </c:dPt>
          <c:dPt>
            <c:idx val="3"/>
            <c:invertIfNegative val="0"/>
            <c:bubble3D val="0"/>
            <c:spPr>
              <a:solidFill>
                <a:srgbClr val="F98007"/>
              </a:solidFill>
              <a:ln>
                <a:noFill/>
              </a:ln>
              <a:effectLst/>
            </c:spPr>
            <c:extLst>
              <c:ext xmlns:c16="http://schemas.microsoft.com/office/drawing/2014/chart" uri="{C3380CC4-5D6E-409C-BE32-E72D297353CC}">
                <c16:uniqueId val="{00000007-E86B-448B-B5DA-1C410E8569BC}"/>
              </c:ext>
            </c:extLst>
          </c:dPt>
          <c:dPt>
            <c:idx val="4"/>
            <c:invertIfNegative val="0"/>
            <c:bubble3D val="0"/>
            <c:spPr>
              <a:solidFill>
                <a:srgbClr val="C00000"/>
              </a:solidFill>
              <a:ln>
                <a:noFill/>
              </a:ln>
              <a:effectLst/>
            </c:spPr>
            <c:extLst>
              <c:ext xmlns:c16="http://schemas.microsoft.com/office/drawing/2014/chart" uri="{C3380CC4-5D6E-409C-BE32-E72D297353CC}">
                <c16:uniqueId val="{00000009-E86B-448B-B5DA-1C410E8569BC}"/>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E86B-448B-B5DA-1C410E8569B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 potable'!$E$60:$J$60</c:f>
              <c:strCache>
                <c:ptCount val="6"/>
                <c:pt idx="0">
                  <c:v>Très bon 
(A)</c:v>
                </c:pt>
                <c:pt idx="1">
                  <c:v>Bon 
(B)</c:v>
                </c:pt>
                <c:pt idx="2">
                  <c:v>Satisfaisant 
(C)</c:v>
                </c:pt>
                <c:pt idx="3">
                  <c:v>Mauvais 
(D)</c:v>
                </c:pt>
                <c:pt idx="4">
                  <c:v>Très mauvais 
(E)</c:v>
                </c:pt>
                <c:pt idx="5">
                  <c:v>Inconnu</c:v>
                </c:pt>
              </c:strCache>
            </c:strRef>
          </c:cat>
          <c:val>
            <c:numRef>
              <c:f>'CALCULS Eau potable'!$E$63:$J$63</c:f>
              <c:numCache>
                <c:formatCode>0.0%</c:formatCode>
                <c:ptCount val="6"/>
                <c:pt idx="0">
                  <c:v>0</c:v>
                </c:pt>
                <c:pt idx="1">
                  <c:v>0</c:v>
                </c:pt>
                <c:pt idx="2">
                  <c:v>0</c:v>
                </c:pt>
                <c:pt idx="3">
                  <c:v>0</c:v>
                </c:pt>
                <c:pt idx="4">
                  <c:v>0</c:v>
                </c:pt>
                <c:pt idx="5">
                  <c:v>1</c:v>
                </c:pt>
              </c:numCache>
            </c:numRef>
          </c:val>
          <c:extLst>
            <c:ext xmlns:c16="http://schemas.microsoft.com/office/drawing/2014/chart" uri="{C3380CC4-5D6E-409C-BE32-E72D297353CC}">
              <c16:uniqueId val="{0000000C-E86B-448B-B5DA-1C410E8569BC}"/>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chemeClr val="tx2">
                  <a:lumMod val="20000"/>
                  <a:lumOff val="80000"/>
                </a:schemeClr>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7F0F9"/>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5412300432523"/>
          <c:y val="6.3291139240506333E-2"/>
          <c:w val="0.66219082377870364"/>
          <c:h val="0.73245663879643907"/>
        </c:manualLayout>
      </c:layout>
      <c:barChart>
        <c:barDir val="col"/>
        <c:grouping val="stacked"/>
        <c:varyColors val="0"/>
        <c:ser>
          <c:idx val="0"/>
          <c:order val="0"/>
          <c:tx>
            <c:strRef>
              <c:f>'CALCULS Eau'!$C$133</c:f>
              <c:strCache>
                <c:ptCount val="1"/>
                <c:pt idx="0">
                  <c:v>Service de l'eau potable</c:v>
                </c:pt>
              </c:strCache>
            </c:strRef>
          </c:tx>
          <c:spPr>
            <a:solidFill>
              <a:srgbClr val="3484CC"/>
            </a:solidFill>
            <a:ln>
              <a:noFill/>
            </a:ln>
            <a:effectLst/>
          </c:spPr>
          <c:invertIfNegative val="0"/>
          <c:cat>
            <c:numRef>
              <c:f>'CALCULS Eau'!$D$183:$M$183</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Eau'!$D$147:$M$147</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DCF-4962-ADFF-9B8507F431F3}"/>
            </c:ext>
          </c:extLst>
        </c:ser>
        <c:ser>
          <c:idx val="3"/>
          <c:order val="1"/>
          <c:tx>
            <c:strRef>
              <c:f>'CALCULS Eau'!$C$149</c:f>
              <c:strCache>
                <c:ptCount val="1"/>
                <c:pt idx="0">
                  <c:v>Service des eaux usées</c:v>
                </c:pt>
              </c:strCache>
            </c:strRef>
          </c:tx>
          <c:spPr>
            <a:solidFill>
              <a:srgbClr val="967200"/>
            </a:solidFill>
            <a:ln>
              <a:noFill/>
            </a:ln>
            <a:effectLst/>
          </c:spPr>
          <c:invertIfNegative val="0"/>
          <c:cat>
            <c:numRef>
              <c:f>'CALCULS Eau'!$D$183:$M$183</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Eau'!$D$163:$M$163</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2DCF-4962-ADFF-9B8507F431F3}"/>
            </c:ext>
          </c:extLst>
        </c:ser>
        <c:ser>
          <c:idx val="4"/>
          <c:order val="2"/>
          <c:tx>
            <c:strRef>
              <c:f>'CALCULS Eau'!$C$165</c:f>
              <c:strCache>
                <c:ptCount val="1"/>
                <c:pt idx="0">
                  <c:v>Service des eaux pluviales</c:v>
                </c:pt>
              </c:strCache>
            </c:strRef>
          </c:tx>
          <c:spPr>
            <a:solidFill>
              <a:srgbClr val="24988A"/>
            </a:solidFill>
            <a:ln>
              <a:noFill/>
            </a:ln>
            <a:effectLst/>
          </c:spPr>
          <c:invertIfNegative val="0"/>
          <c:cat>
            <c:numRef>
              <c:f>'CALCULS Eau'!$D$183:$M$183</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Eau'!$D$179:$M$179</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2DCF-4962-ADFF-9B8507F431F3}"/>
            </c:ext>
          </c:extLst>
        </c:ser>
        <c:dLbls>
          <c:showLegendKey val="0"/>
          <c:showVal val="0"/>
          <c:showCatName val="0"/>
          <c:showSerName val="0"/>
          <c:showPercent val="0"/>
          <c:showBubbleSize val="0"/>
        </c:dLbls>
        <c:gapWidth val="81"/>
        <c:overlap val="100"/>
        <c:axId val="1704784576"/>
        <c:axId val="1704796224"/>
      </c:barChart>
      <c:lineChart>
        <c:grouping val="standard"/>
        <c:varyColors val="0"/>
        <c:ser>
          <c:idx val="1"/>
          <c:order val="3"/>
          <c:tx>
            <c:strRef>
              <c:f>'CALCULS Eau'!$C$184</c:f>
              <c:strCache>
                <c:ptCount val="1"/>
                <c:pt idx="0">
                  <c:v>Budget actuel</c:v>
                </c:pt>
              </c:strCache>
            </c:strRef>
          </c:tx>
          <c:spPr>
            <a:ln w="15875" cap="rnd">
              <a:solidFill>
                <a:schemeClr val="tx2">
                  <a:lumMod val="75000"/>
                </a:schemeClr>
              </a:solidFill>
              <a:round/>
            </a:ln>
            <a:effectLst/>
          </c:spPr>
          <c:marker>
            <c:symbol val="none"/>
          </c:marker>
          <c:cat>
            <c:numRef>
              <c:f>'CALCULS Eau'!$D$183:$M$183</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Eau'!$D$184:$M$184</c:f>
              <c:numCache>
                <c:formatCode>#\ ##0\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D-2DCF-4962-ADFF-9B8507F431F3}"/>
            </c:ext>
          </c:extLst>
        </c:ser>
        <c:dLbls>
          <c:showLegendKey val="0"/>
          <c:showVal val="0"/>
          <c:showCatName val="0"/>
          <c:showSerName val="0"/>
          <c:showPercent val="0"/>
          <c:showBubbleSize val="0"/>
        </c:dLbls>
        <c:marker val="1"/>
        <c:smooth val="0"/>
        <c:axId val="1704784576"/>
        <c:axId val="1704796224"/>
      </c:lineChart>
      <c:catAx>
        <c:axId val="1704784576"/>
        <c:scaling>
          <c:orientation val="minMax"/>
        </c:scaling>
        <c:delete val="0"/>
        <c:axPos val="b"/>
        <c:numFmt formatCode="General" sourceLinked="1"/>
        <c:majorTickMark val="none"/>
        <c:minorTickMark val="none"/>
        <c:tickLblPos val="nextTo"/>
        <c:spPr>
          <a:noFill/>
          <a:ln w="9525" cap="flat" cmpd="sng" algn="ctr">
            <a:solidFill>
              <a:schemeClr val="accent5">
                <a:lumMod val="50000"/>
              </a:schemeClr>
            </a:solidFill>
            <a:round/>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96224"/>
        <c:crosses val="autoZero"/>
        <c:auto val="1"/>
        <c:lblAlgn val="ctr"/>
        <c:lblOffset val="100"/>
        <c:noMultiLvlLbl val="0"/>
      </c:catAx>
      <c:valAx>
        <c:axId val="1704796224"/>
        <c:scaling>
          <c:orientation val="minMax"/>
        </c:scaling>
        <c:delete val="0"/>
        <c:axPos val="l"/>
        <c:majorGridlines>
          <c:spPr>
            <a:ln w="9525" cap="flat" cmpd="sng" algn="ctr">
              <a:solidFill>
                <a:schemeClr val="tx2">
                  <a:lumMod val="40000"/>
                  <a:lumOff val="60000"/>
                </a:schemeClr>
              </a:solidFill>
              <a:round/>
            </a:ln>
            <a:effectLst/>
          </c:spPr>
        </c:majorGridlines>
        <c:numFmt formatCode="#\ ###\ ##0\ &quot;$&quot;" sourceLinked="0"/>
        <c:majorTickMark val="none"/>
        <c:minorTickMark val="none"/>
        <c:tickLblPos val="nextTo"/>
        <c:spPr>
          <a:noFill/>
          <a:ln>
            <a:solidFill>
              <a:schemeClr val="accent5">
                <a:lumMod val="50000"/>
              </a:schemeClr>
            </a:solidFill>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84576"/>
        <c:crosses val="autoZero"/>
        <c:crossBetween val="between"/>
      </c:valAx>
      <c:spPr>
        <a:solidFill>
          <a:srgbClr val="DEE3EA"/>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5412300432523"/>
          <c:y val="6.3291139240506333E-2"/>
          <c:w val="0.66598057294120283"/>
          <c:h val="0.72443308936040374"/>
        </c:manualLayout>
      </c:layout>
      <c:barChart>
        <c:barDir val="col"/>
        <c:grouping val="stacked"/>
        <c:varyColors val="0"/>
        <c:ser>
          <c:idx val="0"/>
          <c:order val="0"/>
          <c:tx>
            <c:strRef>
              <c:f>'CALCULS Eau'!$C$193</c:f>
              <c:strCache>
                <c:ptCount val="1"/>
                <c:pt idx="0">
                  <c:v>Exploitation / Entretien</c:v>
                </c:pt>
              </c:strCache>
            </c:strRef>
          </c:tx>
          <c:spPr>
            <a:solidFill>
              <a:schemeClr val="accent5">
                <a:lumMod val="75000"/>
              </a:schemeClr>
            </a:solidFill>
            <a:ln>
              <a:noFill/>
            </a:ln>
            <a:effectLst/>
          </c:spPr>
          <c:invertIfNegative val="0"/>
          <c:cat>
            <c:numRef>
              <c:f>'CALCULS Eau'!$D$183:$M$183</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Eau'!$D$193:$M$193</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DCA-4514-A591-AFBBEE6414CA}"/>
            </c:ext>
          </c:extLst>
        </c:ser>
        <c:ser>
          <c:idx val="4"/>
          <c:order val="1"/>
          <c:tx>
            <c:strRef>
              <c:f>'CALCULS Eau'!$C$194</c:f>
              <c:strCache>
                <c:ptCount val="1"/>
                <c:pt idx="0">
                  <c:v>Renouvellement</c:v>
                </c:pt>
              </c:strCache>
            </c:strRef>
          </c:tx>
          <c:spPr>
            <a:solidFill>
              <a:srgbClr val="EEB500"/>
            </a:solidFill>
            <a:ln>
              <a:noFill/>
            </a:ln>
            <a:effectLst/>
          </c:spPr>
          <c:invertIfNegative val="0"/>
          <c:cat>
            <c:numRef>
              <c:f>'CALCULS Eau'!$D$183:$M$183</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Eau'!$D$194:$M$194</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DCA-4514-A591-AFBBEE6414CA}"/>
            </c:ext>
          </c:extLst>
        </c:ser>
        <c:ser>
          <c:idx val="6"/>
          <c:order val="2"/>
          <c:tx>
            <c:strRef>
              <c:f>'CALCULS Eau'!$C$195</c:f>
              <c:strCache>
                <c:ptCount val="1"/>
                <c:pt idx="0">
                  <c:v>Acquisition / Disposition</c:v>
                </c:pt>
              </c:strCache>
            </c:strRef>
          </c:tx>
          <c:spPr>
            <a:solidFill>
              <a:schemeClr val="accent2">
                <a:lumMod val="75000"/>
              </a:schemeClr>
            </a:solidFill>
            <a:ln>
              <a:noFill/>
            </a:ln>
            <a:effectLst/>
          </c:spPr>
          <c:invertIfNegative val="0"/>
          <c:cat>
            <c:numRef>
              <c:f>'CALCULS Eau'!$D$183:$M$183</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Eau'!$D$195:$M$195</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5DCA-4514-A591-AFBBEE6414CA}"/>
            </c:ext>
          </c:extLst>
        </c:ser>
        <c:dLbls>
          <c:showLegendKey val="0"/>
          <c:showVal val="0"/>
          <c:showCatName val="0"/>
          <c:showSerName val="0"/>
          <c:showPercent val="0"/>
          <c:showBubbleSize val="0"/>
        </c:dLbls>
        <c:gapWidth val="81"/>
        <c:overlap val="100"/>
        <c:axId val="1704784576"/>
        <c:axId val="1704796224"/>
      </c:barChart>
      <c:lineChart>
        <c:grouping val="standard"/>
        <c:varyColors val="0"/>
        <c:ser>
          <c:idx val="1"/>
          <c:order val="3"/>
          <c:tx>
            <c:strRef>
              <c:f>'CALCULS Eau'!$C$184</c:f>
              <c:strCache>
                <c:ptCount val="1"/>
                <c:pt idx="0">
                  <c:v>Budget actuel</c:v>
                </c:pt>
              </c:strCache>
            </c:strRef>
          </c:tx>
          <c:spPr>
            <a:ln w="19050" cap="rnd">
              <a:solidFill>
                <a:schemeClr val="accent5">
                  <a:lumMod val="50000"/>
                </a:schemeClr>
              </a:solidFill>
              <a:round/>
            </a:ln>
            <a:effectLst/>
          </c:spPr>
          <c:marker>
            <c:symbol val="none"/>
          </c:marker>
          <c:cat>
            <c:numRef>
              <c:f>'CALCULS Eau'!$D$183:$M$183</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Eau'!$D$184:$M$184</c:f>
              <c:numCache>
                <c:formatCode>#\ ##0\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D-5DCA-4514-A591-AFBBEE6414CA}"/>
            </c:ext>
          </c:extLst>
        </c:ser>
        <c:dLbls>
          <c:showLegendKey val="0"/>
          <c:showVal val="0"/>
          <c:showCatName val="0"/>
          <c:showSerName val="0"/>
          <c:showPercent val="0"/>
          <c:showBubbleSize val="0"/>
        </c:dLbls>
        <c:marker val="1"/>
        <c:smooth val="0"/>
        <c:axId val="1704784576"/>
        <c:axId val="1704796224"/>
      </c:lineChart>
      <c:catAx>
        <c:axId val="1704784576"/>
        <c:scaling>
          <c:orientation val="minMax"/>
        </c:scaling>
        <c:delete val="0"/>
        <c:axPos val="b"/>
        <c:numFmt formatCode="General" sourceLinked="1"/>
        <c:majorTickMark val="none"/>
        <c:minorTickMark val="none"/>
        <c:tickLblPos val="nextTo"/>
        <c:spPr>
          <a:noFill/>
          <a:ln w="9525" cap="flat" cmpd="sng" algn="ctr">
            <a:solidFill>
              <a:schemeClr val="accent5">
                <a:lumMod val="50000"/>
              </a:schemeClr>
            </a:solidFill>
            <a:round/>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96224"/>
        <c:crosses val="autoZero"/>
        <c:auto val="1"/>
        <c:lblAlgn val="ctr"/>
        <c:lblOffset val="100"/>
        <c:noMultiLvlLbl val="0"/>
      </c:catAx>
      <c:valAx>
        <c:axId val="1704796224"/>
        <c:scaling>
          <c:orientation val="minMax"/>
        </c:scaling>
        <c:delete val="0"/>
        <c:axPos val="l"/>
        <c:majorGridlines>
          <c:spPr>
            <a:ln w="6350" cap="flat" cmpd="sng" algn="ctr">
              <a:solidFill>
                <a:schemeClr val="tx2">
                  <a:lumMod val="40000"/>
                  <a:lumOff val="60000"/>
                </a:schemeClr>
              </a:solidFill>
              <a:round/>
            </a:ln>
            <a:effectLst/>
          </c:spPr>
        </c:majorGridlines>
        <c:numFmt formatCode="#\ ###\ ##0\ &quot;$&quot;" sourceLinked="0"/>
        <c:majorTickMark val="none"/>
        <c:minorTickMark val="none"/>
        <c:tickLblPos val="nextTo"/>
        <c:spPr>
          <a:noFill/>
          <a:ln>
            <a:solidFill>
              <a:schemeClr val="accent5">
                <a:lumMod val="50000"/>
              </a:schemeClr>
            </a:solidFill>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84576"/>
        <c:crosses val="autoZero"/>
        <c:crossBetween val="between"/>
      </c:valAx>
      <c:spPr>
        <a:solidFill>
          <a:srgbClr val="DEE3EA"/>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101671735736402E-4"/>
          <c:y val="4.6712674806276527E-2"/>
          <c:w val="0.41496186971338311"/>
          <c:h val="0.90641039661708955"/>
        </c:manualLayout>
      </c:layout>
      <c:barChart>
        <c:barDir val="col"/>
        <c:grouping val="percentStacked"/>
        <c:varyColors val="0"/>
        <c:ser>
          <c:idx val="0"/>
          <c:order val="0"/>
          <c:tx>
            <c:strRef>
              <c:f>'CALCULS Eau'!$C$405</c:f>
              <c:strCache>
                <c:ptCount val="1"/>
                <c:pt idx="0">
                  <c:v>Financement du gouvernement provincial</c:v>
                </c:pt>
              </c:strCache>
            </c:strRef>
          </c:tx>
          <c:spPr>
            <a:solidFill>
              <a:srgbClr val="47618B"/>
            </a:solidFill>
            <a:ln>
              <a:noFill/>
            </a:ln>
            <a:effectLst/>
          </c:spPr>
          <c:invertIfNegative val="0"/>
          <c:val>
            <c:numRef>
              <c:f>'CALCULS Eau'!$G$405</c:f>
              <c:numCache>
                <c:formatCode>#\ ##0\ "$"</c:formatCode>
                <c:ptCount val="1"/>
                <c:pt idx="0">
                  <c:v>0</c:v>
                </c:pt>
              </c:numCache>
            </c:numRef>
          </c:val>
          <c:extLst>
            <c:ext xmlns:c16="http://schemas.microsoft.com/office/drawing/2014/chart" uri="{C3380CC4-5D6E-409C-BE32-E72D297353CC}">
              <c16:uniqueId val="{00000001-4C92-4726-8502-32885ED5D6A6}"/>
            </c:ext>
          </c:extLst>
        </c:ser>
        <c:ser>
          <c:idx val="1"/>
          <c:order val="1"/>
          <c:tx>
            <c:strRef>
              <c:f>'CALCULS Eau'!$C$406</c:f>
              <c:strCache>
                <c:ptCount val="1"/>
                <c:pt idx="0">
                  <c:v>Autres types de financement</c:v>
                </c:pt>
              </c:strCache>
            </c:strRef>
          </c:tx>
          <c:spPr>
            <a:solidFill>
              <a:srgbClr val="8FAADC"/>
            </a:solidFill>
            <a:ln>
              <a:noFill/>
            </a:ln>
            <a:effectLst/>
          </c:spPr>
          <c:invertIfNegative val="0"/>
          <c:val>
            <c:numRef>
              <c:f>'CALCULS Eau'!$G$406</c:f>
              <c:numCache>
                <c:formatCode>#\ ##0\ "$"</c:formatCode>
                <c:ptCount val="1"/>
                <c:pt idx="0">
                  <c:v>0</c:v>
                </c:pt>
              </c:numCache>
            </c:numRef>
          </c:val>
          <c:extLst>
            <c:ext xmlns:c16="http://schemas.microsoft.com/office/drawing/2014/chart" uri="{C3380CC4-5D6E-409C-BE32-E72D297353CC}">
              <c16:uniqueId val="{00000003-4C92-4726-8502-32885ED5D6A6}"/>
            </c:ext>
          </c:extLst>
        </c:ser>
        <c:ser>
          <c:idx val="2"/>
          <c:order val="2"/>
          <c:tx>
            <c:strRef>
              <c:f>'CALCULS Eau'!$C$408</c:f>
              <c:strCache>
                <c:ptCount val="1"/>
                <c:pt idx="0">
                  <c:v>Déficit de financement global</c:v>
                </c:pt>
              </c:strCache>
            </c:strRef>
          </c:tx>
          <c:spPr>
            <a:solidFill>
              <a:schemeClr val="accent3"/>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5-4C92-4726-8502-32885ED5D6A6}"/>
              </c:ext>
            </c:extLst>
          </c:dPt>
          <c:val>
            <c:numRef>
              <c:f>'CALCULS Eau'!$G$408</c:f>
              <c:numCache>
                <c:formatCode>#\ ##0\ "$"</c:formatCode>
                <c:ptCount val="1"/>
                <c:pt idx="0">
                  <c:v>0</c:v>
                </c:pt>
              </c:numCache>
            </c:numRef>
          </c:val>
          <c:extLst>
            <c:ext xmlns:c16="http://schemas.microsoft.com/office/drawing/2014/chart" uri="{C3380CC4-5D6E-409C-BE32-E72D297353CC}">
              <c16:uniqueId val="{00000006-4C92-4726-8502-32885ED5D6A6}"/>
            </c:ext>
          </c:extLst>
        </c:ser>
        <c:dLbls>
          <c:showLegendKey val="0"/>
          <c:showVal val="0"/>
          <c:showCatName val="0"/>
          <c:showSerName val="0"/>
          <c:showPercent val="0"/>
          <c:showBubbleSize val="0"/>
        </c:dLbls>
        <c:gapWidth val="62"/>
        <c:overlap val="100"/>
        <c:axId val="1931356336"/>
        <c:axId val="1931370064"/>
      </c:barChart>
      <c:catAx>
        <c:axId val="1931356336"/>
        <c:scaling>
          <c:orientation val="minMax"/>
        </c:scaling>
        <c:delete val="1"/>
        <c:axPos val="b"/>
        <c:numFmt formatCode="General" sourceLinked="1"/>
        <c:majorTickMark val="none"/>
        <c:minorTickMark val="none"/>
        <c:tickLblPos val="nextTo"/>
        <c:crossAx val="1931370064"/>
        <c:crosses val="autoZero"/>
        <c:auto val="1"/>
        <c:lblAlgn val="ctr"/>
        <c:lblOffset val="100"/>
        <c:noMultiLvlLbl val="0"/>
      </c:catAx>
      <c:valAx>
        <c:axId val="1931370064"/>
        <c:scaling>
          <c:orientation val="minMax"/>
        </c:scaling>
        <c:delete val="1"/>
        <c:axPos val="l"/>
        <c:numFmt formatCode="0%" sourceLinked="1"/>
        <c:majorTickMark val="none"/>
        <c:minorTickMark val="none"/>
        <c:tickLblPos val="nextTo"/>
        <c:crossAx val="19313563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63723456200879E-2"/>
          <c:y val="2.5643011583602843E-2"/>
          <c:w val="0.78148450888882748"/>
          <c:h val="0.94123413932246491"/>
        </c:manualLayout>
      </c:layout>
      <c:doughnutChart>
        <c:varyColors val="1"/>
        <c:ser>
          <c:idx val="0"/>
          <c:order val="0"/>
          <c:dPt>
            <c:idx val="0"/>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1-C7F2-4C00-BF70-95F6B7E7FF57}"/>
              </c:ext>
            </c:extLst>
          </c:dPt>
          <c:dPt>
            <c:idx val="1"/>
            <c:bubble3D val="0"/>
            <c:spPr>
              <a:solidFill>
                <a:srgbClr val="7CAFDE"/>
              </a:solidFill>
              <a:ln w="19050">
                <a:solidFill>
                  <a:schemeClr val="lt1"/>
                </a:solidFill>
              </a:ln>
              <a:effectLst/>
            </c:spPr>
            <c:extLst>
              <c:ext xmlns:c16="http://schemas.microsoft.com/office/drawing/2014/chart" uri="{C3380CC4-5D6E-409C-BE32-E72D297353CC}">
                <c16:uniqueId val="{00000003-C7F2-4C00-BF70-95F6B7E7FF57}"/>
              </c:ext>
            </c:extLst>
          </c:dPt>
          <c:dPt>
            <c:idx val="2"/>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5-C7F2-4C00-BF70-95F6B7E7FF57}"/>
              </c:ext>
            </c:extLst>
          </c:dPt>
          <c:dPt>
            <c:idx val="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7-C7F2-4C00-BF70-95F6B7E7FF57}"/>
              </c:ext>
            </c:extLst>
          </c:dPt>
          <c:dPt>
            <c:idx val="4"/>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9-C7F2-4C00-BF70-95F6B7E7FF57}"/>
              </c:ext>
            </c:extLst>
          </c:dPt>
          <c:dPt>
            <c:idx val="5"/>
            <c:bubble3D val="0"/>
            <c:spPr>
              <a:solidFill>
                <a:srgbClr val="DEC98E"/>
              </a:solidFill>
              <a:ln w="19050">
                <a:solidFill>
                  <a:schemeClr val="lt1"/>
                </a:solidFill>
              </a:ln>
              <a:effectLst/>
            </c:spPr>
            <c:extLst>
              <c:ext xmlns:c16="http://schemas.microsoft.com/office/drawing/2014/chart" uri="{C3380CC4-5D6E-409C-BE32-E72D297353CC}">
                <c16:uniqueId val="{0000000B-C7F2-4C00-BF70-95F6B7E7FF57}"/>
              </c:ext>
            </c:extLst>
          </c:dPt>
          <c:dPt>
            <c:idx val="6"/>
            <c:bubble3D val="0"/>
            <c:spPr>
              <a:solidFill>
                <a:srgbClr val="1B7369"/>
              </a:solidFill>
              <a:ln w="19050">
                <a:solidFill>
                  <a:schemeClr val="lt1"/>
                </a:solidFill>
              </a:ln>
              <a:effectLst/>
            </c:spPr>
            <c:extLst>
              <c:ext xmlns:c16="http://schemas.microsoft.com/office/drawing/2014/chart" uri="{C3380CC4-5D6E-409C-BE32-E72D297353CC}">
                <c16:uniqueId val="{0000000D-C7F2-4C00-BF70-95F6B7E7FF57}"/>
              </c:ext>
            </c:extLst>
          </c:dPt>
          <c:dPt>
            <c:idx val="7"/>
            <c:bubble3D val="0"/>
            <c:spPr>
              <a:solidFill>
                <a:srgbClr val="2BB3A3"/>
              </a:solidFill>
              <a:ln w="19050">
                <a:solidFill>
                  <a:schemeClr val="lt1"/>
                </a:solidFill>
              </a:ln>
              <a:effectLst/>
            </c:spPr>
            <c:extLst>
              <c:ext xmlns:c16="http://schemas.microsoft.com/office/drawing/2014/chart" uri="{C3380CC4-5D6E-409C-BE32-E72D297353CC}">
                <c16:uniqueId val="{0000000F-C7F2-4C00-BF70-95F6B7E7FF57}"/>
              </c:ext>
            </c:extLst>
          </c:dPt>
          <c:dPt>
            <c:idx val="8"/>
            <c:bubble3D val="0"/>
            <c:spPr>
              <a:solidFill>
                <a:srgbClr val="C6F2ED"/>
              </a:solidFill>
              <a:ln w="19050">
                <a:solidFill>
                  <a:schemeClr val="lt1"/>
                </a:solidFill>
              </a:ln>
              <a:effectLst/>
            </c:spPr>
            <c:extLst>
              <c:ext xmlns:c16="http://schemas.microsoft.com/office/drawing/2014/chart" uri="{C3380CC4-5D6E-409C-BE32-E72D297353CC}">
                <c16:uniqueId val="{00000011-C7F2-4C00-BF70-95F6B7E7FF57}"/>
              </c:ext>
            </c:extLst>
          </c:dPt>
          <c:dLbls>
            <c:dLbl>
              <c:idx val="0"/>
              <c:layout>
                <c:manualLayout>
                  <c:x val="1.2225545668892611E-7"/>
                  <c:y val="-1.4960264007430658E-2"/>
                </c:manualLayout>
              </c:layout>
              <c:spPr>
                <a:noFill/>
                <a:ln>
                  <a:noFill/>
                </a:ln>
                <a:effectLst/>
              </c:spPr>
              <c:txPr>
                <a:bodyPr rot="0" spcFirstLastPara="1" vertOverflow="ellipsis" vert="horz" wrap="square" lIns="38100" tIns="19050" rIns="38100" bIns="19050" anchor="t" anchorCtr="0">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15:layout>
                    <c:manualLayout>
                      <c:w val="0.11293934637831657"/>
                      <c:h val="7.4072154413484026E-2"/>
                    </c:manualLayout>
                  </c15:layout>
                </c:ext>
                <c:ext xmlns:c16="http://schemas.microsoft.com/office/drawing/2014/chart" uri="{C3380CC4-5D6E-409C-BE32-E72D297353CC}">
                  <c16:uniqueId val="{00000001-C7F2-4C00-BF70-95F6B7E7FF57}"/>
                </c:ext>
              </c:extLst>
            </c:dLbl>
            <c:dLbl>
              <c:idx val="1"/>
              <c:layout>
                <c:manualLayout>
                  <c:x val="-7.7632214997468106E-3"/>
                  <c:y val="-2.4310429012074818E-2"/>
                </c:manualLayout>
              </c:layout>
              <c:spPr>
                <a:noFill/>
                <a:ln>
                  <a:noFill/>
                </a:ln>
                <a:effectLst/>
              </c:spPr>
              <c:txPr>
                <a:bodyPr rot="0" spcFirstLastPara="1" vertOverflow="ellipsis" vert="horz" wrap="square" lIns="38100" tIns="19050" rIns="38100" bIns="19050" anchor="t" anchorCtr="0">
                  <a:no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15:layout>
                    <c:manualLayout>
                      <c:w val="0.11354499991075351"/>
                      <c:h val="7.7812220415341693E-2"/>
                    </c:manualLayout>
                  </c15:layout>
                </c:ext>
                <c:ext xmlns:c16="http://schemas.microsoft.com/office/drawing/2014/chart" uri="{C3380CC4-5D6E-409C-BE32-E72D297353CC}">
                  <c16:uniqueId val="{00000003-C7F2-4C00-BF70-95F6B7E7FF57}"/>
                </c:ext>
              </c:extLst>
            </c:dLbl>
            <c:dLbl>
              <c:idx val="2"/>
              <c:layout>
                <c:manualLayout>
                  <c:x val="-1.2421154399594906E-2"/>
                  <c:y val="3.7400660018576644E-3"/>
                </c:manualLayout>
              </c:layout>
              <c:showLegendKey val="0"/>
              <c:showVal val="0"/>
              <c:showCatName val="0"/>
              <c:showSerName val="0"/>
              <c:showPercent val="1"/>
              <c:showBubbleSize val="0"/>
              <c:extLst>
                <c:ext xmlns:c15="http://schemas.microsoft.com/office/drawing/2012/chart" uri="{CE6537A1-D6FC-4f65-9D91-7224C49458BB}">
                  <c15:layout>
                    <c:manualLayout>
                      <c:w val="9.1341941910564245E-2"/>
                      <c:h val="7.4072154413484026E-2"/>
                    </c:manualLayout>
                  </c15:layout>
                </c:ext>
                <c:ext xmlns:c16="http://schemas.microsoft.com/office/drawing/2014/chart" uri="{C3380CC4-5D6E-409C-BE32-E72D297353CC}">
                  <c16:uniqueId val="{00000005-C7F2-4C00-BF70-95F6B7E7FF57}"/>
                </c:ext>
              </c:extLst>
            </c:dLbl>
            <c:dLbl>
              <c:idx val="3"/>
              <c:layout>
                <c:manualLayout>
                  <c:x val="-1.3973676444087568E-2"/>
                  <c:y val="-1.1220198005572992E-2"/>
                </c:manualLayout>
              </c:layout>
              <c:spPr>
                <a:noFill/>
                <a:ln>
                  <a:noFill/>
                </a:ln>
                <a:effectLst/>
              </c:spPr>
              <c:txPr>
                <a:bodyPr rot="0" spcFirstLastPara="1" vertOverflow="ellipsis" vert="horz" wrap="square" lIns="38100" tIns="19050" rIns="38100" bIns="19050" anchor="t" anchorCtr="0">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15:layout>
                    <c:manualLayout>
                      <c:w val="0.1004714903942665"/>
                      <c:h val="7.4072154413484026E-2"/>
                    </c:manualLayout>
                  </c15:layout>
                </c:ext>
                <c:ext xmlns:c16="http://schemas.microsoft.com/office/drawing/2014/chart" uri="{C3380CC4-5D6E-409C-BE32-E72D297353CC}">
                  <c16:uniqueId val="{00000007-C7F2-4C00-BF70-95F6B7E7FF57}"/>
                </c:ext>
              </c:extLst>
            </c:dLbl>
            <c:dLbl>
              <c:idx val="4"/>
              <c:layout>
                <c:manualLayout>
                  <c:x val="1.5526442999493559E-3"/>
                  <c:y val="-1.8700330009288321E-2"/>
                </c:manualLayout>
              </c:layout>
              <c:showLegendKey val="0"/>
              <c:showVal val="0"/>
              <c:showCatName val="0"/>
              <c:showSerName val="0"/>
              <c:showPercent val="1"/>
              <c:showBubbleSize val="0"/>
              <c:extLst>
                <c:ext xmlns:c15="http://schemas.microsoft.com/office/drawing/2012/chart" uri="{CE6537A1-D6FC-4f65-9D91-7224C49458BB}">
                  <c15:layout>
                    <c:manualLayout>
                      <c:w val="0.10112384551115861"/>
                      <c:h val="7.4072154413484026E-2"/>
                    </c:manualLayout>
                  </c15:layout>
                </c:ext>
                <c:ext xmlns:c16="http://schemas.microsoft.com/office/drawing/2014/chart" uri="{C3380CC4-5D6E-409C-BE32-E72D297353CC}">
                  <c16:uniqueId val="{00000009-C7F2-4C00-BF70-95F6B7E7FF57}"/>
                </c:ext>
              </c:extLst>
            </c:dLbl>
            <c:dLbl>
              <c:idx val="5"/>
              <c:layout>
                <c:manualLayout>
                  <c:x val="-1.5526442999493618E-2"/>
                  <c:y val="-2.9920528014861315E-2"/>
                </c:manualLayout>
              </c:layout>
              <c:showLegendKey val="0"/>
              <c:showVal val="0"/>
              <c:showCatName val="0"/>
              <c:showSerName val="0"/>
              <c:showPercent val="1"/>
              <c:showBubbleSize val="0"/>
              <c:extLst>
                <c:ext xmlns:c15="http://schemas.microsoft.com/office/drawing/2012/chart" uri="{CE6537A1-D6FC-4f65-9D91-7224C49458BB}">
                  <c15:layout>
                    <c:manualLayout>
                      <c:w val="8.6761763481170331E-2"/>
                      <c:h val="7.4072154413484026E-2"/>
                    </c:manualLayout>
                  </c15:layout>
                </c:ext>
                <c:ext xmlns:c16="http://schemas.microsoft.com/office/drawing/2014/chart" uri="{C3380CC4-5D6E-409C-BE32-E72D297353CC}">
                  <c16:uniqueId val="{0000000B-C7F2-4C00-BF70-95F6B7E7FF57}"/>
                </c:ext>
              </c:extLst>
            </c:dLbl>
            <c:dLbl>
              <c:idx val="6"/>
              <c:layout>
                <c:manualLayout>
                  <c:x val="-2.1736653432920999E-2"/>
                  <c:y val="-5.9841056029722631E-2"/>
                </c:manualLayout>
              </c:layout>
              <c:spPr>
                <a:noFill/>
                <a:ln>
                  <a:noFill/>
                </a:ln>
                <a:effectLst/>
              </c:spPr>
              <c:txPr>
                <a:bodyPr rot="0" spcFirstLastPara="1" vertOverflow="ellipsis" vert="horz" wrap="square" lIns="38100" tIns="19050" rIns="38100" bIns="19050" anchor="t" anchorCtr="0">
                  <a:no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15:layout>
                    <c:manualLayout>
                      <c:w val="9.0503758499504969E-2"/>
                      <c:h val="7.4072154413484026E-2"/>
                    </c:manualLayout>
                  </c15:layout>
                </c:ext>
                <c:ext xmlns:c16="http://schemas.microsoft.com/office/drawing/2014/chart" uri="{C3380CC4-5D6E-409C-BE32-E72D297353CC}">
                  <c16:uniqueId val="{0000000D-C7F2-4C00-BF70-95F6B7E7FF57}"/>
                </c:ext>
              </c:extLst>
            </c:dLbl>
            <c:dLbl>
              <c:idx val="7"/>
              <c:layout>
                <c:manualLayout>
                  <c:x val="-6.2105771997974469E-3"/>
                  <c:y val="-4.3010759021363136E-2"/>
                </c:manualLayout>
              </c:layout>
              <c:spPr>
                <a:noFill/>
                <a:ln>
                  <a:noFill/>
                </a:ln>
                <a:effectLst/>
              </c:spPr>
              <c:txPr>
                <a:bodyPr rot="0" spcFirstLastPara="1" vertOverflow="ellipsis" vert="horz" wrap="square" lIns="38100" tIns="19050" rIns="38100" bIns="19050" anchor="t" anchorCtr="0">
                  <a:no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15:layout>
                    <c:manualLayout>
                      <c:w val="8.4945047394772891E-2"/>
                      <c:h val="7.7812220415341693E-2"/>
                    </c:manualLayout>
                  </c15:layout>
                </c:ext>
                <c:ext xmlns:c16="http://schemas.microsoft.com/office/drawing/2014/chart" uri="{C3380CC4-5D6E-409C-BE32-E72D297353CC}">
                  <c16:uniqueId val="{0000000F-C7F2-4C00-BF70-95F6B7E7FF57}"/>
                </c:ext>
              </c:extLst>
            </c:dLbl>
            <c:dLbl>
              <c:idx val="8"/>
              <c:layout>
                <c:manualLayout>
                  <c:x val="1.5525220444926728E-3"/>
                  <c:y val="-4.1140726020434309E-2"/>
                </c:manualLayout>
              </c:layout>
              <c:showLegendKey val="0"/>
              <c:showVal val="0"/>
              <c:showCatName val="0"/>
              <c:showSerName val="0"/>
              <c:showPercent val="1"/>
              <c:showBubbleSize val="0"/>
              <c:extLst>
                <c:ext xmlns:c15="http://schemas.microsoft.com/office/drawing/2012/chart" uri="{CE6537A1-D6FC-4f65-9D91-7224C49458BB}">
                  <c15:layout>
                    <c:manualLayout>
                      <c:w val="8.8236653310665533E-2"/>
                      <c:h val="7.4072154413484026E-2"/>
                    </c:manualLayout>
                  </c15:layout>
                </c:ext>
                <c:ext xmlns:c16="http://schemas.microsoft.com/office/drawing/2014/chart" uri="{C3380CC4-5D6E-409C-BE32-E72D297353CC}">
                  <c16:uniqueId val="{00000011-C7F2-4C00-BF70-95F6B7E7FF57}"/>
                </c:ext>
              </c:extLst>
            </c:dLbl>
            <c:spPr>
              <a:noFill/>
              <a:ln>
                <a:noFill/>
              </a:ln>
              <a:effectLst/>
            </c:spPr>
            <c:txPr>
              <a:bodyPr rot="0" spcFirstLastPara="1" vertOverflow="ellipsis" vert="horz" wrap="square" lIns="38100" tIns="19050" rIns="38100" bIns="19050" anchor="t" anchorCtr="0">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0"/>
            <c:extLst>
              <c:ext xmlns:c15="http://schemas.microsoft.com/office/drawing/2012/chart" uri="{CE6537A1-D6FC-4f65-9D91-7224C49458BB}"/>
            </c:extLst>
          </c:dLbls>
          <c:cat>
            <c:strRef>
              <c:f>'CALCULS Eau'!$K$17:$K$25</c:f>
              <c:strCache>
                <c:ptCount val="9"/>
                <c:pt idx="0">
                  <c:v>Eau potable /Linéaire</c:v>
                </c:pt>
                <c:pt idx="1">
                  <c:v>Eau potable /Ponctuel</c:v>
                </c:pt>
                <c:pt idx="2">
                  <c:v>Eau potable /Autres</c:v>
                </c:pt>
                <c:pt idx="3">
                  <c:v>Eaux usées /Linéaire</c:v>
                </c:pt>
                <c:pt idx="4">
                  <c:v>Eaux usées /Ponctuel</c:v>
                </c:pt>
                <c:pt idx="5">
                  <c:v>Eaux usées /Autres</c:v>
                </c:pt>
                <c:pt idx="6">
                  <c:v>Eaux pluviales /Linéaire</c:v>
                </c:pt>
                <c:pt idx="7">
                  <c:v>Eaux pluviales /Ponctuel</c:v>
                </c:pt>
                <c:pt idx="8">
                  <c:v>Eaux pluviales /Autres</c:v>
                </c:pt>
              </c:strCache>
            </c:strRef>
          </c:cat>
          <c:val>
            <c:numRef>
              <c:f>'CALCULS Eau'!$O$17:$O$25</c:f>
              <c:numCache>
                <c:formatCode>#\ ##0\ "$"</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C7F2-4C00-BF70-95F6B7E7FF57}"/>
            </c:ext>
          </c:extLst>
        </c:ser>
        <c:dLbls>
          <c:showLegendKey val="0"/>
          <c:showVal val="0"/>
          <c:showCatName val="0"/>
          <c:showSerName val="0"/>
          <c:showPercent val="0"/>
          <c:showBubbleSize val="0"/>
          <c:showLeaderLines val="0"/>
        </c:dLbls>
        <c:firstSliceAng val="0"/>
        <c:holeSize val="51"/>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29588021729534E-2"/>
          <c:y val="5.4841473864610114E-2"/>
          <c:w val="0.95111774518547876"/>
          <c:h val="0.79841329063589961"/>
        </c:manualLayout>
      </c:layout>
      <c:barChart>
        <c:barDir val="col"/>
        <c:grouping val="percentStacked"/>
        <c:varyColors val="0"/>
        <c:ser>
          <c:idx val="0"/>
          <c:order val="0"/>
          <c:tx>
            <c:strRef>
              <c:f>'CALCULS Eau'!$D$105</c:f>
              <c:strCache>
                <c:ptCount val="1"/>
                <c:pt idx="0">
                  <c:v>Inconnu</c:v>
                </c:pt>
              </c:strCache>
            </c:strRef>
          </c:tx>
          <c:spPr>
            <a:solidFill>
              <a:schemeClr val="bg2">
                <a:lumMod val="75000"/>
              </a:schemeClr>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Eau'!$C$106:$C$115</c:f>
              <c:strCache>
                <c:ptCount val="9"/>
                <c:pt idx="1">
                  <c:v>Eau potable /Linéaire</c:v>
                </c:pt>
                <c:pt idx="2">
                  <c:v>Eau potable /Ponctuel</c:v>
                </c:pt>
                <c:pt idx="4">
                  <c:v>Eaux usées /Linéaire</c:v>
                </c:pt>
                <c:pt idx="5">
                  <c:v>Eaux usées /Ponctuel</c:v>
                </c:pt>
                <c:pt idx="7">
                  <c:v>Eaux pluviales /Linéaire</c:v>
                </c:pt>
                <c:pt idx="8">
                  <c:v>Eaux pluviales /Ponctuel</c:v>
                </c:pt>
              </c:strCache>
            </c:strRef>
          </c:cat>
          <c:val>
            <c:numRef>
              <c:f>'CALCULS Eau'!$D$106:$D$115</c:f>
              <c:numCache>
                <c:formatCode>0.0%</c:formatCode>
                <c:ptCount val="10"/>
                <c:pt idx="1">
                  <c:v>0</c:v>
                </c:pt>
                <c:pt idx="2">
                  <c:v>0</c:v>
                </c:pt>
                <c:pt idx="4">
                  <c:v>0</c:v>
                </c:pt>
                <c:pt idx="5">
                  <c:v>0</c:v>
                </c:pt>
                <c:pt idx="7">
                  <c:v>0</c:v>
                </c:pt>
                <c:pt idx="8">
                  <c:v>0</c:v>
                </c:pt>
              </c:numCache>
            </c:numRef>
          </c:val>
          <c:extLst>
            <c:ext xmlns:c16="http://schemas.microsoft.com/office/drawing/2014/chart" uri="{C3380CC4-5D6E-409C-BE32-E72D297353CC}">
              <c16:uniqueId val="{00000000-D5A6-4C15-B92D-955CF180D263}"/>
            </c:ext>
          </c:extLst>
        </c:ser>
        <c:ser>
          <c:idx val="5"/>
          <c:order val="1"/>
          <c:tx>
            <c:strRef>
              <c:f>'CALCULS Eau'!$E$105</c:f>
              <c:strCache>
                <c:ptCount val="1"/>
                <c:pt idx="0">
                  <c:v>Très mauvais 
(E)</c:v>
                </c:pt>
              </c:strCache>
            </c:strRef>
          </c:tx>
          <c:spPr>
            <a:solidFill>
              <a:srgbClr val="D00000"/>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Eau'!$C$106:$C$115</c:f>
              <c:strCache>
                <c:ptCount val="9"/>
                <c:pt idx="1">
                  <c:v>Eau potable /Linéaire</c:v>
                </c:pt>
                <c:pt idx="2">
                  <c:v>Eau potable /Ponctuel</c:v>
                </c:pt>
                <c:pt idx="4">
                  <c:v>Eaux usées /Linéaire</c:v>
                </c:pt>
                <c:pt idx="5">
                  <c:v>Eaux usées /Ponctuel</c:v>
                </c:pt>
                <c:pt idx="7">
                  <c:v>Eaux pluviales /Linéaire</c:v>
                </c:pt>
                <c:pt idx="8">
                  <c:v>Eaux pluviales /Ponctuel</c:v>
                </c:pt>
              </c:strCache>
            </c:strRef>
          </c:cat>
          <c:val>
            <c:numRef>
              <c:f>'CALCULS Eau'!$E$106:$E$115</c:f>
              <c:numCache>
                <c:formatCode>0.0%</c:formatCode>
                <c:ptCount val="10"/>
                <c:pt idx="1">
                  <c:v>0</c:v>
                </c:pt>
                <c:pt idx="2">
                  <c:v>0</c:v>
                </c:pt>
                <c:pt idx="4">
                  <c:v>0</c:v>
                </c:pt>
                <c:pt idx="5">
                  <c:v>0</c:v>
                </c:pt>
                <c:pt idx="7">
                  <c:v>0</c:v>
                </c:pt>
                <c:pt idx="8">
                  <c:v>0</c:v>
                </c:pt>
              </c:numCache>
            </c:numRef>
          </c:val>
          <c:extLst>
            <c:ext xmlns:c16="http://schemas.microsoft.com/office/drawing/2014/chart" uri="{C3380CC4-5D6E-409C-BE32-E72D297353CC}">
              <c16:uniqueId val="{00000005-D5A6-4C15-B92D-955CF180D263}"/>
            </c:ext>
          </c:extLst>
        </c:ser>
        <c:ser>
          <c:idx val="4"/>
          <c:order val="2"/>
          <c:tx>
            <c:strRef>
              <c:f>'CALCULS Eau'!$F$105</c:f>
              <c:strCache>
                <c:ptCount val="1"/>
                <c:pt idx="0">
                  <c:v>Mauvais 
(D)</c:v>
                </c:pt>
              </c:strCache>
            </c:strRef>
          </c:tx>
          <c:spPr>
            <a:solidFill>
              <a:srgbClr val="F98007"/>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Eau'!$C$106:$C$115</c:f>
              <c:strCache>
                <c:ptCount val="9"/>
                <c:pt idx="1">
                  <c:v>Eau potable /Linéaire</c:v>
                </c:pt>
                <c:pt idx="2">
                  <c:v>Eau potable /Ponctuel</c:v>
                </c:pt>
                <c:pt idx="4">
                  <c:v>Eaux usées /Linéaire</c:v>
                </c:pt>
                <c:pt idx="5">
                  <c:v>Eaux usées /Ponctuel</c:v>
                </c:pt>
                <c:pt idx="7">
                  <c:v>Eaux pluviales /Linéaire</c:v>
                </c:pt>
                <c:pt idx="8">
                  <c:v>Eaux pluviales /Ponctuel</c:v>
                </c:pt>
              </c:strCache>
            </c:strRef>
          </c:cat>
          <c:val>
            <c:numRef>
              <c:f>'CALCULS Eau'!$F$106:$F$115</c:f>
              <c:numCache>
                <c:formatCode>0.0%</c:formatCode>
                <c:ptCount val="10"/>
                <c:pt idx="1">
                  <c:v>0</c:v>
                </c:pt>
                <c:pt idx="2">
                  <c:v>0</c:v>
                </c:pt>
                <c:pt idx="4">
                  <c:v>0</c:v>
                </c:pt>
                <c:pt idx="5">
                  <c:v>0</c:v>
                </c:pt>
                <c:pt idx="7">
                  <c:v>0</c:v>
                </c:pt>
                <c:pt idx="8">
                  <c:v>0</c:v>
                </c:pt>
              </c:numCache>
            </c:numRef>
          </c:val>
          <c:extLst>
            <c:ext xmlns:c16="http://schemas.microsoft.com/office/drawing/2014/chart" uri="{C3380CC4-5D6E-409C-BE32-E72D297353CC}">
              <c16:uniqueId val="{00000004-D5A6-4C15-B92D-955CF180D263}"/>
            </c:ext>
          </c:extLst>
        </c:ser>
        <c:ser>
          <c:idx val="3"/>
          <c:order val="3"/>
          <c:tx>
            <c:strRef>
              <c:f>'CALCULS Eau'!$G$105</c:f>
              <c:strCache>
                <c:ptCount val="1"/>
                <c:pt idx="0">
                  <c:v>Satisfaisant 
(C)</c:v>
                </c:pt>
              </c:strCache>
            </c:strRef>
          </c:tx>
          <c:spPr>
            <a:solidFill>
              <a:srgbClr val="FFD347"/>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Eau'!$C$106:$C$115</c:f>
              <c:strCache>
                <c:ptCount val="9"/>
                <c:pt idx="1">
                  <c:v>Eau potable /Linéaire</c:v>
                </c:pt>
                <c:pt idx="2">
                  <c:v>Eau potable /Ponctuel</c:v>
                </c:pt>
                <c:pt idx="4">
                  <c:v>Eaux usées /Linéaire</c:v>
                </c:pt>
                <c:pt idx="5">
                  <c:v>Eaux usées /Ponctuel</c:v>
                </c:pt>
                <c:pt idx="7">
                  <c:v>Eaux pluviales /Linéaire</c:v>
                </c:pt>
                <c:pt idx="8">
                  <c:v>Eaux pluviales /Ponctuel</c:v>
                </c:pt>
              </c:strCache>
            </c:strRef>
          </c:cat>
          <c:val>
            <c:numRef>
              <c:f>'CALCULS Eau'!$G$106:$G$115</c:f>
              <c:numCache>
                <c:formatCode>0.0%</c:formatCode>
                <c:ptCount val="10"/>
                <c:pt idx="1">
                  <c:v>0</c:v>
                </c:pt>
                <c:pt idx="2">
                  <c:v>0</c:v>
                </c:pt>
                <c:pt idx="4">
                  <c:v>0</c:v>
                </c:pt>
                <c:pt idx="5">
                  <c:v>0</c:v>
                </c:pt>
                <c:pt idx="7">
                  <c:v>0</c:v>
                </c:pt>
                <c:pt idx="8">
                  <c:v>0</c:v>
                </c:pt>
              </c:numCache>
            </c:numRef>
          </c:val>
          <c:extLst>
            <c:ext xmlns:c16="http://schemas.microsoft.com/office/drawing/2014/chart" uri="{C3380CC4-5D6E-409C-BE32-E72D297353CC}">
              <c16:uniqueId val="{00000003-D5A6-4C15-B92D-955CF180D263}"/>
            </c:ext>
          </c:extLst>
        </c:ser>
        <c:ser>
          <c:idx val="2"/>
          <c:order val="4"/>
          <c:tx>
            <c:strRef>
              <c:f>'CALCULS Eau'!$H$105</c:f>
              <c:strCache>
                <c:ptCount val="1"/>
                <c:pt idx="0">
                  <c:v>Bon 
(B)</c:v>
                </c:pt>
              </c:strCache>
            </c:strRef>
          </c:tx>
          <c:spPr>
            <a:solidFill>
              <a:srgbClr val="007DDA"/>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Eau'!$C$106:$C$115</c:f>
              <c:strCache>
                <c:ptCount val="9"/>
                <c:pt idx="1">
                  <c:v>Eau potable /Linéaire</c:v>
                </c:pt>
                <c:pt idx="2">
                  <c:v>Eau potable /Ponctuel</c:v>
                </c:pt>
                <c:pt idx="4">
                  <c:v>Eaux usées /Linéaire</c:v>
                </c:pt>
                <c:pt idx="5">
                  <c:v>Eaux usées /Ponctuel</c:v>
                </c:pt>
                <c:pt idx="7">
                  <c:v>Eaux pluviales /Linéaire</c:v>
                </c:pt>
                <c:pt idx="8">
                  <c:v>Eaux pluviales /Ponctuel</c:v>
                </c:pt>
              </c:strCache>
            </c:strRef>
          </c:cat>
          <c:val>
            <c:numRef>
              <c:f>'CALCULS Eau'!$H$106:$H$115</c:f>
              <c:numCache>
                <c:formatCode>0.0%</c:formatCode>
                <c:ptCount val="10"/>
                <c:pt idx="1">
                  <c:v>0</c:v>
                </c:pt>
                <c:pt idx="2">
                  <c:v>0</c:v>
                </c:pt>
                <c:pt idx="4">
                  <c:v>0</c:v>
                </c:pt>
                <c:pt idx="5">
                  <c:v>0</c:v>
                </c:pt>
                <c:pt idx="7">
                  <c:v>0</c:v>
                </c:pt>
                <c:pt idx="8">
                  <c:v>0</c:v>
                </c:pt>
              </c:numCache>
            </c:numRef>
          </c:val>
          <c:extLst>
            <c:ext xmlns:c16="http://schemas.microsoft.com/office/drawing/2014/chart" uri="{C3380CC4-5D6E-409C-BE32-E72D297353CC}">
              <c16:uniqueId val="{00000002-D5A6-4C15-B92D-955CF180D263}"/>
            </c:ext>
          </c:extLst>
        </c:ser>
        <c:ser>
          <c:idx val="1"/>
          <c:order val="5"/>
          <c:tx>
            <c:strRef>
              <c:f>'CALCULS Eau'!$I$105</c:f>
              <c:strCache>
                <c:ptCount val="1"/>
                <c:pt idx="0">
                  <c:v>Très bon 
(A)</c:v>
                </c:pt>
              </c:strCache>
            </c:strRef>
          </c:tx>
          <c:spPr>
            <a:solidFill>
              <a:srgbClr val="00B050"/>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Eau'!$C$106:$C$115</c:f>
              <c:strCache>
                <c:ptCount val="9"/>
                <c:pt idx="1">
                  <c:v>Eau potable /Linéaire</c:v>
                </c:pt>
                <c:pt idx="2">
                  <c:v>Eau potable /Ponctuel</c:v>
                </c:pt>
                <c:pt idx="4">
                  <c:v>Eaux usées /Linéaire</c:v>
                </c:pt>
                <c:pt idx="5">
                  <c:v>Eaux usées /Ponctuel</c:v>
                </c:pt>
                <c:pt idx="7">
                  <c:v>Eaux pluviales /Linéaire</c:v>
                </c:pt>
                <c:pt idx="8">
                  <c:v>Eaux pluviales /Ponctuel</c:v>
                </c:pt>
              </c:strCache>
            </c:strRef>
          </c:cat>
          <c:val>
            <c:numRef>
              <c:f>'CALCULS Eau'!$I$106:$I$115</c:f>
              <c:numCache>
                <c:formatCode>0.0%</c:formatCode>
                <c:ptCount val="10"/>
                <c:pt idx="1">
                  <c:v>0</c:v>
                </c:pt>
                <c:pt idx="2">
                  <c:v>0</c:v>
                </c:pt>
                <c:pt idx="4">
                  <c:v>0</c:v>
                </c:pt>
                <c:pt idx="5">
                  <c:v>0</c:v>
                </c:pt>
                <c:pt idx="7">
                  <c:v>0</c:v>
                </c:pt>
                <c:pt idx="8">
                  <c:v>0</c:v>
                </c:pt>
              </c:numCache>
            </c:numRef>
          </c:val>
          <c:extLst>
            <c:ext xmlns:c16="http://schemas.microsoft.com/office/drawing/2014/chart" uri="{C3380CC4-5D6E-409C-BE32-E72D297353CC}">
              <c16:uniqueId val="{00000001-D5A6-4C15-B92D-955CF180D263}"/>
            </c:ext>
          </c:extLst>
        </c:ser>
        <c:dLbls>
          <c:showLegendKey val="0"/>
          <c:showVal val="0"/>
          <c:showCatName val="0"/>
          <c:showSerName val="0"/>
          <c:showPercent val="0"/>
          <c:showBubbleSize val="0"/>
        </c:dLbls>
        <c:gapWidth val="56"/>
        <c:overlap val="100"/>
        <c:axId val="847105440"/>
        <c:axId val="847103776"/>
      </c:barChart>
      <c:catAx>
        <c:axId val="847105440"/>
        <c:scaling>
          <c:orientation val="minMax"/>
        </c:scaling>
        <c:delete val="1"/>
        <c:axPos val="b"/>
        <c:numFmt formatCode="General" sourceLinked="1"/>
        <c:majorTickMark val="none"/>
        <c:minorTickMark val="none"/>
        <c:tickLblPos val="nextTo"/>
        <c:crossAx val="847103776"/>
        <c:crosses val="autoZero"/>
        <c:auto val="1"/>
        <c:lblAlgn val="ctr"/>
        <c:lblOffset val="100"/>
        <c:noMultiLvlLbl val="0"/>
      </c:catAx>
      <c:valAx>
        <c:axId val="847103776"/>
        <c:scaling>
          <c:orientation val="minMax"/>
        </c:scaling>
        <c:delete val="1"/>
        <c:axPos val="l"/>
        <c:majorGridlines>
          <c:spPr>
            <a:ln w="9525" cap="flat" cmpd="sng" algn="ctr">
              <a:solidFill>
                <a:schemeClr val="tx2">
                  <a:lumMod val="20000"/>
                  <a:lumOff val="80000"/>
                </a:schemeClr>
              </a:solidFill>
              <a:round/>
            </a:ln>
            <a:effectLst/>
          </c:spPr>
        </c:majorGridlines>
        <c:minorGridlines>
          <c:spPr>
            <a:ln w="9525" cap="flat" cmpd="sng" algn="ctr">
              <a:solidFill>
                <a:schemeClr val="tx2">
                  <a:lumMod val="20000"/>
                  <a:lumOff val="80000"/>
                </a:schemeClr>
              </a:solidFill>
              <a:round/>
            </a:ln>
            <a:effectLst/>
          </c:spPr>
        </c:minorGridlines>
        <c:numFmt formatCode="0%" sourceLinked="1"/>
        <c:majorTickMark val="none"/>
        <c:minorTickMark val="none"/>
        <c:tickLblPos val="nextTo"/>
        <c:crossAx val="847105440"/>
        <c:crosses val="autoZero"/>
        <c:crossBetween val="between"/>
        <c:majorUnit val="0.2"/>
        <c:min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93685987638641943"/>
          <c:h val="0.9585035038936964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89BA-4E5B-BDE0-A1BBBD24ED00}"/>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89BA-4E5B-BDE0-A1BBBD24ED0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9BA-4E5B-BDE0-A1BBBD24ED0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9BA-4E5B-BDE0-A1BBBD24ED00}"/>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89BA-4E5B-BDE0-A1BBBD24ED0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9BA-4E5B-BDE0-A1BBBD24ED0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9BA-4E5B-BDE0-A1BBBD24ED00}"/>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89BA-4E5B-BDE0-A1BBBD24ED00}"/>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89BA-4E5B-BDE0-A1BBBD24ED0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9BA-4E5B-BDE0-A1BBBD24ED00}"/>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89BA-4E5B-BDE0-A1BBBD24ED00}"/>
              </c:ext>
            </c:extLst>
          </c:dPt>
          <c:dLbls>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89BA-4E5B-BDE0-A1BBBD24ED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'CALCULS Eau potable'!$L$282:$L$292</c:f>
              <c:numCache>
                <c:formatCode>General</c:formatCode>
                <c:ptCount val="11"/>
              </c:numCache>
            </c:numRef>
          </c:cat>
          <c:val>
            <c:numRef>
              <c:f>'CALCULS Eau potable'!$M$282:$M$292</c:f>
              <c:numCache>
                <c:formatCode>#\ ##0\ "$"</c:formatCode>
                <c:ptCount val="11"/>
                <c:pt idx="0">
                  <c:v>0</c:v>
                </c:pt>
                <c:pt idx="1">
                  <c:v>0</c:v>
                </c:pt>
                <c:pt idx="4">
                  <c:v>0</c:v>
                </c:pt>
                <c:pt idx="7">
                  <c:v>0</c:v>
                </c:pt>
                <c:pt idx="8">
                  <c:v>0</c:v>
                </c:pt>
              </c:numCache>
            </c:numRef>
          </c:val>
          <c:extLst>
            <c:ext xmlns:c16="http://schemas.microsoft.com/office/drawing/2014/chart" uri="{C3380CC4-5D6E-409C-BE32-E72D297353CC}">
              <c16:uniqueId val="{00000016-89BA-4E5B-BDE0-A1BBBD24ED00}"/>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93685987638641943"/>
          <c:h val="0.9585035038936964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DB59-4726-90FF-4EBA59296709}"/>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DB59-4726-90FF-4EBA5929670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B59-4726-90FF-4EBA5929670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B59-4726-90FF-4EBA59296709}"/>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DB59-4726-90FF-4EBA5929670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B59-4726-90FF-4EBA5929670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B59-4726-90FF-4EBA59296709}"/>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DB59-4726-90FF-4EBA59296709}"/>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DB59-4726-90FF-4EBA59296709}"/>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1-DB59-4726-90FF-4EBA59296709}"/>
                </c:ext>
              </c:extLst>
            </c:dLbl>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DB59-4726-90FF-4EBA5929670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Eau'!$M$229:$M$237</c:f>
              <c:numCache>
                <c:formatCode>#\ ##0\ "$"</c:formatCode>
                <c:ptCount val="9"/>
                <c:pt idx="0">
                  <c:v>0</c:v>
                </c:pt>
                <c:pt idx="1">
                  <c:v>0</c:v>
                </c:pt>
                <c:pt idx="4">
                  <c:v>0</c:v>
                </c:pt>
                <c:pt idx="7">
                  <c:v>0</c:v>
                </c:pt>
                <c:pt idx="8">
                  <c:v>0</c:v>
                </c:pt>
              </c:numCache>
            </c:numRef>
          </c:val>
          <c:extLst>
            <c:ext xmlns:c16="http://schemas.microsoft.com/office/drawing/2014/chart" uri="{C3380CC4-5D6E-409C-BE32-E72D297353CC}">
              <c16:uniqueId val="{00000016-DB59-4726-90FF-4EBA59296709}"/>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740157480314962E-2"/>
          <c:y val="0.22461164576650142"/>
          <c:w val="0.82257532468778138"/>
          <c:h val="0.75666715271702145"/>
        </c:manualLayout>
      </c:layout>
      <c:barChart>
        <c:barDir val="col"/>
        <c:grouping val="stacked"/>
        <c:varyColors val="0"/>
        <c:ser>
          <c:idx val="0"/>
          <c:order val="0"/>
          <c:spPr>
            <a:solidFill>
              <a:schemeClr val="accent5">
                <a:lumMod val="75000"/>
              </a:schemeClr>
            </a:solidFill>
            <a:ln>
              <a:noFill/>
            </a:ln>
            <a:effectLst/>
          </c:spPr>
          <c:invertIfNegative val="0"/>
          <c:dPt>
            <c:idx val="1"/>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3-AFA2-4F81-9DB1-579826B54998}"/>
              </c:ext>
            </c:extLst>
          </c:dPt>
          <c:dLbls>
            <c:dLbl>
              <c:idx val="0"/>
              <c:numFmt formatCode="#,##0\ &quot;$&quot;"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Base"/>
              <c:showLegendKey val="0"/>
              <c:showVal val="1"/>
              <c:showCatName val="1"/>
              <c:showSerName val="0"/>
              <c:showPercent val="0"/>
              <c:showBubbleSize val="0"/>
              <c:separator>
</c:separator>
              <c:extLst>
                <c:ext xmlns:c15="http://schemas.microsoft.com/office/drawing/2012/chart" uri="{CE6537A1-D6FC-4f65-9D91-7224C49458BB}">
                  <c15:layout>
                    <c:manualLayout>
                      <c:w val="0.35952799650043749"/>
                      <c:h val="0.32883202099737535"/>
                    </c:manualLayout>
                  </c15:layout>
                </c:ext>
                <c:ext xmlns:c16="http://schemas.microsoft.com/office/drawing/2014/chart" uri="{C3380CC4-5D6E-409C-BE32-E72D297353CC}">
                  <c16:uniqueId val="{00000001-AFA2-4F81-9DB1-579826B54998}"/>
                </c:ext>
              </c:extLst>
            </c:dLbl>
            <c:dLbl>
              <c:idx val="1"/>
              <c:numFmt formatCode="#,##0\ &quot;$&quot;"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Base"/>
              <c:showLegendKey val="0"/>
              <c:showVal val="1"/>
              <c:showCatName val="1"/>
              <c:showSerName val="0"/>
              <c:showPercent val="0"/>
              <c:showBubbleSize val="0"/>
              <c:separator>
</c:separator>
              <c:extLst>
                <c:ext xmlns:c15="http://schemas.microsoft.com/office/drawing/2012/chart" uri="{CE6537A1-D6FC-4f65-9D91-7224C49458BB}">
                  <c15:layout>
                    <c:manualLayout>
                      <c:w val="0.35830577427821525"/>
                      <c:h val="0.32286137843880625"/>
                    </c:manualLayout>
                  </c15:layout>
                </c:ext>
                <c:ext xmlns:c16="http://schemas.microsoft.com/office/drawing/2014/chart" uri="{C3380CC4-5D6E-409C-BE32-E72D297353CC}">
                  <c16:uniqueId val="{00000003-AFA2-4F81-9DB1-579826B54998}"/>
                </c:ext>
              </c:extLst>
            </c:dLbl>
            <c:numFmt formatCode="#,##0\ &quot;$&quot;"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Base"/>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Eau'!$I$308:$I$309</c:f>
              <c:strCache>
                <c:ptCount val="2"/>
                <c:pt idx="0">
                  <c:v>Coûts prévisionnels</c:v>
                </c:pt>
                <c:pt idx="1">
                  <c:v>Budget planifié</c:v>
                </c:pt>
              </c:strCache>
            </c:strRef>
          </c:cat>
          <c:val>
            <c:numRef>
              <c:f>'CALCULS Eau'!$J$308:$J$309</c:f>
              <c:numCache>
                <c:formatCode>#\ ##0\ "$"</c:formatCode>
                <c:ptCount val="2"/>
                <c:pt idx="0">
                  <c:v>0</c:v>
                </c:pt>
                <c:pt idx="1">
                  <c:v>0</c:v>
                </c:pt>
              </c:numCache>
            </c:numRef>
          </c:val>
          <c:extLst>
            <c:ext xmlns:c16="http://schemas.microsoft.com/office/drawing/2014/chart" uri="{C3380CC4-5D6E-409C-BE32-E72D297353CC}">
              <c16:uniqueId val="{00000008-AFA2-4F81-9DB1-579826B54998}"/>
            </c:ext>
          </c:extLst>
        </c:ser>
        <c:ser>
          <c:idx val="1"/>
          <c:order val="1"/>
          <c:tx>
            <c:strRef>
              <c:f>'CALCULS Eau'!$K$306</c:f>
              <c:strCache>
                <c:ptCount val="1"/>
                <c:pt idx="0">
                  <c:v>Déficit de financement</c:v>
                </c:pt>
              </c:strCache>
            </c:strRef>
          </c:tx>
          <c:spPr>
            <a:solidFill>
              <a:schemeClr val="accent2"/>
            </a:solidFill>
            <a:ln>
              <a:noFill/>
            </a:ln>
            <a:effectLst/>
          </c:spPr>
          <c:invertIfNegative val="0"/>
          <c:dPt>
            <c:idx val="1"/>
            <c:invertIfNegative val="0"/>
            <c:bubble3D val="0"/>
            <c:spPr>
              <a:solidFill>
                <a:srgbClr val="C00000"/>
              </a:solidFill>
              <a:ln>
                <a:solidFill>
                  <a:srgbClr val="C00000"/>
                </a:solidFill>
              </a:ln>
              <a:effectLst/>
            </c:spPr>
            <c:extLst>
              <c:ext xmlns:c16="http://schemas.microsoft.com/office/drawing/2014/chart" uri="{C3380CC4-5D6E-409C-BE32-E72D297353CC}">
                <c16:uniqueId val="{0000000A-AFA2-4F81-9DB1-579826B54998}"/>
              </c:ext>
            </c:extLst>
          </c:dPt>
          <c:dLbls>
            <c:dLbl>
              <c:idx val="0"/>
              <c:delete val="1"/>
              <c:extLst>
                <c:ext xmlns:c15="http://schemas.microsoft.com/office/drawing/2012/chart" uri="{CE6537A1-D6FC-4f65-9D91-7224C49458BB}"/>
                <c:ext xmlns:c16="http://schemas.microsoft.com/office/drawing/2014/chart" uri="{C3380CC4-5D6E-409C-BE32-E72D297353CC}">
                  <c16:uniqueId val="{00000004-160C-41FF-B458-B8C497D8E00D}"/>
                </c:ext>
              </c:extLst>
            </c:dLbl>
            <c:dLbl>
              <c:idx val="1"/>
              <c:layout>
                <c:manualLayout>
                  <c:x val="7.2222222222222118E-2"/>
                  <c:y val="-0.27160493827160492"/>
                </c:manualLayout>
              </c:layout>
              <c:numFmt formatCode="#,##0\ &quot;$&quot;"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rgbClr val="002060"/>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6108355205599302"/>
                      <c:h val="0.26622581899484787"/>
                    </c:manualLayout>
                  </c15:layout>
                </c:ext>
                <c:ext xmlns:c16="http://schemas.microsoft.com/office/drawing/2014/chart" uri="{C3380CC4-5D6E-409C-BE32-E72D297353CC}">
                  <c16:uniqueId val="{0000000A-AFA2-4F81-9DB1-579826B54998}"/>
                </c:ext>
              </c:extLst>
            </c:dLbl>
            <c:numFmt formatCode="#,##0\ &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Eau'!$I$308:$I$309</c:f>
              <c:strCache>
                <c:ptCount val="2"/>
                <c:pt idx="0">
                  <c:v>Coûts prévisionnels</c:v>
                </c:pt>
                <c:pt idx="1">
                  <c:v>Budget planifié</c:v>
                </c:pt>
              </c:strCache>
            </c:strRef>
          </c:cat>
          <c:val>
            <c:numRef>
              <c:f>'CALCULS Eau'!$K$308:$K$309</c:f>
              <c:numCache>
                <c:formatCode>#\ ##0\ "$"</c:formatCode>
                <c:ptCount val="2"/>
                <c:pt idx="0">
                  <c:v>0</c:v>
                </c:pt>
                <c:pt idx="1">
                  <c:v>0</c:v>
                </c:pt>
              </c:numCache>
            </c:numRef>
          </c:val>
          <c:extLst>
            <c:ext xmlns:c16="http://schemas.microsoft.com/office/drawing/2014/chart" uri="{C3380CC4-5D6E-409C-BE32-E72D297353CC}">
              <c16:uniqueId val="{0000000D-AFA2-4F81-9DB1-579826B54998}"/>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out"/>
        <c:minorTickMark val="none"/>
        <c:tickLblPos val="nextTo"/>
        <c:crossAx val="1692710096"/>
        <c:crosses val="autoZero"/>
        <c:auto val="1"/>
        <c:lblAlgn val="ctr"/>
        <c:lblOffset val="100"/>
        <c:noMultiLvlLbl val="0"/>
      </c:catAx>
      <c:valAx>
        <c:axId val="1692710096"/>
        <c:scaling>
          <c:orientation val="minMax"/>
        </c:scaling>
        <c:delete val="1"/>
        <c:axPos val="l"/>
        <c:numFmt formatCode="#\ ##0\ &quot;$&quot;" sourceLinked="1"/>
        <c:majorTickMark val="out"/>
        <c:minorTickMark val="none"/>
        <c:tickLblPos val="nextTo"/>
        <c:crossAx val="1692711760"/>
        <c:crossesAt val="1"/>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7CAFDE"/>
              </a:solidFill>
              <a:ln w="19050">
                <a:solidFill>
                  <a:schemeClr val="lt1"/>
                </a:solidFill>
              </a:ln>
              <a:effectLst/>
            </c:spPr>
            <c:extLst>
              <c:ext xmlns:c16="http://schemas.microsoft.com/office/drawing/2014/chart" uri="{C3380CC4-5D6E-409C-BE32-E72D297353CC}">
                <c16:uniqueId val="{00000002-C029-4044-9264-88A75D79D8C2}"/>
              </c:ext>
            </c:extLst>
          </c:dPt>
          <c:dPt>
            <c:idx val="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3-D4A7-445B-87EA-353A7A13AFB8}"/>
              </c:ext>
            </c:extLst>
          </c:dPt>
          <c:dPt>
            <c:idx val="2"/>
            <c:bubble3D val="0"/>
            <c:spPr>
              <a:solidFill>
                <a:srgbClr val="2BB3A3"/>
              </a:solidFill>
              <a:ln w="19050">
                <a:solidFill>
                  <a:schemeClr val="lt1"/>
                </a:solidFill>
              </a:ln>
              <a:effectLst/>
            </c:spPr>
            <c:extLst>
              <c:ext xmlns:c16="http://schemas.microsoft.com/office/drawing/2014/chart" uri="{C3380CC4-5D6E-409C-BE32-E72D297353CC}">
                <c16:uniqueId val="{00000005-D4A7-445B-87EA-353A7A13AFB8}"/>
              </c:ext>
            </c:extLst>
          </c:dPt>
          <c:dLbls>
            <c:dLbl>
              <c:idx val="0"/>
              <c:spPr>
                <a:noFill/>
                <a:ln>
                  <a:noFill/>
                </a:ln>
                <a:effectLst/>
              </c:spPr>
              <c:txPr>
                <a:bodyPr rot="0" spcFirstLastPara="1" vertOverflow="ellipsis" vert="horz" wrap="square" lIns="38100" tIns="19050" rIns="38100" bIns="19050" anchor="ctr" anchorCtr="0">
                  <a:noAutofit/>
                </a:bodyPr>
                <a:lstStyle/>
                <a:p>
                  <a:pPr algn="ct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4178871155338708"/>
                      <c:h val="0.25396825396825395"/>
                    </c:manualLayout>
                  </c15:layout>
                </c:ext>
                <c:ext xmlns:c16="http://schemas.microsoft.com/office/drawing/2014/chart" uri="{C3380CC4-5D6E-409C-BE32-E72D297353CC}">
                  <c16:uniqueId val="{00000002-C029-4044-9264-88A75D79D8C2}"/>
                </c:ext>
              </c:extLst>
            </c:dLbl>
            <c:dLbl>
              <c:idx val="1"/>
              <c:spPr>
                <a:noFill/>
                <a:ln>
                  <a:noFill/>
                </a:ln>
                <a:effectLst/>
              </c:spPr>
              <c:txPr>
                <a:bodyPr rot="0" spcFirstLastPara="1" vertOverflow="ellipsis" vert="horz" wrap="square" lIns="38100" tIns="19050" rIns="38100" bIns="19050" anchor="ctr" anchorCtr="0">
                  <a:noAutofit/>
                </a:bodyPr>
                <a:lstStyle/>
                <a:p>
                  <a:pPr algn="ct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2774906061532172"/>
                      <c:h val="0.23809523809523808"/>
                    </c:manualLayout>
                  </c15:layout>
                </c:ext>
                <c:ext xmlns:c16="http://schemas.microsoft.com/office/drawing/2014/chart" uri="{C3380CC4-5D6E-409C-BE32-E72D297353CC}">
                  <c16:uniqueId val="{00000003-D4A7-445B-87EA-353A7A13AFB8}"/>
                </c:ext>
              </c:extLst>
            </c:dLbl>
            <c:dLbl>
              <c:idx val="2"/>
              <c:spPr>
                <a:noFill/>
                <a:ln>
                  <a:noFill/>
                </a:ln>
                <a:effectLst/>
              </c:spPr>
              <c:txPr>
                <a:bodyPr rot="0" spcFirstLastPara="1" vertOverflow="ellipsis" vert="horz" wrap="square" lIns="38100" tIns="19050" rIns="38100" bIns="19050" anchor="ctr" anchorCtr="0">
                  <a:noAutofit/>
                </a:bodyPr>
                <a:lstStyle/>
                <a:p>
                  <a:pPr algn="ct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42520101402975685"/>
                      <c:h val="0.26984126984126983"/>
                    </c:manualLayout>
                  </c15:layout>
                </c:ext>
                <c:ext xmlns:c16="http://schemas.microsoft.com/office/drawing/2014/chart" uri="{C3380CC4-5D6E-409C-BE32-E72D297353CC}">
                  <c16:uniqueId val="{00000005-D4A7-445B-87EA-353A7A13AFB8}"/>
                </c:ext>
              </c:extLst>
            </c:dLbl>
            <c:spPr>
              <a:noFill/>
              <a:ln>
                <a:noFill/>
              </a:ln>
              <a:effectLst/>
            </c:spPr>
            <c:txPr>
              <a:bodyPr rot="0" spcFirstLastPara="1" vertOverflow="ellipsis" vert="horz" wrap="square" lIns="38100" tIns="19050" rIns="38100" bIns="19050" anchor="ctr" anchorCtr="0">
                <a:spAutoFit/>
              </a:bodyPr>
              <a:lstStyle/>
              <a:p>
                <a:pPr algn="ct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'CALCULS Eau'!$M$308:$M$310</c:f>
              <c:numCache>
                <c:formatCode>#\ ##0\ "$"</c:formatCode>
                <c:ptCount val="3"/>
                <c:pt idx="0">
                  <c:v>0</c:v>
                </c:pt>
                <c:pt idx="1">
                  <c:v>0</c:v>
                </c:pt>
                <c:pt idx="2">
                  <c:v>0</c:v>
                </c:pt>
              </c:numCache>
            </c:numRef>
          </c:val>
          <c:extLst>
            <c:ext xmlns:c16="http://schemas.microsoft.com/office/drawing/2014/chart" uri="{C3380CC4-5D6E-409C-BE32-E72D297353CC}">
              <c16:uniqueId val="{00000000-C029-4044-9264-88A75D79D8C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740157480314962E-2"/>
          <c:y val="0.22461164576650142"/>
          <c:w val="0.82257532468778138"/>
          <c:h val="0.75666715271702156"/>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EEB500"/>
              </a:solidFill>
              <a:ln>
                <a:solidFill>
                  <a:srgbClr val="002060"/>
                </a:solidFill>
              </a:ln>
              <a:effectLst/>
            </c:spPr>
            <c:extLst>
              <c:ext xmlns:c16="http://schemas.microsoft.com/office/drawing/2014/chart" uri="{C3380CC4-5D6E-409C-BE32-E72D297353CC}">
                <c16:uniqueId val="{00000000-3B16-4558-B2DE-AD3820865A2D}"/>
              </c:ext>
            </c:extLst>
          </c:dPt>
          <c:dPt>
            <c:idx val="1"/>
            <c:invertIfNegative val="0"/>
            <c:bubble3D val="0"/>
            <c:spPr>
              <a:solidFill>
                <a:schemeClr val="bg1"/>
              </a:solidFill>
              <a:ln>
                <a:solidFill>
                  <a:srgbClr val="002060"/>
                </a:solidFill>
              </a:ln>
              <a:effectLst/>
            </c:spPr>
            <c:extLst>
              <c:ext xmlns:c16="http://schemas.microsoft.com/office/drawing/2014/chart" uri="{C3380CC4-5D6E-409C-BE32-E72D297353CC}">
                <c16:uniqueId val="{00000002-3B16-4558-B2DE-AD3820865A2D}"/>
              </c:ext>
            </c:extLst>
          </c:dPt>
          <c:dLbls>
            <c:dLbl>
              <c:idx val="0"/>
              <c:numFmt formatCode="###,\ ###,##0\ &quot;$&quot;"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Base"/>
              <c:showLegendKey val="0"/>
              <c:showVal val="1"/>
              <c:showCatName val="1"/>
              <c:showSerName val="0"/>
              <c:showPercent val="0"/>
              <c:showBubbleSize val="0"/>
              <c:separator>
</c:separator>
              <c:extLst>
                <c:ext xmlns:c15="http://schemas.microsoft.com/office/drawing/2012/chart" uri="{CE6537A1-D6FC-4f65-9D91-7224C49458BB}">
                  <c15:layout>
                    <c:manualLayout>
                      <c:w val="0.35397244094488184"/>
                      <c:h val="0.32731505783999221"/>
                    </c:manualLayout>
                  </c15:layout>
                </c:ext>
                <c:ext xmlns:c16="http://schemas.microsoft.com/office/drawing/2014/chart" uri="{C3380CC4-5D6E-409C-BE32-E72D297353CC}">
                  <c16:uniqueId val="{00000000-3B16-4558-B2DE-AD3820865A2D}"/>
                </c:ext>
              </c:extLst>
            </c:dLbl>
            <c:dLbl>
              <c:idx val="1"/>
              <c:numFmt formatCode="#,##0\ &quot;$&quot;"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rgbClr val="002060"/>
                      </a:solidFill>
                      <a:latin typeface="Bahnschrift Light SemiCondensed" panose="020B0502040204020203" pitchFamily="34" charset="0"/>
                      <a:ea typeface="+mn-ea"/>
                      <a:cs typeface="+mn-cs"/>
                    </a:defRPr>
                  </a:pPr>
                  <a:endParaRPr lang="fr-FR"/>
                </a:p>
              </c:txPr>
              <c:dLblPos val="inBase"/>
              <c:showLegendKey val="0"/>
              <c:showVal val="1"/>
              <c:showCatName val="1"/>
              <c:showSerName val="0"/>
              <c:showPercent val="0"/>
              <c:showBubbleSize val="0"/>
              <c:separator>
</c:separator>
              <c:extLst>
                <c:ext xmlns:c15="http://schemas.microsoft.com/office/drawing/2012/chart" uri="{CE6537A1-D6FC-4f65-9D91-7224C49458BB}">
                  <c15:layout>
                    <c:manualLayout>
                      <c:w val="0.34970384951881017"/>
                      <c:h val="0.3211422183338194"/>
                    </c:manualLayout>
                  </c15:layout>
                </c:ext>
                <c:ext xmlns:c16="http://schemas.microsoft.com/office/drawing/2014/chart" uri="{C3380CC4-5D6E-409C-BE32-E72D297353CC}">
                  <c16:uniqueId val="{00000002-3B16-4558-B2DE-AD3820865A2D}"/>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2060"/>
                    </a:solidFill>
                    <a:latin typeface="Bahnschrift Light SemiCondensed" panose="020B0502040204020203" pitchFamily="34" charset="0"/>
                    <a:ea typeface="+mn-ea"/>
                    <a:cs typeface="+mn-cs"/>
                  </a:defRPr>
                </a:pPr>
                <a:endParaRPr lang="fr-FR"/>
              </a:p>
            </c:txPr>
            <c:dLblPos val="inBase"/>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Eau'!$I$340:$I$341</c:f>
              <c:strCache>
                <c:ptCount val="2"/>
                <c:pt idx="0">
                  <c:v>Coûts prévisionnels</c:v>
                </c:pt>
                <c:pt idx="1">
                  <c:v>Budget planifié</c:v>
                </c:pt>
              </c:strCache>
            </c:strRef>
          </c:cat>
          <c:val>
            <c:numRef>
              <c:f>'CALCULS Eau'!$J$340:$J$341</c:f>
              <c:numCache>
                <c:formatCode>#\ ##0\ "$"</c:formatCode>
                <c:ptCount val="2"/>
                <c:pt idx="0">
                  <c:v>0</c:v>
                </c:pt>
                <c:pt idx="1">
                  <c:v>0</c:v>
                </c:pt>
              </c:numCache>
            </c:numRef>
          </c:val>
          <c:extLst>
            <c:ext xmlns:c16="http://schemas.microsoft.com/office/drawing/2014/chart" uri="{C3380CC4-5D6E-409C-BE32-E72D297353CC}">
              <c16:uniqueId val="{00000003-7ABD-4BD8-8ED0-E5F2D9C6DCF0}"/>
            </c:ext>
          </c:extLst>
        </c:ser>
        <c:ser>
          <c:idx val="1"/>
          <c:order val="1"/>
          <c:tx>
            <c:strRef>
              <c:f>'CALCULS Eau'!$K$338:$K$339</c:f>
              <c:strCache>
                <c:ptCount val="2"/>
                <c:pt idx="0">
                  <c:v>Déficit de financement</c:v>
                </c:pt>
              </c:strCache>
            </c:strRef>
          </c:tx>
          <c:spPr>
            <a:solidFill>
              <a:srgbClr val="C00000"/>
            </a:solidFill>
            <a:ln>
              <a:solidFill>
                <a:srgbClr val="C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3B16-4558-B2DE-AD3820865A2D}"/>
                </c:ext>
              </c:extLst>
            </c:dLbl>
            <c:dLbl>
              <c:idx val="1"/>
              <c:layout>
                <c:manualLayout>
                  <c:x val="6.6666666666666569E-2"/>
                  <c:y val="-0.2716046952464275"/>
                </c:manualLayout>
              </c:layout>
              <c:numFmt formatCode="#,##0\ &quot;$&quot;"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rgbClr val="002060"/>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9997244094488188"/>
                      <c:h val="0.26314814814814813"/>
                    </c:manualLayout>
                  </c15:layout>
                </c:ext>
                <c:ext xmlns:c16="http://schemas.microsoft.com/office/drawing/2014/chart" uri="{C3380CC4-5D6E-409C-BE32-E72D297353CC}">
                  <c16:uniqueId val="{00000004-3B16-4558-B2DE-AD3820865A2D}"/>
                </c:ext>
              </c:extLst>
            </c:dLbl>
            <c:numFmt formatCode="#,##0\ &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Eau'!$I$340:$I$341</c:f>
              <c:strCache>
                <c:ptCount val="2"/>
                <c:pt idx="0">
                  <c:v>Coûts prévisionnels</c:v>
                </c:pt>
                <c:pt idx="1">
                  <c:v>Budget planifié</c:v>
                </c:pt>
              </c:strCache>
            </c:strRef>
          </c:cat>
          <c:val>
            <c:numRef>
              <c:f>'CALCULS Eau'!$K$340:$K$341</c:f>
              <c:numCache>
                <c:formatCode>#\ ##0\ "$"</c:formatCode>
                <c:ptCount val="2"/>
                <c:pt idx="0">
                  <c:v>0</c:v>
                </c:pt>
                <c:pt idx="1">
                  <c:v>0</c:v>
                </c:pt>
              </c:numCache>
            </c:numRef>
          </c:val>
          <c:extLst>
            <c:ext xmlns:c16="http://schemas.microsoft.com/office/drawing/2014/chart" uri="{C3380CC4-5D6E-409C-BE32-E72D297353CC}">
              <c16:uniqueId val="{00000007-7ABD-4BD8-8ED0-E5F2D9C6DCF0}"/>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out"/>
        <c:minorTickMark val="none"/>
        <c:tickLblPos val="nextTo"/>
        <c:crossAx val="1692710096"/>
        <c:crosses val="autoZero"/>
        <c:auto val="1"/>
        <c:lblAlgn val="ctr"/>
        <c:lblOffset val="100"/>
        <c:noMultiLvlLbl val="0"/>
      </c:catAx>
      <c:valAx>
        <c:axId val="1692710096"/>
        <c:scaling>
          <c:orientation val="minMax"/>
          <c:min val="0"/>
        </c:scaling>
        <c:delete val="1"/>
        <c:axPos val="l"/>
        <c:numFmt formatCode="#\ ##0\ &quot;$&quot;" sourceLinked="1"/>
        <c:majorTickMark val="out"/>
        <c:minorTickMark val="none"/>
        <c:tickLblPos val="nextTo"/>
        <c:crossAx val="1692711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23179455509239"/>
          <c:y val="0.11344504141769035"/>
          <c:w val="0.83167701096186508"/>
          <c:h val="0.58952408124535172"/>
        </c:manualLayout>
      </c:layout>
      <c:barChart>
        <c:barDir val="col"/>
        <c:grouping val="clustered"/>
        <c:varyColors val="0"/>
        <c:ser>
          <c:idx val="0"/>
          <c:order val="0"/>
          <c:tx>
            <c:strRef>
              <c:f>'CALCULS Eau potable'!$D$64</c:f>
              <c:strCache>
                <c:ptCount val="1"/>
                <c:pt idx="0">
                  <c:v>PONCTUEL</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A3F2-4836-89A1-BB091B2AAA6B}"/>
              </c:ext>
            </c:extLst>
          </c:dPt>
          <c:dPt>
            <c:idx val="1"/>
            <c:invertIfNegative val="0"/>
            <c:bubble3D val="0"/>
            <c:spPr>
              <a:solidFill>
                <a:srgbClr val="00B050"/>
              </a:solidFill>
              <a:ln>
                <a:noFill/>
              </a:ln>
              <a:effectLst/>
            </c:spPr>
            <c:extLst>
              <c:ext xmlns:c16="http://schemas.microsoft.com/office/drawing/2014/chart" uri="{C3380CC4-5D6E-409C-BE32-E72D297353CC}">
                <c16:uniqueId val="{00000003-A3F2-4836-89A1-BB091B2AAA6B}"/>
              </c:ext>
            </c:extLst>
          </c:dPt>
          <c:dPt>
            <c:idx val="2"/>
            <c:invertIfNegative val="0"/>
            <c:bubble3D val="0"/>
            <c:spPr>
              <a:solidFill>
                <a:srgbClr val="FFD347"/>
              </a:solidFill>
              <a:ln>
                <a:noFill/>
              </a:ln>
              <a:effectLst/>
            </c:spPr>
            <c:extLst>
              <c:ext xmlns:c16="http://schemas.microsoft.com/office/drawing/2014/chart" uri="{C3380CC4-5D6E-409C-BE32-E72D297353CC}">
                <c16:uniqueId val="{00000005-A3F2-4836-89A1-BB091B2AAA6B}"/>
              </c:ext>
            </c:extLst>
          </c:dPt>
          <c:dPt>
            <c:idx val="3"/>
            <c:invertIfNegative val="0"/>
            <c:bubble3D val="0"/>
            <c:spPr>
              <a:solidFill>
                <a:srgbClr val="F98007"/>
              </a:solidFill>
              <a:ln>
                <a:noFill/>
              </a:ln>
              <a:effectLst/>
            </c:spPr>
            <c:extLst>
              <c:ext xmlns:c16="http://schemas.microsoft.com/office/drawing/2014/chart" uri="{C3380CC4-5D6E-409C-BE32-E72D297353CC}">
                <c16:uniqueId val="{00000007-A3F2-4836-89A1-BB091B2AAA6B}"/>
              </c:ext>
            </c:extLst>
          </c:dPt>
          <c:dPt>
            <c:idx val="4"/>
            <c:invertIfNegative val="0"/>
            <c:bubble3D val="0"/>
            <c:spPr>
              <a:solidFill>
                <a:srgbClr val="C00000"/>
              </a:solidFill>
              <a:ln>
                <a:noFill/>
              </a:ln>
              <a:effectLst/>
            </c:spPr>
            <c:extLst>
              <c:ext xmlns:c16="http://schemas.microsoft.com/office/drawing/2014/chart" uri="{C3380CC4-5D6E-409C-BE32-E72D297353CC}">
                <c16:uniqueId val="{00000009-A3F2-4836-89A1-BB091B2AAA6B}"/>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A3F2-4836-89A1-BB091B2AAA6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 potable'!$E$60:$J$60</c:f>
              <c:strCache>
                <c:ptCount val="6"/>
                <c:pt idx="0">
                  <c:v>Très bon 
(A)</c:v>
                </c:pt>
                <c:pt idx="1">
                  <c:v>Bon 
(B)</c:v>
                </c:pt>
                <c:pt idx="2">
                  <c:v>Satisfaisant 
(C)</c:v>
                </c:pt>
                <c:pt idx="3">
                  <c:v>Mauvais 
(D)</c:v>
                </c:pt>
                <c:pt idx="4">
                  <c:v>Très mauvais 
(E)</c:v>
                </c:pt>
                <c:pt idx="5">
                  <c:v>Inconnu</c:v>
                </c:pt>
              </c:strCache>
            </c:strRef>
          </c:cat>
          <c:val>
            <c:numRef>
              <c:f>'CALCULS Eau potable'!$E$64:$J$64</c:f>
              <c:numCache>
                <c:formatCode>0.0%</c:formatCode>
                <c:ptCount val="6"/>
                <c:pt idx="0">
                  <c:v>0</c:v>
                </c:pt>
                <c:pt idx="1">
                  <c:v>0</c:v>
                </c:pt>
                <c:pt idx="2">
                  <c:v>0</c:v>
                </c:pt>
                <c:pt idx="3">
                  <c:v>0</c:v>
                </c:pt>
                <c:pt idx="4">
                  <c:v>0</c:v>
                </c:pt>
                <c:pt idx="5">
                  <c:v>1</c:v>
                </c:pt>
              </c:numCache>
            </c:numRef>
          </c:val>
          <c:extLst>
            <c:ext xmlns:c16="http://schemas.microsoft.com/office/drawing/2014/chart" uri="{C3380CC4-5D6E-409C-BE32-E72D297353CC}">
              <c16:uniqueId val="{0000000C-A3F2-4836-89A1-BB091B2AAA6B}"/>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chemeClr val="tx2">
                  <a:lumMod val="20000"/>
                  <a:lumOff val="80000"/>
                </a:schemeClr>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7F0F9"/>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740157480314962E-2"/>
          <c:y val="0.24930300379119277"/>
          <c:w val="0.82257532468778138"/>
          <c:h val="0.7319757946923301"/>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chemeClr val="accent2">
                  <a:lumMod val="75000"/>
                </a:schemeClr>
              </a:solidFill>
              <a:ln>
                <a:solidFill>
                  <a:srgbClr val="002060"/>
                </a:solidFill>
              </a:ln>
              <a:effectLst/>
            </c:spPr>
            <c:extLst>
              <c:ext xmlns:c16="http://schemas.microsoft.com/office/drawing/2014/chart" uri="{C3380CC4-5D6E-409C-BE32-E72D297353CC}">
                <c16:uniqueId val="{00000001-4152-4CF7-B730-9E2748EF4801}"/>
              </c:ext>
            </c:extLst>
          </c:dPt>
          <c:dPt>
            <c:idx val="1"/>
            <c:invertIfNegative val="0"/>
            <c:bubble3D val="0"/>
            <c:spPr>
              <a:solidFill>
                <a:schemeClr val="bg1"/>
              </a:solidFill>
              <a:ln>
                <a:solidFill>
                  <a:schemeClr val="accent5">
                    <a:lumMod val="50000"/>
                  </a:schemeClr>
                </a:solidFill>
              </a:ln>
              <a:effectLst/>
            </c:spPr>
            <c:extLst>
              <c:ext xmlns:c16="http://schemas.microsoft.com/office/drawing/2014/chart" uri="{C3380CC4-5D6E-409C-BE32-E72D297353CC}">
                <c16:uniqueId val="{00000003-4152-4CF7-B730-9E2748EF4801}"/>
              </c:ext>
            </c:extLst>
          </c:dPt>
          <c:dLbls>
            <c:dLbl>
              <c:idx val="0"/>
              <c:numFmt formatCode="#,##0\ &quot;$&quot;"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Base"/>
              <c:showLegendKey val="0"/>
              <c:showVal val="1"/>
              <c:showCatName val="1"/>
              <c:showSerName val="0"/>
              <c:showPercent val="0"/>
              <c:showBubbleSize val="0"/>
              <c:separator>
</c:separator>
              <c:extLst>
                <c:ext xmlns:c15="http://schemas.microsoft.com/office/drawing/2012/chart" uri="{CE6537A1-D6FC-4f65-9D91-7224C49458BB}">
                  <c15:layout>
                    <c:manualLayout>
                      <c:w val="0.35397244094488184"/>
                      <c:h val="0.33348789734616507"/>
                    </c:manualLayout>
                  </c15:layout>
                </c:ext>
                <c:ext xmlns:c16="http://schemas.microsoft.com/office/drawing/2014/chart" uri="{C3380CC4-5D6E-409C-BE32-E72D297353CC}">
                  <c16:uniqueId val="{00000001-4152-4CF7-B730-9E2748EF4801}"/>
                </c:ext>
              </c:extLst>
            </c:dLbl>
            <c:dLbl>
              <c:idx val="1"/>
              <c:numFmt formatCode="#,##0\ &quot;$&quot;"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rgbClr val="002060"/>
                      </a:solidFill>
                      <a:latin typeface="Bahnschrift Light SemiCondensed" panose="020B0502040204020203" pitchFamily="34" charset="0"/>
                      <a:ea typeface="+mn-ea"/>
                      <a:cs typeface="+mn-cs"/>
                    </a:defRPr>
                  </a:pPr>
                  <a:endParaRPr lang="fr-FR"/>
                </a:p>
              </c:txPr>
              <c:dLblPos val="inBase"/>
              <c:showLegendKey val="0"/>
              <c:showVal val="1"/>
              <c:showCatName val="1"/>
              <c:showSerName val="0"/>
              <c:showPercent val="0"/>
              <c:showBubbleSize val="0"/>
              <c:separator>
</c:separator>
              <c:extLst>
                <c:ext xmlns:c15="http://schemas.microsoft.com/office/drawing/2012/chart" uri="{CE6537A1-D6FC-4f65-9D91-7224C49458BB}">
                  <c15:layout>
                    <c:manualLayout>
                      <c:w val="0.35830577427821525"/>
                      <c:h val="0.31496937882764653"/>
                    </c:manualLayout>
                  </c15:layout>
                </c:ext>
                <c:ext xmlns:c16="http://schemas.microsoft.com/office/drawing/2014/chart" uri="{C3380CC4-5D6E-409C-BE32-E72D297353CC}">
                  <c16:uniqueId val="{00000003-4152-4CF7-B730-9E2748EF4801}"/>
                </c:ext>
              </c:extLst>
            </c:dLbl>
            <c:numFmt formatCode="#,##0\ &quot;$&quot;"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2060"/>
                    </a:solidFill>
                    <a:latin typeface="Bahnschrift Light SemiCondensed" panose="020B0502040204020203" pitchFamily="34" charset="0"/>
                    <a:ea typeface="+mn-ea"/>
                    <a:cs typeface="+mn-cs"/>
                  </a:defRPr>
                </a:pPr>
                <a:endParaRPr lang="fr-FR"/>
              </a:p>
            </c:txPr>
            <c:dLblPos val="inBase"/>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Eau'!$I$371:$I$372</c:f>
              <c:strCache>
                <c:ptCount val="2"/>
                <c:pt idx="0">
                  <c:v>Coûts prévisionnels</c:v>
                </c:pt>
                <c:pt idx="1">
                  <c:v>Budget planifié</c:v>
                </c:pt>
              </c:strCache>
            </c:strRef>
          </c:cat>
          <c:val>
            <c:numRef>
              <c:f>'CALCULS Eau'!$J$371:$J$372</c:f>
              <c:numCache>
                <c:formatCode>#\ ##0\ "$"</c:formatCode>
                <c:ptCount val="2"/>
                <c:pt idx="0">
                  <c:v>0</c:v>
                </c:pt>
                <c:pt idx="1">
                  <c:v>0</c:v>
                </c:pt>
              </c:numCache>
            </c:numRef>
          </c:val>
          <c:extLst>
            <c:ext xmlns:c16="http://schemas.microsoft.com/office/drawing/2014/chart" uri="{C3380CC4-5D6E-409C-BE32-E72D297353CC}">
              <c16:uniqueId val="{00000004-4152-4CF7-B730-9E2748EF4801}"/>
            </c:ext>
          </c:extLst>
        </c:ser>
        <c:ser>
          <c:idx val="1"/>
          <c:order val="1"/>
          <c:tx>
            <c:strRef>
              <c:f>'CALCULS Eau'!$K$369:$K$370</c:f>
              <c:strCache>
                <c:ptCount val="2"/>
                <c:pt idx="0">
                  <c:v>Déficit de financement</c:v>
                </c:pt>
              </c:strCache>
            </c:strRef>
          </c:tx>
          <c:spPr>
            <a:solidFill>
              <a:srgbClr val="C00000"/>
            </a:solidFill>
            <a:ln>
              <a:solidFill>
                <a:srgbClr val="C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4152-4CF7-B730-9E2748EF4801}"/>
                </c:ext>
              </c:extLst>
            </c:dLbl>
            <c:dLbl>
              <c:idx val="1"/>
              <c:layout>
                <c:manualLayout>
                  <c:x val="6.1111111111111109E-2"/>
                  <c:y val="-0.25617283950617287"/>
                </c:manualLayout>
              </c:layout>
              <c:numFmt formatCode="#,##0\ &quot;$&quot;"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8330577427821522"/>
                      <c:h val="0.25697530864197526"/>
                    </c:manualLayout>
                  </c15:layout>
                </c:ext>
                <c:ext xmlns:c16="http://schemas.microsoft.com/office/drawing/2014/chart" uri="{C3380CC4-5D6E-409C-BE32-E72D297353CC}">
                  <c16:uniqueId val="{00000006-4152-4CF7-B730-9E2748EF48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Eau'!$I$371:$I$372</c:f>
              <c:strCache>
                <c:ptCount val="2"/>
                <c:pt idx="0">
                  <c:v>Coûts prévisionnels</c:v>
                </c:pt>
                <c:pt idx="1">
                  <c:v>Budget planifié</c:v>
                </c:pt>
              </c:strCache>
            </c:strRef>
          </c:cat>
          <c:val>
            <c:numRef>
              <c:f>'CALCULS Eau'!$K$371:$K$372</c:f>
              <c:numCache>
                <c:formatCode>#\ ##0\ "$"</c:formatCode>
                <c:ptCount val="2"/>
                <c:pt idx="0">
                  <c:v>0</c:v>
                </c:pt>
                <c:pt idx="1">
                  <c:v>0</c:v>
                </c:pt>
              </c:numCache>
            </c:numRef>
          </c:val>
          <c:extLst>
            <c:ext xmlns:c16="http://schemas.microsoft.com/office/drawing/2014/chart" uri="{C3380CC4-5D6E-409C-BE32-E72D297353CC}">
              <c16:uniqueId val="{00000007-4152-4CF7-B730-9E2748EF4801}"/>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out"/>
        <c:minorTickMark val="none"/>
        <c:tickLblPos val="nextTo"/>
        <c:crossAx val="1692710096"/>
        <c:crosses val="autoZero"/>
        <c:auto val="1"/>
        <c:lblAlgn val="ctr"/>
        <c:lblOffset val="100"/>
        <c:noMultiLvlLbl val="0"/>
      </c:catAx>
      <c:valAx>
        <c:axId val="1692710096"/>
        <c:scaling>
          <c:orientation val="minMax"/>
          <c:min val="0"/>
        </c:scaling>
        <c:delete val="1"/>
        <c:axPos val="l"/>
        <c:numFmt formatCode="#\ ##0\ &quot;$&quot;" sourceLinked="1"/>
        <c:majorTickMark val="out"/>
        <c:minorTickMark val="none"/>
        <c:tickLblPos val="nextTo"/>
        <c:crossAx val="1692711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42671061135021E-2"/>
          <c:y val="2.2096700722327067E-2"/>
          <c:w val="0.92077211484334087"/>
          <c:h val="0.97784516604845884"/>
        </c:manualLayout>
      </c:layout>
      <c:pieChart>
        <c:varyColors val="1"/>
        <c:ser>
          <c:idx val="0"/>
          <c:order val="0"/>
          <c:dPt>
            <c:idx val="0"/>
            <c:bubble3D val="0"/>
            <c:spPr>
              <a:solidFill>
                <a:srgbClr val="3484CC"/>
              </a:solidFill>
              <a:ln w="19050">
                <a:solidFill>
                  <a:schemeClr val="lt1"/>
                </a:solidFill>
              </a:ln>
              <a:effectLst/>
            </c:spPr>
            <c:extLst>
              <c:ext xmlns:c16="http://schemas.microsoft.com/office/drawing/2014/chart" uri="{C3380CC4-5D6E-409C-BE32-E72D297353CC}">
                <c16:uniqueId val="{00000002-1FAE-436E-9DE8-AAD614C3B66E}"/>
              </c:ext>
            </c:extLst>
          </c:dPt>
          <c:dPt>
            <c:idx val="1"/>
            <c:bubble3D val="0"/>
            <c:spPr>
              <a:solidFill>
                <a:srgbClr val="967200"/>
              </a:solidFill>
              <a:ln w="19050">
                <a:solidFill>
                  <a:schemeClr val="lt1"/>
                </a:solidFill>
              </a:ln>
              <a:effectLst/>
            </c:spPr>
            <c:extLst>
              <c:ext xmlns:c16="http://schemas.microsoft.com/office/drawing/2014/chart" uri="{C3380CC4-5D6E-409C-BE32-E72D297353CC}">
                <c16:uniqueId val="{00000004-1FAE-436E-9DE8-AAD614C3B66E}"/>
              </c:ext>
            </c:extLst>
          </c:dPt>
          <c:dPt>
            <c:idx val="2"/>
            <c:bubble3D val="0"/>
            <c:spPr>
              <a:solidFill>
                <a:srgbClr val="24988A"/>
              </a:solidFill>
              <a:ln w="19050">
                <a:solidFill>
                  <a:schemeClr val="lt1"/>
                </a:solidFill>
              </a:ln>
              <a:effectLst/>
            </c:spPr>
            <c:extLst>
              <c:ext xmlns:c16="http://schemas.microsoft.com/office/drawing/2014/chart" uri="{C3380CC4-5D6E-409C-BE32-E72D297353CC}">
                <c16:uniqueId val="{00000005-1FAE-436E-9DE8-AAD614C3B66E}"/>
              </c:ext>
            </c:extLst>
          </c:dPt>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6867970283270202"/>
                      <c:h val="0.27261078659303239"/>
                    </c:manualLayout>
                  </c15:layout>
                </c:ext>
                <c:ext xmlns:c16="http://schemas.microsoft.com/office/drawing/2014/chart" uri="{C3380CC4-5D6E-409C-BE32-E72D297353CC}">
                  <c16:uniqueId val="{00000002-1FAE-436E-9DE8-AAD614C3B66E}"/>
                </c:ext>
              </c:extLst>
            </c:dLbl>
            <c:dLbl>
              <c:idx val="1"/>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9714872808172708"/>
                      <c:h val="0.2565465092451813"/>
                    </c:manualLayout>
                  </c15:layout>
                </c:ext>
                <c:ext xmlns:c16="http://schemas.microsoft.com/office/drawing/2014/chart" uri="{C3380CC4-5D6E-409C-BE32-E72D297353CC}">
                  <c16:uniqueId val="{00000004-1FAE-436E-9DE8-AAD614C3B66E}"/>
                </c:ext>
              </c:extLst>
            </c:dLbl>
            <c:dLbl>
              <c:idx val="2"/>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9714872808172708"/>
                      <c:h val="0.2565465092451813"/>
                    </c:manualLayout>
                  </c15:layout>
                </c:ext>
                <c:ext xmlns:c16="http://schemas.microsoft.com/office/drawing/2014/chart" uri="{C3380CC4-5D6E-409C-BE32-E72D297353CC}">
                  <c16:uniqueId val="{00000005-1FAE-436E-9DE8-AAD614C3B66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'CALCULS Eau'!$I$199:$I$201</c:f>
              <c:strCache>
                <c:ptCount val="3"/>
                <c:pt idx="0">
                  <c:v>Eau potable</c:v>
                </c:pt>
                <c:pt idx="1">
                  <c:v>Eaux usées</c:v>
                </c:pt>
                <c:pt idx="2">
                  <c:v>Eaux pluviales</c:v>
                </c:pt>
              </c:strCache>
            </c:strRef>
          </c:cat>
          <c:val>
            <c:numRef>
              <c:f>'CALCULS Eau'!$J$199:$J$201</c:f>
              <c:numCache>
                <c:formatCode>#\ ##0\ "$"</c:formatCode>
                <c:ptCount val="3"/>
                <c:pt idx="0">
                  <c:v>0</c:v>
                </c:pt>
                <c:pt idx="1">
                  <c:v>0</c:v>
                </c:pt>
                <c:pt idx="2">
                  <c:v>0</c:v>
                </c:pt>
              </c:numCache>
            </c:numRef>
          </c:val>
          <c:extLst>
            <c:ext xmlns:c16="http://schemas.microsoft.com/office/drawing/2014/chart" uri="{C3380CC4-5D6E-409C-BE32-E72D297353CC}">
              <c16:uniqueId val="{00000000-1FAE-436E-9DE8-AAD614C3B66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42671061135021E-2"/>
          <c:y val="2.2096700722327067E-2"/>
          <c:w val="0.92077211484334087"/>
          <c:h val="0.97784516604845884"/>
        </c:manualLayout>
      </c:layout>
      <c:pie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8470-4089-95F0-6832EDB0B182}"/>
              </c:ext>
            </c:extLst>
          </c:dPt>
          <c:dPt>
            <c:idx val="1"/>
            <c:bubble3D val="0"/>
            <c:spPr>
              <a:solidFill>
                <a:srgbClr val="EEB500"/>
              </a:solidFill>
              <a:ln w="19050">
                <a:solidFill>
                  <a:schemeClr val="lt1"/>
                </a:solidFill>
              </a:ln>
              <a:effectLst/>
            </c:spPr>
            <c:extLst>
              <c:ext xmlns:c16="http://schemas.microsoft.com/office/drawing/2014/chart" uri="{C3380CC4-5D6E-409C-BE32-E72D297353CC}">
                <c16:uniqueId val="{00000003-8470-4089-95F0-6832EDB0B182}"/>
              </c:ext>
            </c:extLst>
          </c:dPt>
          <c:dPt>
            <c:idx val="2"/>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5-8470-4089-95F0-6832EDB0B182}"/>
              </c:ext>
            </c:extLst>
          </c:dPt>
          <c:dLbls>
            <c:dLbl>
              <c:idx val="0"/>
              <c:spPr>
                <a:noFill/>
                <a:ln>
                  <a:noFill/>
                </a:ln>
                <a:effectLst/>
              </c:spPr>
              <c:txPr>
                <a:bodyPr rot="0" spcFirstLastPara="1" vertOverflow="ellipsis" vert="horz" wrap="square" lIns="38100" tIns="19050" rIns="38100" bIns="19050" anchor="ctr" anchorCtr="0">
                  <a:noAutofit/>
                </a:bodyPr>
                <a:lstStyle/>
                <a:p>
                  <a:pPr algn="l">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9499073324489359"/>
                      <c:h val="0.26907664557650518"/>
                    </c:manualLayout>
                  </c15:layout>
                </c:ext>
                <c:ext xmlns:c16="http://schemas.microsoft.com/office/drawing/2014/chart" uri="{C3380CC4-5D6E-409C-BE32-E72D297353CC}">
                  <c16:uniqueId val="{00000001-8470-4089-95F0-6832EDB0B182}"/>
                </c:ext>
              </c:extLst>
            </c:dLbl>
            <c:dLbl>
              <c:idx val="1"/>
              <c:spPr>
                <a:noFill/>
                <a:ln>
                  <a:noFill/>
                </a:ln>
                <a:effectLst/>
              </c:spPr>
              <c:txPr>
                <a:bodyPr rot="0" spcFirstLastPara="1" vertOverflow="ellipsis" vert="horz" wrap="square" lIns="38100" tIns="19050" rIns="38100" bIns="19050" anchor="ctr" anchorCtr="0">
                  <a:noAutofit/>
                </a:bodyPr>
                <a:lstStyle/>
                <a:p>
                  <a:pPr algn="l">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9113717103626233"/>
                      <c:h val="0.26907664557650518"/>
                    </c:manualLayout>
                  </c15:layout>
                </c:ext>
                <c:ext xmlns:c16="http://schemas.microsoft.com/office/drawing/2014/chart" uri="{C3380CC4-5D6E-409C-BE32-E72D297353CC}">
                  <c16:uniqueId val="{00000003-8470-4089-95F0-6832EDB0B182}"/>
                </c:ext>
              </c:extLst>
            </c:dLbl>
            <c:dLbl>
              <c:idx val="2"/>
              <c:spPr>
                <a:noFill/>
                <a:ln>
                  <a:noFill/>
                </a:ln>
                <a:effectLst/>
              </c:spPr>
              <c:txPr>
                <a:bodyPr rot="0" spcFirstLastPara="1" vertOverflow="ellipsis" vert="horz" wrap="square" lIns="38100" tIns="19050" rIns="38100" bIns="19050" anchor="ctr" anchorCtr="0">
                  <a:noAutofit/>
                </a:bodyPr>
                <a:lstStyle/>
                <a:p>
                  <a:pPr algn="l">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6994197202860013"/>
                      <c:h val="0.26907664557650518"/>
                    </c:manualLayout>
                  </c15:layout>
                </c:ext>
                <c:ext xmlns:c16="http://schemas.microsoft.com/office/drawing/2014/chart" uri="{C3380CC4-5D6E-409C-BE32-E72D297353CC}">
                  <c16:uniqueId val="{00000005-8470-4089-95F0-6832EDB0B182}"/>
                </c:ext>
              </c:extLst>
            </c:dLbl>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'CALCULS Eau'!$L$199:$L$201</c:f>
              <c:strCache>
                <c:ptCount val="3"/>
                <c:pt idx="0">
                  <c:v>Exploitation / Entretien</c:v>
                </c:pt>
                <c:pt idx="1">
                  <c:v>Renouvellement</c:v>
                </c:pt>
                <c:pt idx="2">
                  <c:v>Acquisition / Disposition</c:v>
                </c:pt>
              </c:strCache>
            </c:strRef>
          </c:cat>
          <c:val>
            <c:numRef>
              <c:f>'CALCULS Eau'!$M$199:$M$201</c:f>
              <c:numCache>
                <c:formatCode>#\ ##0\ "$"</c:formatCode>
                <c:ptCount val="3"/>
                <c:pt idx="0">
                  <c:v>0</c:v>
                </c:pt>
                <c:pt idx="1">
                  <c:v>0</c:v>
                </c:pt>
                <c:pt idx="2">
                  <c:v>0</c:v>
                </c:pt>
              </c:numCache>
            </c:numRef>
          </c:val>
          <c:extLst>
            <c:ext xmlns:c16="http://schemas.microsoft.com/office/drawing/2014/chart" uri="{C3380CC4-5D6E-409C-BE32-E72D297353CC}">
              <c16:uniqueId val="{00000006-8470-4089-95F0-6832EDB0B18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BDD7EE"/>
              </a:solidFill>
              <a:ln w="19050">
                <a:solidFill>
                  <a:schemeClr val="lt1"/>
                </a:solidFill>
              </a:ln>
              <a:effectLst/>
            </c:spPr>
            <c:extLst>
              <c:ext xmlns:c16="http://schemas.microsoft.com/office/drawing/2014/chart" uri="{C3380CC4-5D6E-409C-BE32-E72D297353CC}">
                <c16:uniqueId val="{00000001-2097-482A-9A3D-C0D02C4EB704}"/>
              </c:ext>
            </c:extLst>
          </c:dPt>
          <c:dPt>
            <c:idx val="1"/>
            <c:bubble3D val="0"/>
            <c:spPr>
              <a:solidFill>
                <a:srgbClr val="DEC98E"/>
              </a:solidFill>
              <a:ln w="19050">
                <a:solidFill>
                  <a:schemeClr val="lt1"/>
                </a:solidFill>
              </a:ln>
              <a:effectLst/>
            </c:spPr>
            <c:extLst>
              <c:ext xmlns:c16="http://schemas.microsoft.com/office/drawing/2014/chart" uri="{C3380CC4-5D6E-409C-BE32-E72D297353CC}">
                <c16:uniqueId val="{00000003-2097-482A-9A3D-C0D02C4EB704}"/>
              </c:ext>
            </c:extLst>
          </c:dPt>
          <c:dPt>
            <c:idx val="2"/>
            <c:bubble3D val="0"/>
            <c:spPr>
              <a:solidFill>
                <a:srgbClr val="C6F2ED"/>
              </a:solidFill>
              <a:ln w="19050">
                <a:solidFill>
                  <a:schemeClr val="lt1"/>
                </a:solidFill>
              </a:ln>
              <a:effectLst/>
            </c:spPr>
            <c:extLst>
              <c:ext xmlns:c16="http://schemas.microsoft.com/office/drawing/2014/chart" uri="{C3380CC4-5D6E-409C-BE32-E72D297353CC}">
                <c16:uniqueId val="{00000005-2097-482A-9A3D-C0D02C4EB704}"/>
              </c:ext>
            </c:extLst>
          </c:dPt>
          <c:dLbls>
            <c:dLbl>
              <c:idx val="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4554954828184398"/>
                      <c:h val="0.25396825396825395"/>
                    </c:manualLayout>
                  </c15:layout>
                </c:ext>
                <c:ext xmlns:c16="http://schemas.microsoft.com/office/drawing/2014/chart" uri="{C3380CC4-5D6E-409C-BE32-E72D297353CC}">
                  <c16:uniqueId val="{00000001-2097-482A-9A3D-C0D02C4EB704}"/>
                </c:ext>
              </c:extLst>
            </c:dLbl>
            <c:dLbl>
              <c:idx val="1"/>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2111675193868328"/>
                      <c:h val="0.23809523809523808"/>
                    </c:manualLayout>
                  </c15:layout>
                </c:ext>
                <c:ext xmlns:c16="http://schemas.microsoft.com/office/drawing/2014/chart" uri="{C3380CC4-5D6E-409C-BE32-E72D297353CC}">
                  <c16:uniqueId val="{00000003-2097-482A-9A3D-C0D02C4EB704}"/>
                </c:ext>
              </c:extLst>
            </c:dLbl>
            <c:dLbl>
              <c:idx val="2"/>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5951114619222152"/>
                      <c:h val="0.26984126984126983"/>
                    </c:manualLayout>
                  </c15:layout>
                </c:ext>
                <c:ext xmlns:c16="http://schemas.microsoft.com/office/drawing/2014/chart" uri="{C3380CC4-5D6E-409C-BE32-E72D297353CC}">
                  <c16:uniqueId val="{00000005-2097-482A-9A3D-C0D02C4EB704}"/>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End"/>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Eau'!$M$313:$M$315</c:f>
              <c:numCache>
                <c:formatCode>#\ ##0\ "$"</c:formatCode>
                <c:ptCount val="3"/>
                <c:pt idx="0">
                  <c:v>0</c:v>
                </c:pt>
                <c:pt idx="1">
                  <c:v>0</c:v>
                </c:pt>
                <c:pt idx="2">
                  <c:v>0</c:v>
                </c:pt>
              </c:numCache>
            </c:numRef>
          </c:val>
          <c:extLst>
            <c:ext xmlns:c16="http://schemas.microsoft.com/office/drawing/2014/chart" uri="{C3380CC4-5D6E-409C-BE32-E72D297353CC}">
              <c16:uniqueId val="{0000000C-2097-482A-9A3D-C0D02C4EB70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7CAFDE"/>
              </a:solidFill>
              <a:ln w="19050">
                <a:solidFill>
                  <a:schemeClr val="lt1"/>
                </a:solidFill>
              </a:ln>
              <a:effectLst/>
            </c:spPr>
            <c:extLst>
              <c:ext xmlns:c16="http://schemas.microsoft.com/office/drawing/2014/chart" uri="{C3380CC4-5D6E-409C-BE32-E72D297353CC}">
                <c16:uniqueId val="{00000001-6CA9-4C0C-BD51-9B25BBAE769E}"/>
              </c:ext>
            </c:extLst>
          </c:dPt>
          <c:dPt>
            <c:idx val="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3-6CA9-4C0C-BD51-9B25BBAE769E}"/>
              </c:ext>
            </c:extLst>
          </c:dPt>
          <c:dPt>
            <c:idx val="2"/>
            <c:bubble3D val="0"/>
            <c:spPr>
              <a:solidFill>
                <a:srgbClr val="2BB3A3"/>
              </a:solidFill>
              <a:ln w="19050">
                <a:solidFill>
                  <a:schemeClr val="lt1"/>
                </a:solidFill>
              </a:ln>
              <a:effectLst/>
            </c:spPr>
            <c:extLst>
              <c:ext xmlns:c16="http://schemas.microsoft.com/office/drawing/2014/chart" uri="{C3380CC4-5D6E-409C-BE32-E72D297353CC}">
                <c16:uniqueId val="{00000005-6CA9-4C0C-BD51-9B25BBAE769E}"/>
              </c:ext>
            </c:extLst>
          </c:dPt>
          <c:dLbls>
            <c:dLbl>
              <c:idx val="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5951114619222152"/>
                      <c:h val="0.25396825396825395"/>
                    </c:manualLayout>
                  </c15:layout>
                </c:ext>
                <c:ext xmlns:c16="http://schemas.microsoft.com/office/drawing/2014/chart" uri="{C3380CC4-5D6E-409C-BE32-E72D297353CC}">
                  <c16:uniqueId val="{00000001-6CA9-4C0C-BD51-9B25BBAE769E}"/>
                </c:ext>
              </c:extLst>
            </c:dLbl>
            <c:dLbl>
              <c:idx val="1"/>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5951114619222152"/>
                      <c:h val="0.23809523809523808"/>
                    </c:manualLayout>
                  </c15:layout>
                </c:ext>
                <c:ext xmlns:c16="http://schemas.microsoft.com/office/drawing/2014/chart" uri="{C3380CC4-5D6E-409C-BE32-E72D297353CC}">
                  <c16:uniqueId val="{00000003-6CA9-4C0C-BD51-9B25BBAE769E}"/>
                </c:ext>
              </c:extLst>
            </c:dLbl>
            <c:dLbl>
              <c:idx val="2"/>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4903994775943836"/>
                      <c:h val="0.25396825396825395"/>
                    </c:manualLayout>
                  </c15:layout>
                </c:ext>
                <c:ext xmlns:c16="http://schemas.microsoft.com/office/drawing/2014/chart" uri="{C3380CC4-5D6E-409C-BE32-E72D297353CC}">
                  <c16:uniqueId val="{00000005-6CA9-4C0C-BD51-9B25BBAE769E}"/>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Eau'!$M$340:$M$342</c:f>
              <c:numCache>
                <c:formatCode>#\ ##0\ "$"</c:formatCode>
                <c:ptCount val="3"/>
                <c:pt idx="0">
                  <c:v>0</c:v>
                </c:pt>
                <c:pt idx="1">
                  <c:v>0</c:v>
                </c:pt>
                <c:pt idx="2">
                  <c:v>0</c:v>
                </c:pt>
              </c:numCache>
            </c:numRef>
          </c:val>
          <c:extLst>
            <c:ext xmlns:c16="http://schemas.microsoft.com/office/drawing/2014/chart" uri="{C3380CC4-5D6E-409C-BE32-E72D297353CC}">
              <c16:uniqueId val="{00000006-6CA9-4C0C-BD51-9B25BBAE769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BDD7EE"/>
              </a:solidFill>
              <a:ln w="19050">
                <a:solidFill>
                  <a:schemeClr val="lt1"/>
                </a:solidFill>
              </a:ln>
              <a:effectLst/>
            </c:spPr>
            <c:extLst>
              <c:ext xmlns:c16="http://schemas.microsoft.com/office/drawing/2014/chart" uri="{C3380CC4-5D6E-409C-BE32-E72D297353CC}">
                <c16:uniqueId val="{00000001-921A-4500-B43F-96B59AA1076A}"/>
              </c:ext>
            </c:extLst>
          </c:dPt>
          <c:dPt>
            <c:idx val="1"/>
            <c:bubble3D val="0"/>
            <c:spPr>
              <a:solidFill>
                <a:srgbClr val="DEC98E"/>
              </a:solidFill>
              <a:ln w="19050">
                <a:solidFill>
                  <a:schemeClr val="lt1"/>
                </a:solidFill>
              </a:ln>
              <a:effectLst/>
            </c:spPr>
            <c:extLst>
              <c:ext xmlns:c16="http://schemas.microsoft.com/office/drawing/2014/chart" uri="{C3380CC4-5D6E-409C-BE32-E72D297353CC}">
                <c16:uniqueId val="{00000003-921A-4500-B43F-96B59AA1076A}"/>
              </c:ext>
            </c:extLst>
          </c:dPt>
          <c:dPt>
            <c:idx val="2"/>
            <c:bubble3D val="0"/>
            <c:spPr>
              <a:solidFill>
                <a:srgbClr val="C6F2ED"/>
              </a:solidFill>
              <a:ln w="19050">
                <a:solidFill>
                  <a:schemeClr val="lt1"/>
                </a:solidFill>
              </a:ln>
              <a:effectLst/>
            </c:spPr>
            <c:extLst>
              <c:ext xmlns:c16="http://schemas.microsoft.com/office/drawing/2014/chart" uri="{C3380CC4-5D6E-409C-BE32-E72D297353CC}">
                <c16:uniqueId val="{00000005-921A-4500-B43F-96B59AA1076A}"/>
              </c:ext>
            </c:extLst>
          </c:dPt>
          <c:dLbls>
            <c:dLbl>
              <c:idx val="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6164826007708561"/>
                      <c:h val="0.27317460317460313"/>
                    </c:manualLayout>
                  </c15:layout>
                </c:ext>
                <c:ext xmlns:c16="http://schemas.microsoft.com/office/drawing/2014/chart" uri="{C3380CC4-5D6E-409C-BE32-E72D297353CC}">
                  <c16:uniqueId val="{00000001-921A-4500-B43F-96B59AA1076A}"/>
                </c:ext>
              </c:extLst>
            </c:dLbl>
            <c:dLbl>
              <c:idx val="1"/>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4171065852569921"/>
                      <c:h val="0.26984126984126983"/>
                    </c:manualLayout>
                  </c15:layout>
                </c:ext>
                <c:ext xmlns:c16="http://schemas.microsoft.com/office/drawing/2014/chart" uri="{C3380CC4-5D6E-409C-BE32-E72D297353CC}">
                  <c16:uniqueId val="{00000003-921A-4500-B43F-96B59AA1076A}"/>
                </c:ext>
              </c:extLst>
            </c:dLbl>
            <c:dLbl>
              <c:idx val="2"/>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3507834984906082"/>
                      <c:h val="0.26984126984126983"/>
                    </c:manualLayout>
                  </c15:layout>
                </c:ext>
                <c:ext xmlns:c16="http://schemas.microsoft.com/office/drawing/2014/chart" uri="{C3380CC4-5D6E-409C-BE32-E72D297353CC}">
                  <c16:uniqueId val="{00000005-921A-4500-B43F-96B59AA1076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Eau'!$M$345:$M$347</c:f>
              <c:numCache>
                <c:formatCode>#\ ##0\ "$"</c:formatCode>
                <c:ptCount val="3"/>
                <c:pt idx="0">
                  <c:v>0</c:v>
                </c:pt>
                <c:pt idx="1">
                  <c:v>0</c:v>
                </c:pt>
                <c:pt idx="2">
                  <c:v>0</c:v>
                </c:pt>
              </c:numCache>
            </c:numRef>
          </c:val>
          <c:extLst>
            <c:ext xmlns:c16="http://schemas.microsoft.com/office/drawing/2014/chart" uri="{C3380CC4-5D6E-409C-BE32-E72D297353CC}">
              <c16:uniqueId val="{00000006-921A-4500-B43F-96B59AA1076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7CAFDE"/>
              </a:solidFill>
              <a:ln w="19050">
                <a:solidFill>
                  <a:schemeClr val="lt1"/>
                </a:solidFill>
              </a:ln>
              <a:effectLst/>
            </c:spPr>
            <c:extLst>
              <c:ext xmlns:c16="http://schemas.microsoft.com/office/drawing/2014/chart" uri="{C3380CC4-5D6E-409C-BE32-E72D297353CC}">
                <c16:uniqueId val="{00000001-698A-4F7D-A5C6-13A3697C9D27}"/>
              </c:ext>
            </c:extLst>
          </c:dPt>
          <c:dPt>
            <c:idx val="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3-698A-4F7D-A5C6-13A3697C9D27}"/>
              </c:ext>
            </c:extLst>
          </c:dPt>
          <c:dPt>
            <c:idx val="2"/>
            <c:bubble3D val="0"/>
            <c:spPr>
              <a:solidFill>
                <a:srgbClr val="2BB3A3"/>
              </a:solidFill>
              <a:ln w="19050">
                <a:solidFill>
                  <a:schemeClr val="lt1"/>
                </a:solidFill>
              </a:ln>
              <a:effectLst/>
            </c:spPr>
            <c:extLst>
              <c:ext xmlns:c16="http://schemas.microsoft.com/office/drawing/2014/chart" uri="{C3380CC4-5D6E-409C-BE32-E72D297353CC}">
                <c16:uniqueId val="{00000005-698A-4F7D-A5C6-13A3697C9D27}"/>
              </c:ext>
            </c:extLst>
          </c:dPt>
          <c:dLbls>
            <c:dLbl>
              <c:idx val="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2809755089387205"/>
                      <c:h val="0.26190476190476192"/>
                    </c:manualLayout>
                  </c15:layout>
                </c:ext>
                <c:ext xmlns:c16="http://schemas.microsoft.com/office/drawing/2014/chart" uri="{C3380CC4-5D6E-409C-BE32-E72D297353CC}">
                  <c16:uniqueId val="{00000001-698A-4F7D-A5C6-13A3697C9D27}"/>
                </c:ext>
              </c:extLst>
            </c:dLbl>
            <c:dLbl>
              <c:idx val="1"/>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3158795037146643"/>
                      <c:h val="0.29365079365079361"/>
                    </c:manualLayout>
                  </c15:layout>
                </c:ext>
                <c:ext xmlns:c16="http://schemas.microsoft.com/office/drawing/2014/chart" uri="{C3380CC4-5D6E-409C-BE32-E72D297353CC}">
                  <c16:uniqueId val="{00000003-698A-4F7D-A5C6-13A3697C9D27}"/>
                </c:ext>
              </c:extLst>
            </c:dLbl>
            <c:dLbl>
              <c:idx val="2"/>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3856874932665521"/>
                      <c:h val="0.22222222222222221"/>
                    </c:manualLayout>
                  </c15:layout>
                </c:ext>
                <c:ext xmlns:c16="http://schemas.microsoft.com/office/drawing/2014/chart" uri="{C3380CC4-5D6E-409C-BE32-E72D297353CC}">
                  <c16:uniqueId val="{00000005-698A-4F7D-A5C6-13A3697C9D27}"/>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Eau'!$M$371:$M$373</c:f>
              <c:numCache>
                <c:formatCode>#\ ##0\ "$"</c:formatCode>
                <c:ptCount val="3"/>
                <c:pt idx="0">
                  <c:v>0</c:v>
                </c:pt>
                <c:pt idx="1">
                  <c:v>0</c:v>
                </c:pt>
                <c:pt idx="2">
                  <c:v>0</c:v>
                </c:pt>
              </c:numCache>
            </c:numRef>
          </c:val>
          <c:extLst>
            <c:ext xmlns:c16="http://schemas.microsoft.com/office/drawing/2014/chart" uri="{C3380CC4-5D6E-409C-BE32-E72D297353CC}">
              <c16:uniqueId val="{00000006-698A-4F7D-A5C6-13A3697C9D2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BDD7EE"/>
              </a:solidFill>
              <a:ln w="19050">
                <a:solidFill>
                  <a:schemeClr val="lt1"/>
                </a:solidFill>
              </a:ln>
              <a:effectLst/>
            </c:spPr>
            <c:extLst>
              <c:ext xmlns:c16="http://schemas.microsoft.com/office/drawing/2014/chart" uri="{C3380CC4-5D6E-409C-BE32-E72D297353CC}">
                <c16:uniqueId val="{00000001-9794-4918-B15C-639C8AE62061}"/>
              </c:ext>
            </c:extLst>
          </c:dPt>
          <c:dPt>
            <c:idx val="1"/>
            <c:bubble3D val="0"/>
            <c:spPr>
              <a:solidFill>
                <a:srgbClr val="DEC98E"/>
              </a:solidFill>
              <a:ln w="19050">
                <a:solidFill>
                  <a:schemeClr val="lt1"/>
                </a:solidFill>
              </a:ln>
              <a:effectLst/>
            </c:spPr>
            <c:extLst>
              <c:ext xmlns:c16="http://schemas.microsoft.com/office/drawing/2014/chart" uri="{C3380CC4-5D6E-409C-BE32-E72D297353CC}">
                <c16:uniqueId val="{00000003-9794-4918-B15C-639C8AE62061}"/>
              </c:ext>
            </c:extLst>
          </c:dPt>
          <c:dPt>
            <c:idx val="2"/>
            <c:bubble3D val="0"/>
            <c:spPr>
              <a:solidFill>
                <a:srgbClr val="C6F2ED"/>
              </a:solidFill>
              <a:ln w="19050">
                <a:solidFill>
                  <a:schemeClr val="lt1"/>
                </a:solidFill>
              </a:ln>
              <a:effectLst/>
            </c:spPr>
            <c:extLst>
              <c:ext xmlns:c16="http://schemas.microsoft.com/office/drawing/2014/chart" uri="{C3380CC4-5D6E-409C-BE32-E72D297353CC}">
                <c16:uniqueId val="{00000005-9794-4918-B15C-639C8AE62061}"/>
              </c:ext>
            </c:extLst>
          </c:dPt>
          <c:dLbls>
            <c:dLbl>
              <c:idx val="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5951114619222152"/>
                      <c:h val="0.26984126984126983"/>
                    </c:manualLayout>
                  </c15:layout>
                </c:ext>
                <c:ext xmlns:c16="http://schemas.microsoft.com/office/drawing/2014/chart" uri="{C3380CC4-5D6E-409C-BE32-E72D297353CC}">
                  <c16:uniqueId val="{00000001-9794-4918-B15C-639C8AE62061}"/>
                </c:ext>
              </c:extLst>
            </c:dLbl>
            <c:dLbl>
              <c:idx val="1"/>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6300154566981591"/>
                      <c:h val="0.26984126984126983"/>
                    </c:manualLayout>
                  </c15:layout>
                </c:ext>
                <c:ext xmlns:c16="http://schemas.microsoft.com/office/drawing/2014/chart" uri="{C3380CC4-5D6E-409C-BE32-E72D297353CC}">
                  <c16:uniqueId val="{00000003-9794-4918-B15C-639C8AE62061}"/>
                </c:ext>
              </c:extLst>
            </c:dLbl>
            <c:dLbl>
              <c:idx val="2"/>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layout>
                    <c:manualLayout>
                      <c:w val="0.36300154566981591"/>
                      <c:h val="0.25396825396825395"/>
                    </c:manualLayout>
                  </c15:layout>
                </c:ext>
                <c:ext xmlns:c16="http://schemas.microsoft.com/office/drawing/2014/chart" uri="{C3380CC4-5D6E-409C-BE32-E72D297353CC}">
                  <c16:uniqueId val="{00000005-9794-4918-B15C-639C8AE6206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Eau'!$M$376:$M$378</c:f>
              <c:numCache>
                <c:formatCode>#\ ##0\ "$"</c:formatCode>
                <c:ptCount val="3"/>
                <c:pt idx="0">
                  <c:v>0</c:v>
                </c:pt>
                <c:pt idx="1">
                  <c:v>0</c:v>
                </c:pt>
                <c:pt idx="2">
                  <c:v>0</c:v>
                </c:pt>
              </c:numCache>
            </c:numRef>
          </c:val>
          <c:extLst>
            <c:ext xmlns:c16="http://schemas.microsoft.com/office/drawing/2014/chart" uri="{C3380CC4-5D6E-409C-BE32-E72D297353CC}">
              <c16:uniqueId val="{00000006-9794-4918-B15C-639C8AE6206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5412300432523"/>
          <c:y val="6.3291139240506333E-2"/>
          <c:w val="0.83578104056560576"/>
          <c:h val="0.65456423954072873"/>
        </c:manualLayout>
      </c:layout>
      <c:barChart>
        <c:barDir val="col"/>
        <c:grouping val="stacked"/>
        <c:varyColors val="0"/>
        <c:ser>
          <c:idx val="0"/>
          <c:order val="0"/>
          <c:tx>
            <c:strRef>
              <c:f>'CALCULS Eau potable'!$D$181</c:f>
              <c:strCache>
                <c:ptCount val="1"/>
                <c:pt idx="0">
                  <c:v>Exploitation</c:v>
                </c:pt>
              </c:strCache>
            </c:strRef>
          </c:tx>
          <c:spPr>
            <a:solidFill>
              <a:srgbClr val="00B0F0"/>
            </a:solidFill>
            <a:ln>
              <a:noFill/>
            </a:ln>
            <a:effectLst/>
          </c:spPr>
          <c:invertIfNegative val="0"/>
          <c:cat>
            <c:numRef>
              <c:f>'CALCULS Eau potable'!$E$179:$N$179</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 potable'!$E$181:$N$181</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23B-41E4-B05D-EE03DE36F7E8}"/>
            </c:ext>
          </c:extLst>
        </c:ser>
        <c:ser>
          <c:idx val="3"/>
          <c:order val="1"/>
          <c:tx>
            <c:strRef>
              <c:f>'CALCULS Eau potable'!$D$182</c:f>
              <c:strCache>
                <c:ptCount val="1"/>
                <c:pt idx="0">
                  <c:v>Entretien</c:v>
                </c:pt>
              </c:strCache>
            </c:strRef>
          </c:tx>
          <c:spPr>
            <a:solidFill>
              <a:srgbClr val="0070C0"/>
            </a:solidFill>
            <a:ln>
              <a:noFill/>
            </a:ln>
            <a:effectLst/>
          </c:spPr>
          <c:invertIfNegative val="0"/>
          <c:cat>
            <c:numRef>
              <c:f>'CALCULS Eau potable'!$E$179:$N$179</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 potable'!$E$182:$N$182</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023B-41E4-B05D-EE03DE36F7E8}"/>
            </c:ext>
          </c:extLst>
        </c:ser>
        <c:ser>
          <c:idx val="4"/>
          <c:order val="2"/>
          <c:tx>
            <c:strRef>
              <c:f>'CALCULS Eau potable'!$D$183</c:f>
              <c:strCache>
                <c:ptCount val="1"/>
                <c:pt idx="0">
                  <c:v>Renouvellement</c:v>
                </c:pt>
              </c:strCache>
            </c:strRef>
          </c:tx>
          <c:spPr>
            <a:solidFill>
              <a:schemeClr val="accent4"/>
            </a:solidFill>
            <a:ln>
              <a:noFill/>
            </a:ln>
            <a:effectLst/>
          </c:spPr>
          <c:invertIfNegative val="0"/>
          <c:val>
            <c:numRef>
              <c:f>'CALCULS Eau potable'!$E$183:$N$183</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023B-41E4-B05D-EE03DE36F7E8}"/>
            </c:ext>
          </c:extLst>
        </c:ser>
        <c:ser>
          <c:idx val="5"/>
          <c:order val="3"/>
          <c:tx>
            <c:strRef>
              <c:f>'CALCULS Eau potable'!$D$184</c:f>
              <c:strCache>
                <c:ptCount val="1"/>
                <c:pt idx="0">
                  <c:v>Acquisition</c:v>
                </c:pt>
              </c:strCache>
            </c:strRef>
          </c:tx>
          <c:spPr>
            <a:solidFill>
              <a:schemeClr val="accent2"/>
            </a:solidFill>
            <a:ln>
              <a:noFill/>
            </a:ln>
            <a:effectLst/>
          </c:spPr>
          <c:invertIfNegative val="0"/>
          <c:val>
            <c:numRef>
              <c:f>'CALCULS Eau potable'!$E$184:$N$184</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023B-41E4-B05D-EE03DE36F7E8}"/>
            </c:ext>
          </c:extLst>
        </c:ser>
        <c:ser>
          <c:idx val="6"/>
          <c:order val="4"/>
          <c:tx>
            <c:strRef>
              <c:f>'CALCULS Eau potable'!$D$185</c:f>
              <c:strCache>
                <c:ptCount val="1"/>
                <c:pt idx="0">
                  <c:v>Disposition</c:v>
                </c:pt>
              </c:strCache>
            </c:strRef>
          </c:tx>
          <c:spPr>
            <a:solidFill>
              <a:schemeClr val="accent4">
                <a:lumMod val="50000"/>
              </a:schemeClr>
            </a:solidFill>
            <a:ln>
              <a:noFill/>
            </a:ln>
            <a:effectLst/>
          </c:spPr>
          <c:invertIfNegative val="0"/>
          <c:val>
            <c:numRef>
              <c:f>'CALCULS Eau potable'!$E$185:$N$185</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023B-41E4-B05D-EE03DE36F7E8}"/>
            </c:ext>
          </c:extLst>
        </c:ser>
        <c:dLbls>
          <c:showLegendKey val="0"/>
          <c:showVal val="0"/>
          <c:showCatName val="0"/>
          <c:showSerName val="0"/>
          <c:showPercent val="0"/>
          <c:showBubbleSize val="0"/>
        </c:dLbls>
        <c:gapWidth val="219"/>
        <c:overlap val="100"/>
        <c:axId val="1704784576"/>
        <c:axId val="1704796224"/>
      </c:barChart>
      <c:lineChart>
        <c:grouping val="standard"/>
        <c:varyColors val="0"/>
        <c:ser>
          <c:idx val="1"/>
          <c:order val="5"/>
          <c:tx>
            <c:strRef>
              <c:f>'CALCULS Eau potable'!$D$180</c:f>
              <c:strCache>
                <c:ptCount val="1"/>
                <c:pt idx="0">
                  <c:v>Budget actuel</c:v>
                </c:pt>
              </c:strCache>
            </c:strRef>
          </c:tx>
          <c:spPr>
            <a:ln w="22225" cap="rnd">
              <a:solidFill>
                <a:schemeClr val="tx2">
                  <a:lumMod val="50000"/>
                </a:schemeClr>
              </a:solidFill>
              <a:round/>
            </a:ln>
            <a:effectLst/>
          </c:spPr>
          <c:marker>
            <c:symbol val="none"/>
          </c:marker>
          <c:val>
            <c:numRef>
              <c:f>'CALCULS Eau potable'!$E$180:$N$180</c:f>
              <c:numCache>
                <c:formatCode>#\ ##0\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7-023B-41E4-B05D-EE03DE36F7E8}"/>
            </c:ext>
          </c:extLst>
        </c:ser>
        <c:dLbls>
          <c:showLegendKey val="0"/>
          <c:showVal val="0"/>
          <c:showCatName val="0"/>
          <c:showSerName val="0"/>
          <c:showPercent val="0"/>
          <c:showBubbleSize val="0"/>
        </c:dLbls>
        <c:marker val="1"/>
        <c:smooth val="0"/>
        <c:axId val="1704784576"/>
        <c:axId val="1704796224"/>
      </c:lineChart>
      <c:catAx>
        <c:axId val="1704784576"/>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96224"/>
        <c:crosses val="autoZero"/>
        <c:auto val="1"/>
        <c:lblAlgn val="ctr"/>
        <c:lblOffset val="100"/>
        <c:noMultiLvlLbl val="0"/>
      </c:catAx>
      <c:valAx>
        <c:axId val="1704796224"/>
        <c:scaling>
          <c:orientation val="minMax"/>
        </c:scaling>
        <c:delete val="0"/>
        <c:axPos val="l"/>
        <c:majorGridlines>
          <c:spPr>
            <a:ln w="9525" cap="flat" cmpd="sng" algn="ctr">
              <a:solidFill>
                <a:schemeClr val="tx1">
                  <a:lumMod val="15000"/>
                  <a:lumOff val="85000"/>
                </a:schemeClr>
              </a:solidFill>
              <a:round/>
            </a:ln>
            <a:effectLst/>
          </c:spPr>
        </c:majorGridlines>
        <c:numFmt formatCode="#\ ##0\ &quot;$&quot;" sourceLinked="1"/>
        <c:majorTickMark val="none"/>
        <c:minorTickMark val="none"/>
        <c:tickLblPos val="nextTo"/>
        <c:spPr>
          <a:noFill/>
          <a:ln>
            <a:solidFill>
              <a:schemeClr val="tx2">
                <a:lumMod val="50000"/>
              </a:schemeClr>
            </a:solidFill>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84576"/>
        <c:crosses val="autoZero"/>
        <c:crossBetween val="between"/>
      </c:valAx>
      <c:spPr>
        <a:noFill/>
        <a:ln>
          <a:noFill/>
        </a:ln>
        <a:effectLst/>
      </c:spPr>
    </c:plotArea>
    <c:legend>
      <c:legendPos val="b"/>
      <c:layout>
        <c:manualLayout>
          <c:xMode val="edge"/>
          <c:yMode val="edge"/>
          <c:x val="1.3843061293421619E-2"/>
          <c:y val="0.83343590885061625"/>
          <c:w val="0.97218424740172971"/>
          <c:h val="0.119226510113797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918630941630003E-2"/>
          <c:y val="0.14676199255389122"/>
          <c:w val="0.88759273840769903"/>
          <c:h val="0.54036745406824149"/>
        </c:manualLayout>
      </c:layout>
      <c:barChart>
        <c:barDir val="bar"/>
        <c:grouping val="percentStacked"/>
        <c:varyColors val="0"/>
        <c:ser>
          <c:idx val="0"/>
          <c:order val="0"/>
          <c:tx>
            <c:strRef>
              <c:f>'CALCULS Eau potable'!$D$239</c:f>
              <c:strCache>
                <c:ptCount val="1"/>
                <c:pt idx="0">
                  <c:v>Exploitation</c:v>
                </c:pt>
              </c:strCache>
            </c:strRef>
          </c:tx>
          <c:spPr>
            <a:solidFill>
              <a:srgbClr val="00B0F0"/>
            </a:solidFill>
            <a:ln>
              <a:noFill/>
            </a:ln>
            <a:effectLst/>
          </c:spPr>
          <c:invertIfNegative val="0"/>
          <c:dLbls>
            <c:dLbl>
              <c:idx val="0"/>
              <c:layout>
                <c:manualLayout>
                  <c:x val="-4.5896467017288479E-2"/>
                  <c:y val="-0.27455676882464897"/>
                </c:manualLayout>
              </c:layout>
              <c:tx>
                <c:rich>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fld id="{E6A18CFC-1724-41F3-95FF-895C138E2B7A}" type="CELLRANGE">
                      <a:rPr lang="en-US"/>
                      <a:pPr algn="l">
                        <a:defRPr sz="1200">
                          <a:latin typeface="Bahnschrift Light SemiCondensed" panose="020B0502040204020203" pitchFamily="34" charset="0"/>
                        </a:defRPr>
                      </a:pPr>
                      <a:t>[PLAGECELL]</a:t>
                    </a:fld>
                    <a:endParaRPr lang="fr-CA"/>
                  </a:p>
                </c:rich>
              </c:tx>
              <c:spPr>
                <a:noFill/>
                <a:ln>
                  <a:noFill/>
                </a:ln>
                <a:effectLst/>
              </c:spPr>
              <c:txPr>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8.2988857614294198E-2"/>
                      <c:h val="0.20177816355632711"/>
                    </c:manualLayout>
                  </c15:layout>
                  <c15:dlblFieldTable/>
                  <c15:showDataLabelsRange val="1"/>
                </c:ext>
                <c:ext xmlns:c16="http://schemas.microsoft.com/office/drawing/2014/chart" uri="{C3380CC4-5D6E-409C-BE32-E72D297353CC}">
                  <c16:uniqueId val="{00000005-7F46-4A8B-9F26-7A92E24DDB9E}"/>
                </c:ext>
              </c:extLst>
            </c:dLbl>
            <c:spPr>
              <a:noFill/>
              <a:ln>
                <a:noFill/>
              </a:ln>
              <a:effectLst/>
            </c:spPr>
            <c:txPr>
              <a:bodyPr rot="0" spcFirstLastPara="1" vertOverflow="ellipsis" vert="horz" wrap="square" anchor="ctr" anchorCtr="1"/>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 potable'!$O$239</c:f>
              <c:numCache>
                <c:formatCode>#\ ##0\ "$"</c:formatCode>
                <c:ptCount val="1"/>
                <c:pt idx="0">
                  <c:v>0</c:v>
                </c:pt>
              </c:numCache>
            </c:numRef>
          </c:val>
          <c:extLst>
            <c:ext xmlns:c15="http://schemas.microsoft.com/office/drawing/2012/chart" uri="{02D57815-91ED-43cb-92C2-25804820EDAC}">
              <c15:datalabelsRange>
                <c15:f>'CALCULS Eau potable'!$P$239:$P$243</c15:f>
                <c15:dlblRangeCache>
                  <c:ptCount val="5"/>
                </c15:dlblRangeCache>
              </c15:datalabelsRange>
            </c:ext>
            <c:ext xmlns:c16="http://schemas.microsoft.com/office/drawing/2014/chart" uri="{C3380CC4-5D6E-409C-BE32-E72D297353CC}">
              <c16:uniqueId val="{00000000-7F46-4A8B-9F26-7A92E24DDB9E}"/>
            </c:ext>
          </c:extLst>
        </c:ser>
        <c:ser>
          <c:idx val="1"/>
          <c:order val="1"/>
          <c:tx>
            <c:strRef>
              <c:f>'CALCULS Eau potable'!$D$240</c:f>
              <c:strCache>
                <c:ptCount val="1"/>
                <c:pt idx="0">
                  <c:v>Entretien</c:v>
                </c:pt>
              </c:strCache>
            </c:strRef>
          </c:tx>
          <c:spPr>
            <a:solidFill>
              <a:srgbClr val="0070C0"/>
            </a:solidFill>
            <a:ln>
              <a:noFill/>
            </a:ln>
            <a:effectLst/>
          </c:spPr>
          <c:invertIfNegative val="0"/>
          <c:dLbls>
            <c:dLbl>
              <c:idx val="0"/>
              <c:layout>
                <c:manualLayout>
                  <c:x val="-0.13204909599538864"/>
                  <c:y val="-0.28247373024492428"/>
                </c:manualLayout>
              </c:layout>
              <c:tx>
                <c:rich>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fld id="{D6FE9EDA-0578-47F6-A5F1-C4555B47800B}" type="CELLRANGE">
                      <a:rPr lang="en-US"/>
                      <a:pPr algn="l">
                        <a:defRPr sz="1200">
                          <a:latin typeface="Bahnschrift Light SemiCondensed" panose="020B0502040204020203" pitchFamily="34" charset="0"/>
                        </a:defRPr>
                      </a:pPr>
                      <a:t>[PLAGECELL]</a:t>
                    </a:fld>
                    <a:endParaRPr lang="fr-CA"/>
                  </a:p>
                </c:rich>
              </c:tx>
              <c:spPr>
                <a:noFill/>
                <a:ln>
                  <a:noFill/>
                </a:ln>
                <a:effectLst/>
              </c:spPr>
              <c:txPr>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8.5958066242947148E-2"/>
                      <c:h val="0.20177816355632711"/>
                    </c:manualLayout>
                  </c15:layout>
                  <c15:dlblFieldTable/>
                  <c15:showDataLabelsRange val="1"/>
                </c:ext>
                <c:ext xmlns:c16="http://schemas.microsoft.com/office/drawing/2014/chart" uri="{C3380CC4-5D6E-409C-BE32-E72D297353CC}">
                  <c16:uniqueId val="{00000007-7F46-4A8B-9F26-7A92E24DDB9E}"/>
                </c:ext>
              </c:extLst>
            </c:dLbl>
            <c:spPr>
              <a:noFill/>
              <a:ln>
                <a:noFill/>
              </a:ln>
              <a:effectLst/>
            </c:spPr>
            <c:txPr>
              <a:bodyPr rot="0" spcFirstLastPara="1" vertOverflow="ellipsis" vert="horz" wrap="square" anchor="ctr" anchorCtr="1"/>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inBase"/>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 potable'!$O$240</c:f>
              <c:numCache>
                <c:formatCode>#\ ##0\ "$"</c:formatCode>
                <c:ptCount val="1"/>
                <c:pt idx="0">
                  <c:v>0</c:v>
                </c:pt>
              </c:numCache>
            </c:numRef>
          </c:val>
          <c:extLst>
            <c:ext xmlns:c15="http://schemas.microsoft.com/office/drawing/2012/chart" uri="{02D57815-91ED-43cb-92C2-25804820EDAC}">
              <c15:datalabelsRange>
                <c15:f>'CALCULS Eau potable'!$P$240</c15:f>
                <c15:dlblRangeCache>
                  <c:ptCount val="1"/>
                </c15:dlblRangeCache>
              </c15:datalabelsRange>
            </c:ext>
            <c:ext xmlns:c16="http://schemas.microsoft.com/office/drawing/2014/chart" uri="{C3380CC4-5D6E-409C-BE32-E72D297353CC}">
              <c16:uniqueId val="{00000001-7F46-4A8B-9F26-7A92E24DDB9E}"/>
            </c:ext>
          </c:extLst>
        </c:ser>
        <c:ser>
          <c:idx val="2"/>
          <c:order val="2"/>
          <c:tx>
            <c:strRef>
              <c:f>'CALCULS Eau potable'!$D$241</c:f>
              <c:strCache>
                <c:ptCount val="1"/>
                <c:pt idx="0">
                  <c:v>Renouvellement</c:v>
                </c:pt>
              </c:strCache>
            </c:strRef>
          </c:tx>
          <c:spPr>
            <a:solidFill>
              <a:schemeClr val="accent4"/>
            </a:solidFill>
            <a:ln>
              <a:noFill/>
            </a:ln>
            <a:effectLst/>
          </c:spPr>
          <c:invertIfNegative val="0"/>
          <c:dLbls>
            <c:dLbl>
              <c:idx val="0"/>
              <c:layout>
                <c:manualLayout>
                  <c:x val="-5.9833490403799323E-2"/>
                  <c:y val="-0.28856934910310766"/>
                </c:manualLayout>
              </c:layout>
              <c:tx>
                <c:rich>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fld id="{7061A9EC-58AF-45A0-87B0-348B67FF4CED}" type="CELLRANGE">
                      <a:rPr lang="en-US"/>
                      <a:pPr algn="l">
                        <a:defRPr sz="1200">
                          <a:latin typeface="Bahnschrift Light SemiCondensed" panose="020B0502040204020203" pitchFamily="34" charset="0"/>
                        </a:defRPr>
                      </a:pPr>
                      <a:t>[PLAGECELL]</a:t>
                    </a:fld>
                    <a:endParaRPr lang="fr-CA"/>
                  </a:p>
                </c:rich>
              </c:tx>
              <c:spPr>
                <a:noFill/>
                <a:ln>
                  <a:noFill/>
                </a:ln>
                <a:effectLst/>
              </c:spPr>
              <c:txPr>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0"/>
              <c:showBubbleSize val="0"/>
              <c:separator>; </c:separator>
              <c:extLst>
                <c:ext xmlns:c15="http://schemas.microsoft.com/office/drawing/2012/chart" uri="{CE6537A1-D6FC-4f65-9D91-7224C49458BB}">
                  <c15:layout>
                    <c:manualLayout>
                      <c:w val="8.0727460706621318E-2"/>
                      <c:h val="0.20177816355632711"/>
                    </c:manualLayout>
                  </c15:layout>
                  <c15:dlblFieldTable/>
                  <c15:showDataLabelsRange val="1"/>
                </c:ext>
                <c:ext xmlns:c16="http://schemas.microsoft.com/office/drawing/2014/chart" uri="{C3380CC4-5D6E-409C-BE32-E72D297353CC}">
                  <c16:uniqueId val="{00000006-7F46-4A8B-9F26-7A92E24DDB9E}"/>
                </c:ext>
              </c:extLst>
            </c:dLbl>
            <c:spPr>
              <a:noFill/>
              <a:ln>
                <a:noFill/>
              </a:ln>
              <a:effectLst/>
            </c:spPr>
            <c:txPr>
              <a:bodyPr rot="0" spcFirstLastPara="1" vertOverflow="ellipsis" vert="horz" wrap="square" anchor="ctr" anchorCtr="1"/>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 potable'!$O$241</c:f>
              <c:numCache>
                <c:formatCode>#\ ##0\ "$"</c:formatCode>
                <c:ptCount val="1"/>
                <c:pt idx="0">
                  <c:v>0</c:v>
                </c:pt>
              </c:numCache>
            </c:numRef>
          </c:val>
          <c:extLst>
            <c:ext xmlns:c15="http://schemas.microsoft.com/office/drawing/2012/chart" uri="{02D57815-91ED-43cb-92C2-25804820EDAC}">
              <c15:datalabelsRange>
                <c15:f>'CALCULS Eau potable'!$P$241</c15:f>
                <c15:dlblRangeCache>
                  <c:ptCount val="1"/>
                </c15:dlblRangeCache>
              </c15:datalabelsRange>
            </c:ext>
            <c:ext xmlns:c16="http://schemas.microsoft.com/office/drawing/2014/chart" uri="{C3380CC4-5D6E-409C-BE32-E72D297353CC}">
              <c16:uniqueId val="{00000002-7F46-4A8B-9F26-7A92E24DDB9E}"/>
            </c:ext>
          </c:extLst>
        </c:ser>
        <c:ser>
          <c:idx val="3"/>
          <c:order val="3"/>
          <c:tx>
            <c:strRef>
              <c:f>'CALCULS Eau potable'!$D$242</c:f>
              <c:strCache>
                <c:ptCount val="1"/>
                <c:pt idx="0">
                  <c:v>Acquisition</c:v>
                </c:pt>
              </c:strCache>
            </c:strRef>
          </c:tx>
          <c:spPr>
            <a:solidFill>
              <a:schemeClr val="accent2"/>
            </a:solidFill>
            <a:ln>
              <a:noFill/>
            </a:ln>
            <a:effectLst/>
          </c:spPr>
          <c:invertIfNegative val="0"/>
          <c:dLbls>
            <c:dLbl>
              <c:idx val="0"/>
              <c:layout>
                <c:manualLayout>
                  <c:x val="-5.7183559639983901E-2"/>
                  <c:y val="-0.28575376938378322"/>
                </c:manualLayout>
              </c:layout>
              <c:tx>
                <c:rich>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fld id="{0ECD99B8-6517-42E9-B8A7-3D1E6A2AC14B}" type="CELLRANGE">
                      <a:rPr lang="en-US"/>
                      <a:pPr algn="l">
                        <a:defRPr sz="1200">
                          <a:latin typeface="Bahnschrift Light SemiCondensed" panose="020B0502040204020203" pitchFamily="34" charset="0"/>
                        </a:defRPr>
                      </a:pPr>
                      <a:t>[PLAGECELL]</a:t>
                    </a:fld>
                    <a:endParaRPr lang="fr-CA"/>
                  </a:p>
                </c:rich>
              </c:tx>
              <c:spPr>
                <a:noFill/>
                <a:ln>
                  <a:noFill/>
                </a:ln>
                <a:effectLst/>
              </c:spPr>
              <c:txPr>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8.2016695759265373E-2"/>
                      <c:h val="0.20177816355632711"/>
                    </c:manualLayout>
                  </c15:layout>
                  <c15:dlblFieldTable/>
                  <c15:showDataLabelsRange val="1"/>
                </c:ext>
                <c:ext xmlns:c16="http://schemas.microsoft.com/office/drawing/2014/chart" uri="{C3380CC4-5D6E-409C-BE32-E72D297353CC}">
                  <c16:uniqueId val="{00000008-7F46-4A8B-9F26-7A92E24DDB9E}"/>
                </c:ext>
              </c:extLst>
            </c:dLbl>
            <c:spPr>
              <a:noFill/>
              <a:ln>
                <a:noFill/>
              </a:ln>
              <a:effectLst/>
            </c:spPr>
            <c:txPr>
              <a:bodyPr rot="0" spcFirstLastPara="1" vertOverflow="ellipsis" vert="horz" wrap="square" anchor="ctr" anchorCtr="1"/>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 potable'!$O$242</c:f>
              <c:numCache>
                <c:formatCode>#\ ##0\ "$"</c:formatCode>
                <c:ptCount val="1"/>
                <c:pt idx="0">
                  <c:v>0</c:v>
                </c:pt>
              </c:numCache>
            </c:numRef>
          </c:val>
          <c:extLst>
            <c:ext xmlns:c15="http://schemas.microsoft.com/office/drawing/2012/chart" uri="{02D57815-91ED-43cb-92C2-25804820EDAC}">
              <c15:datalabelsRange>
                <c15:f>'CALCULS Eau potable'!$P$241</c15:f>
                <c15:dlblRangeCache>
                  <c:ptCount val="1"/>
                </c15:dlblRangeCache>
              </c15:datalabelsRange>
            </c:ext>
            <c:ext xmlns:c16="http://schemas.microsoft.com/office/drawing/2014/chart" uri="{C3380CC4-5D6E-409C-BE32-E72D297353CC}">
              <c16:uniqueId val="{00000003-7F46-4A8B-9F26-7A92E24DDB9E}"/>
            </c:ext>
          </c:extLst>
        </c:ser>
        <c:ser>
          <c:idx val="4"/>
          <c:order val="4"/>
          <c:tx>
            <c:strRef>
              <c:f>'CALCULS Eau potable'!$D$243</c:f>
              <c:strCache>
                <c:ptCount val="1"/>
                <c:pt idx="0">
                  <c:v>Disposition</c:v>
                </c:pt>
              </c:strCache>
            </c:strRef>
          </c:tx>
          <c:spPr>
            <a:solidFill>
              <a:schemeClr val="accent4">
                <a:lumMod val="50000"/>
              </a:schemeClr>
            </a:solidFill>
            <a:ln>
              <a:noFill/>
            </a:ln>
            <a:effectLst/>
          </c:spPr>
          <c:invertIfNegative val="0"/>
          <c:dLbls>
            <c:dLbl>
              <c:idx val="0"/>
              <c:layout>
                <c:manualLayout>
                  <c:x val="2.9097974416886933E-2"/>
                  <c:y val="-0.2795518340414031"/>
                </c:manualLayout>
              </c:layout>
              <c:tx>
                <c:rich>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fld id="{83204F5D-7444-47AD-A4C1-79C0C73092F0}" type="CELLRANGE">
                      <a:rPr lang="en-US"/>
                      <a:pPr algn="l">
                        <a:defRPr sz="1200">
                          <a:latin typeface="Bahnschrift Light SemiCondensed" panose="020B0502040204020203" pitchFamily="34" charset="0"/>
                        </a:defRPr>
                      </a:pPr>
                      <a:t>[PLAGECELL]</a:t>
                    </a:fld>
                    <a:endParaRPr lang="fr-CA"/>
                  </a:p>
                </c:rich>
              </c:tx>
              <c:spPr>
                <a:noFill/>
                <a:ln>
                  <a:noFill/>
                </a:ln>
                <a:effectLst/>
              </c:spPr>
              <c:txPr>
                <a:bodyPr rot="0" spcFirstLastPara="1" vertOverflow="ellipsis" vert="horz" wrap="square" anchor="ctr" anchorCtr="0"/>
                <a:lstStyle/>
                <a:p>
                  <a:pPr algn="l">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7.6076808869525656E-2"/>
                      <c:h val="0.22277553888441107"/>
                    </c:manualLayout>
                  </c15:layout>
                  <c15:dlblFieldTable/>
                  <c15:showDataLabelsRange val="1"/>
                </c:ext>
                <c:ext xmlns:c16="http://schemas.microsoft.com/office/drawing/2014/chart" uri="{C3380CC4-5D6E-409C-BE32-E72D297353CC}">
                  <c16:uniqueId val="{00000009-7F46-4A8B-9F26-7A92E24DDB9E}"/>
                </c:ext>
              </c:extLst>
            </c:dLbl>
            <c:spPr>
              <a:noFill/>
              <a:ln>
                <a:noFill/>
              </a:ln>
              <a:effectLst/>
            </c:spPr>
            <c:txPr>
              <a:bodyPr rot="0" spcFirstLastPara="1" vertOverflow="ellipsis" vert="horz" wrap="square" anchor="ctr" anchorCtr="1"/>
              <a:lstStyle/>
              <a:p>
                <a:pPr>
                  <a:defRPr sz="12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dLblPos val="inBase"/>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'CALCULS Eau potable'!$O$243</c:f>
              <c:numCache>
                <c:formatCode>#\ ##0\ "$"</c:formatCode>
                <c:ptCount val="1"/>
                <c:pt idx="0">
                  <c:v>0</c:v>
                </c:pt>
              </c:numCache>
            </c:numRef>
          </c:val>
          <c:extLst>
            <c:ext xmlns:c15="http://schemas.microsoft.com/office/drawing/2012/chart" uri="{02D57815-91ED-43cb-92C2-25804820EDAC}">
              <c15:datalabelsRange>
                <c15:f>'CALCULS Eau potable'!$P$243</c15:f>
                <c15:dlblRangeCache>
                  <c:ptCount val="1"/>
                </c15:dlblRangeCache>
              </c15:datalabelsRange>
            </c:ext>
            <c:ext xmlns:c16="http://schemas.microsoft.com/office/drawing/2014/chart" uri="{C3380CC4-5D6E-409C-BE32-E72D297353CC}">
              <c16:uniqueId val="{00000004-7F46-4A8B-9F26-7A92E24DDB9E}"/>
            </c:ext>
          </c:extLst>
        </c:ser>
        <c:dLbls>
          <c:showLegendKey val="0"/>
          <c:showVal val="0"/>
          <c:showCatName val="0"/>
          <c:showSerName val="0"/>
          <c:showPercent val="0"/>
          <c:showBubbleSize val="0"/>
        </c:dLbls>
        <c:gapWidth val="114"/>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40143432701434E-2"/>
          <c:y val="0.21155511811023625"/>
          <c:w val="0.82257532468778138"/>
          <c:h val="0.76355127484064489"/>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2-60D4-4E43-83D0-FBEABC5844CD}"/>
              </c:ext>
            </c:extLst>
          </c:dPt>
          <c:dPt>
            <c:idx val="1"/>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6-60D4-4E43-83D0-FBEABC5844CD}"/>
              </c:ext>
            </c:extLst>
          </c:dPt>
          <c:dPt>
            <c:idx val="2"/>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7-60D4-4E43-83D0-FBEABC5844CD}"/>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9-60D4-4E43-83D0-FBEABC5844CD}"/>
              </c:ext>
            </c:extLst>
          </c:dPt>
          <c:dLbls>
            <c:dLbl>
              <c:idx val="0"/>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D4-4E43-83D0-FBEABC5844CD}"/>
                </c:ext>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D4-4E43-83D0-FBEABC5844CD}"/>
                </c:ext>
              </c:extLst>
            </c:dLbl>
            <c:dLbl>
              <c:idx val="2"/>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0D4-4E43-83D0-FBEABC5844CD}"/>
                </c:ext>
              </c:extLst>
            </c:dLbl>
            <c:dLbl>
              <c:idx val="3"/>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0D4-4E43-83D0-FBEABC5844CD}"/>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 potable'!$D$322:$D$325</c:f>
              <c:strCache>
                <c:ptCount val="4"/>
                <c:pt idx="0">
                  <c:v>Budget planifié</c:v>
                </c:pt>
                <c:pt idx="1">
                  <c:v>Coûts prévisionnels</c:v>
                </c:pt>
                <c:pt idx="2">
                  <c:v>Coûts prévisionnels</c:v>
                </c:pt>
                <c:pt idx="3">
                  <c:v>Budget planifié</c:v>
                </c:pt>
              </c:strCache>
            </c:strRef>
          </c:cat>
          <c:val>
            <c:numRef>
              <c:f>'CALCULS Eau potable'!$E$322:$E$325</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0-60D4-4E43-83D0-FBEABC5844CD}"/>
            </c:ext>
          </c:extLst>
        </c:ser>
        <c:ser>
          <c:idx val="1"/>
          <c:order val="1"/>
          <c:tx>
            <c:strRef>
              <c:f>'CALCULS Eau potable'!$F$321</c:f>
              <c:strCache>
                <c:ptCount val="1"/>
                <c:pt idx="0">
                  <c:v>Déficit de financement</c:v>
                </c:pt>
              </c:strCache>
            </c:strRef>
          </c:tx>
          <c:spPr>
            <a:solidFill>
              <a:srgbClr val="C00000"/>
            </a:solidFill>
            <a:ln>
              <a:solidFill>
                <a:srgbClr val="C00000"/>
              </a:solidFill>
            </a:ln>
            <a:effectLst/>
          </c:spPr>
          <c:invertIfNegative val="0"/>
          <c:dLbls>
            <c:dLbl>
              <c:idx val="0"/>
              <c:layout>
                <c:manualLayout>
                  <c:x val="-2.519943203820834E-2"/>
                  <c:y val="-0.52903777652793404"/>
                </c:manualLayout>
              </c:layout>
              <c:spPr>
                <a:noFill/>
                <a:ln>
                  <a:noFill/>
                </a:ln>
                <a:effectLst/>
              </c:spPr>
              <c:txPr>
                <a:bodyPr rot="0" spcFirstLastPara="1" vertOverflow="ellipsis" vert="horz" wrap="square" lIns="38100" tIns="19050" rIns="38100" bIns="19050" anchor="ctr" anchorCtr="0">
                  <a:noAutofit/>
                </a:bodyPr>
                <a:lstStyle/>
                <a:p>
                  <a:pPr algn="l">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740501699582634"/>
                      <c:h val="0.1919239782527184"/>
                    </c:manualLayout>
                  </c15:layout>
                </c:ext>
                <c:ext xmlns:c16="http://schemas.microsoft.com/office/drawing/2014/chart" uri="{C3380CC4-5D6E-409C-BE32-E72D297353CC}">
                  <c16:uniqueId val="{0000000A-60D4-4E43-83D0-FBEABC5844CD}"/>
                </c:ext>
              </c:extLst>
            </c:dLbl>
            <c:dLbl>
              <c:idx val="1"/>
              <c:delete val="1"/>
              <c:extLst>
                <c:ext xmlns:c15="http://schemas.microsoft.com/office/drawing/2012/chart" uri="{CE6537A1-D6FC-4f65-9D91-7224C49458BB}"/>
                <c:ext xmlns:c16="http://schemas.microsoft.com/office/drawing/2014/chart" uri="{C3380CC4-5D6E-409C-BE32-E72D297353CC}">
                  <c16:uniqueId val="{0000000C-60D4-4E43-83D0-FBEABC5844CD}"/>
                </c:ext>
              </c:extLst>
            </c:dLbl>
            <c:dLbl>
              <c:idx val="2"/>
              <c:delete val="1"/>
              <c:extLst>
                <c:ext xmlns:c15="http://schemas.microsoft.com/office/drawing/2012/chart" uri="{CE6537A1-D6FC-4f65-9D91-7224C49458BB}"/>
                <c:ext xmlns:c16="http://schemas.microsoft.com/office/drawing/2014/chart" uri="{C3380CC4-5D6E-409C-BE32-E72D297353CC}">
                  <c16:uniqueId val="{0000000B-60D4-4E43-83D0-FBEABC5844CD}"/>
                </c:ext>
              </c:extLst>
            </c:dLbl>
            <c:dLbl>
              <c:idx val="3"/>
              <c:layout>
                <c:manualLayout>
                  <c:x val="2.8572350587324026E-2"/>
                  <c:y val="-0.51517575928008996"/>
                </c:manualLayout>
              </c:layout>
              <c:spPr>
                <a:noFill/>
                <a:ln>
                  <a:noFill/>
                </a:ln>
                <a:effectLst/>
              </c:spPr>
              <c:txPr>
                <a:bodyPr rot="0" spcFirstLastPara="1" vertOverflow="ellipsis" vert="horz" wrap="square" lIns="38100" tIns="19050" rIns="38100" bIns="19050" anchor="ctr" anchorCtr="0">
                  <a:noAutofit/>
                </a:bodyPr>
                <a:lstStyle/>
                <a:p>
                  <a:pPr algn="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77240652295512"/>
                      <c:h val="0.19780371203599553"/>
                    </c:manualLayout>
                  </c15:layout>
                </c:ext>
                <c:ext xmlns:c16="http://schemas.microsoft.com/office/drawing/2014/chart" uri="{C3380CC4-5D6E-409C-BE32-E72D297353CC}">
                  <c16:uniqueId val="{0000000D-60D4-4E43-83D0-FBEABC5844CD}"/>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 potable'!$D$322:$D$325</c:f>
              <c:strCache>
                <c:ptCount val="4"/>
                <c:pt idx="0">
                  <c:v>Budget planifié</c:v>
                </c:pt>
                <c:pt idx="1">
                  <c:v>Coûts prévisionnels</c:v>
                </c:pt>
                <c:pt idx="2">
                  <c:v>Coûts prévisionnels</c:v>
                </c:pt>
                <c:pt idx="3">
                  <c:v>Budget planifié</c:v>
                </c:pt>
              </c:strCache>
            </c:strRef>
          </c:cat>
          <c:val>
            <c:numRef>
              <c:f>'CALCULS Eau potable'!$F$322:$F$325</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1-60D4-4E43-83D0-FBEABC5844CD}"/>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40143432701434E-2"/>
          <c:y val="0.21410627243023195"/>
          <c:w val="0.82257532468778138"/>
          <c:h val="0.76208259681825485"/>
        </c:manualLayout>
      </c:layout>
      <c:barChart>
        <c:barDir val="col"/>
        <c:grouping val="stacked"/>
        <c:varyColors val="0"/>
        <c:ser>
          <c:idx val="0"/>
          <c:order val="0"/>
          <c:spPr>
            <a:solidFill>
              <a:schemeClr val="accent1"/>
            </a:solidFill>
            <a:ln>
              <a:solidFill>
                <a:schemeClr val="accent5">
                  <a:lumMod val="75000"/>
                </a:schemeClr>
              </a:solid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7B86-4E14-9C2B-44A457814203}"/>
              </c:ext>
            </c:extLst>
          </c:dPt>
          <c:dPt>
            <c:idx val="1"/>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3-7B86-4E14-9C2B-44A457814203}"/>
              </c:ext>
            </c:extLst>
          </c:dPt>
          <c:dPt>
            <c:idx val="2"/>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5-7B86-4E14-9C2B-44A457814203}"/>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7B86-4E14-9C2B-44A457814203}"/>
              </c:ext>
            </c:extLst>
          </c:dPt>
          <c:dLbls>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86-4E14-9C2B-44A457814203}"/>
                </c:ext>
              </c:extLst>
            </c:dLbl>
            <c:dLbl>
              <c:idx val="2"/>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86-4E14-9C2B-44A457814203}"/>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 potable'!$D$346:$D$349</c:f>
              <c:strCache>
                <c:ptCount val="4"/>
                <c:pt idx="0">
                  <c:v>Budget planifié</c:v>
                </c:pt>
                <c:pt idx="1">
                  <c:v>Coûts prévisionnels</c:v>
                </c:pt>
                <c:pt idx="2">
                  <c:v>Coûts prévisionnels</c:v>
                </c:pt>
                <c:pt idx="3">
                  <c:v>Budget planifié</c:v>
                </c:pt>
              </c:strCache>
            </c:strRef>
          </c:cat>
          <c:val>
            <c:numRef>
              <c:f>'CALCULS Eau potable'!$E$346:$E$349</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7B86-4E14-9C2B-44A457814203}"/>
            </c:ext>
          </c:extLst>
        </c:ser>
        <c:ser>
          <c:idx val="1"/>
          <c:order val="1"/>
          <c:tx>
            <c:strRef>
              <c:f>'CALCULS Eau potable'!$F$345</c:f>
              <c:strCache>
                <c:ptCount val="1"/>
                <c:pt idx="0">
                  <c:v>Déficit de financement</c:v>
                </c:pt>
              </c:strCache>
            </c:strRef>
          </c:tx>
          <c:spPr>
            <a:solidFill>
              <a:srgbClr val="C00000"/>
            </a:solidFill>
            <a:ln>
              <a:solidFill>
                <a:srgbClr val="C00000"/>
              </a:solidFill>
            </a:ln>
            <a:effectLst/>
          </c:spPr>
          <c:invertIfNegative val="0"/>
          <c:dLbls>
            <c:dLbl>
              <c:idx val="0"/>
              <c:layout>
                <c:manualLayout>
                  <c:x val="-1.9125683060109294E-2"/>
                  <c:y val="-0.5208335676790401"/>
                </c:manualLayout>
              </c:layout>
              <c:spPr>
                <a:noFill/>
                <a:ln>
                  <a:noFill/>
                </a:ln>
                <a:effectLst/>
              </c:spPr>
              <c:txPr>
                <a:bodyPr rot="0" spcFirstLastPara="1" vertOverflow="ellipsis" vert="horz" wrap="square" lIns="38100" tIns="19050" rIns="38100" bIns="19050" anchor="ctr" anchorCtr="0">
                  <a:noAutofit/>
                </a:bodyPr>
                <a:lstStyle/>
                <a:p>
                  <a:pPr algn="l">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051912568306011"/>
                      <c:h val="0.19633952005999247"/>
                    </c:manualLayout>
                  </c15:layout>
                </c:ext>
                <c:ext xmlns:c16="http://schemas.microsoft.com/office/drawing/2014/chart" uri="{C3380CC4-5D6E-409C-BE32-E72D297353CC}">
                  <c16:uniqueId val="{00000009-7B86-4E14-9C2B-44A457814203}"/>
                </c:ext>
              </c:extLst>
            </c:dLbl>
            <c:dLbl>
              <c:idx val="1"/>
              <c:delete val="1"/>
              <c:extLst>
                <c:ext xmlns:c15="http://schemas.microsoft.com/office/drawing/2012/chart" uri="{CE6537A1-D6FC-4f65-9D91-7224C49458BB}"/>
                <c:ext xmlns:c16="http://schemas.microsoft.com/office/drawing/2014/chart" uri="{C3380CC4-5D6E-409C-BE32-E72D297353CC}">
                  <c16:uniqueId val="{0000000A-7B86-4E14-9C2B-44A457814203}"/>
                </c:ext>
              </c:extLst>
            </c:dLbl>
            <c:dLbl>
              <c:idx val="2"/>
              <c:delete val="1"/>
              <c:extLst>
                <c:ext xmlns:c15="http://schemas.microsoft.com/office/drawing/2012/chart" uri="{CE6537A1-D6FC-4f65-9D91-7224C49458BB}"/>
                <c:ext xmlns:c16="http://schemas.microsoft.com/office/drawing/2014/chart" uri="{C3380CC4-5D6E-409C-BE32-E72D297353CC}">
                  <c16:uniqueId val="{0000000B-7B86-4E14-9C2B-44A457814203}"/>
                </c:ext>
              </c:extLst>
            </c:dLbl>
            <c:dLbl>
              <c:idx val="3"/>
              <c:layout>
                <c:manualLayout>
                  <c:x val="3.3552342842390503E-2"/>
                  <c:y val="-0.51488024934383203"/>
                </c:manualLayout>
              </c:layout>
              <c:spPr>
                <a:noFill/>
                <a:ln>
                  <a:noFill/>
                </a:ln>
                <a:effectLst/>
              </c:spPr>
              <c:txPr>
                <a:bodyPr rot="0" spcFirstLastPara="1" vertOverflow="ellipsis" vert="horz" wrap="square" lIns="38100" tIns="19050" rIns="38100" bIns="19050" anchor="ctr" anchorCtr="0">
                  <a:noAutofit/>
                </a:bodyPr>
                <a:lstStyle/>
                <a:p>
                  <a:pPr algn="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29658556000172109"/>
                      <c:h val="0.19633952005999247"/>
                    </c:manualLayout>
                  </c15:layout>
                </c:ext>
                <c:ext xmlns:c16="http://schemas.microsoft.com/office/drawing/2014/chart" uri="{C3380CC4-5D6E-409C-BE32-E72D297353CC}">
                  <c16:uniqueId val="{0000000C-7B86-4E14-9C2B-44A457814203}"/>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 potable'!$D$346:$D$349</c:f>
              <c:strCache>
                <c:ptCount val="4"/>
                <c:pt idx="0">
                  <c:v>Budget planifié</c:v>
                </c:pt>
                <c:pt idx="1">
                  <c:v>Coûts prévisionnels</c:v>
                </c:pt>
                <c:pt idx="2">
                  <c:v>Coûts prévisionnels</c:v>
                </c:pt>
                <c:pt idx="3">
                  <c:v>Budget planifié</c:v>
                </c:pt>
              </c:strCache>
            </c:strRef>
          </c:cat>
          <c:val>
            <c:numRef>
              <c:f>'CALCULS Eau potable'!$F$346:$F$349</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7B86-4E14-9C2B-44A457814203}"/>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73.emf"/><Relationship Id="rId13" Type="http://schemas.openxmlformats.org/officeDocument/2006/relationships/image" Target="../media/image178.emf"/><Relationship Id="rId3" Type="http://schemas.openxmlformats.org/officeDocument/2006/relationships/image" Target="../media/image168.emf"/><Relationship Id="rId7" Type="http://schemas.openxmlformats.org/officeDocument/2006/relationships/image" Target="../media/image172.emf"/><Relationship Id="rId12" Type="http://schemas.openxmlformats.org/officeDocument/2006/relationships/image" Target="../media/image177.emf"/><Relationship Id="rId17" Type="http://schemas.openxmlformats.org/officeDocument/2006/relationships/image" Target="../media/image182.emf"/><Relationship Id="rId2" Type="http://schemas.openxmlformats.org/officeDocument/2006/relationships/image" Target="../media/image167.emf"/><Relationship Id="rId16" Type="http://schemas.openxmlformats.org/officeDocument/2006/relationships/image" Target="../media/image181.emf"/><Relationship Id="rId1" Type="http://schemas.openxmlformats.org/officeDocument/2006/relationships/image" Target="../media/image166.emf"/><Relationship Id="rId6" Type="http://schemas.openxmlformats.org/officeDocument/2006/relationships/image" Target="../media/image171.emf"/><Relationship Id="rId11" Type="http://schemas.openxmlformats.org/officeDocument/2006/relationships/image" Target="../media/image176.emf"/><Relationship Id="rId5" Type="http://schemas.openxmlformats.org/officeDocument/2006/relationships/image" Target="../media/image170.emf"/><Relationship Id="rId15" Type="http://schemas.openxmlformats.org/officeDocument/2006/relationships/image" Target="../media/image180.emf"/><Relationship Id="rId10" Type="http://schemas.openxmlformats.org/officeDocument/2006/relationships/image" Target="../media/image175.emf"/><Relationship Id="rId4" Type="http://schemas.openxmlformats.org/officeDocument/2006/relationships/image" Target="../media/image169.emf"/><Relationship Id="rId9" Type="http://schemas.openxmlformats.org/officeDocument/2006/relationships/image" Target="../media/image174.emf"/><Relationship Id="rId14" Type="http://schemas.openxmlformats.org/officeDocument/2006/relationships/image" Target="../media/image179.emf"/></Relationships>
</file>

<file path=xl/drawings/_rels/drawing11.xml.rels><?xml version="1.0" encoding="UTF-8" standalone="yes"?>
<Relationships xmlns="http://schemas.openxmlformats.org/package/2006/relationships"><Relationship Id="rId3" Type="http://schemas.openxmlformats.org/officeDocument/2006/relationships/image" Target="../media/image202.png"/><Relationship Id="rId2" Type="http://schemas.openxmlformats.org/officeDocument/2006/relationships/image" Target="../media/image201.png"/><Relationship Id="rId1" Type="http://schemas.openxmlformats.org/officeDocument/2006/relationships/image" Target="../media/image200.png"/></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image" Target="../media/image8.emf"/><Relationship Id="rId18" Type="http://schemas.openxmlformats.org/officeDocument/2006/relationships/image" Target="../media/image11.emf"/><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3.xml"/><Relationship Id="rId2" Type="http://schemas.openxmlformats.org/officeDocument/2006/relationships/chart" Target="../charts/chart1.xml"/><Relationship Id="rId16" Type="http://schemas.openxmlformats.org/officeDocument/2006/relationships/image" Target="../media/image10.emf"/><Relationship Id="rId1" Type="http://schemas.openxmlformats.org/officeDocument/2006/relationships/image" Target="../media/image7.emf"/><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5" Type="http://schemas.openxmlformats.org/officeDocument/2006/relationships/chart" Target="../charts/chart12.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image" Target="../media/image9.emf"/></Relationships>
</file>

<file path=xl/drawings/_rels/drawing4.xml.rels><?xml version="1.0" encoding="UTF-8" standalone="yes"?>
<Relationships xmlns="http://schemas.openxmlformats.org/package/2006/relationships"><Relationship Id="rId8" Type="http://schemas.openxmlformats.org/officeDocument/2006/relationships/image" Target="../media/image24.emf"/><Relationship Id="rId13" Type="http://schemas.openxmlformats.org/officeDocument/2006/relationships/image" Target="../media/image29.emf"/><Relationship Id="rId18" Type="http://schemas.openxmlformats.org/officeDocument/2006/relationships/image" Target="../media/image34.emf"/><Relationship Id="rId3" Type="http://schemas.openxmlformats.org/officeDocument/2006/relationships/image" Target="../media/image19.emf"/><Relationship Id="rId7" Type="http://schemas.openxmlformats.org/officeDocument/2006/relationships/image" Target="../media/image23.emf"/><Relationship Id="rId12" Type="http://schemas.openxmlformats.org/officeDocument/2006/relationships/image" Target="../media/image28.emf"/><Relationship Id="rId17" Type="http://schemas.openxmlformats.org/officeDocument/2006/relationships/image" Target="../media/image33.emf"/><Relationship Id="rId2" Type="http://schemas.openxmlformats.org/officeDocument/2006/relationships/image" Target="../media/image18.emf"/><Relationship Id="rId16" Type="http://schemas.openxmlformats.org/officeDocument/2006/relationships/image" Target="../media/image32.emf"/><Relationship Id="rId1" Type="http://schemas.openxmlformats.org/officeDocument/2006/relationships/image" Target="../media/image17.emf"/><Relationship Id="rId6" Type="http://schemas.openxmlformats.org/officeDocument/2006/relationships/image" Target="../media/image22.emf"/><Relationship Id="rId11" Type="http://schemas.openxmlformats.org/officeDocument/2006/relationships/image" Target="../media/image27.emf"/><Relationship Id="rId5" Type="http://schemas.openxmlformats.org/officeDocument/2006/relationships/image" Target="../media/image21.emf"/><Relationship Id="rId15" Type="http://schemas.openxmlformats.org/officeDocument/2006/relationships/image" Target="../media/image31.emf"/><Relationship Id="rId10" Type="http://schemas.openxmlformats.org/officeDocument/2006/relationships/image" Target="../media/image26.emf"/><Relationship Id="rId4" Type="http://schemas.openxmlformats.org/officeDocument/2006/relationships/image" Target="../media/image20.emf"/><Relationship Id="rId9" Type="http://schemas.openxmlformats.org/officeDocument/2006/relationships/image" Target="../media/image25.emf"/><Relationship Id="rId14" Type="http://schemas.openxmlformats.org/officeDocument/2006/relationships/image" Target="../media/image30.emf"/></Relationships>
</file>

<file path=xl/drawings/_rels/drawing5.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image" Target="../media/image8.emf"/><Relationship Id="rId18" Type="http://schemas.openxmlformats.org/officeDocument/2006/relationships/image" Target="../media/image11.emf"/><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6.xml"/><Relationship Id="rId2" Type="http://schemas.openxmlformats.org/officeDocument/2006/relationships/chart" Target="../charts/chart14.xml"/><Relationship Id="rId16" Type="http://schemas.openxmlformats.org/officeDocument/2006/relationships/image" Target="../media/image55.emf"/><Relationship Id="rId1" Type="http://schemas.openxmlformats.org/officeDocument/2006/relationships/image" Target="../media/image53.emf"/><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5" Type="http://schemas.openxmlformats.org/officeDocument/2006/relationships/chart" Target="../charts/chart25.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image" Target="../media/image54.emf"/></Relationships>
</file>

<file path=xl/drawings/_rels/drawing6.xml.rels><?xml version="1.0" encoding="UTF-8" standalone="yes"?>
<Relationships xmlns="http://schemas.openxmlformats.org/package/2006/relationships"><Relationship Id="rId8" Type="http://schemas.openxmlformats.org/officeDocument/2006/relationships/image" Target="../media/image66.emf"/><Relationship Id="rId13" Type="http://schemas.openxmlformats.org/officeDocument/2006/relationships/image" Target="../media/image71.emf"/><Relationship Id="rId18" Type="http://schemas.openxmlformats.org/officeDocument/2006/relationships/image" Target="../media/image76.emf"/><Relationship Id="rId3" Type="http://schemas.openxmlformats.org/officeDocument/2006/relationships/image" Target="../media/image61.emf"/><Relationship Id="rId7" Type="http://schemas.openxmlformats.org/officeDocument/2006/relationships/image" Target="../media/image65.emf"/><Relationship Id="rId12" Type="http://schemas.openxmlformats.org/officeDocument/2006/relationships/image" Target="../media/image70.emf"/><Relationship Id="rId17" Type="http://schemas.openxmlformats.org/officeDocument/2006/relationships/image" Target="../media/image75.emf"/><Relationship Id="rId2" Type="http://schemas.openxmlformats.org/officeDocument/2006/relationships/image" Target="../media/image60.emf"/><Relationship Id="rId16" Type="http://schemas.openxmlformats.org/officeDocument/2006/relationships/image" Target="../media/image74.emf"/><Relationship Id="rId1" Type="http://schemas.openxmlformats.org/officeDocument/2006/relationships/image" Target="../media/image59.emf"/><Relationship Id="rId6" Type="http://schemas.openxmlformats.org/officeDocument/2006/relationships/image" Target="../media/image64.emf"/><Relationship Id="rId11" Type="http://schemas.openxmlformats.org/officeDocument/2006/relationships/image" Target="../media/image69.emf"/><Relationship Id="rId5" Type="http://schemas.openxmlformats.org/officeDocument/2006/relationships/image" Target="../media/image63.emf"/><Relationship Id="rId15" Type="http://schemas.openxmlformats.org/officeDocument/2006/relationships/image" Target="../media/image73.emf"/><Relationship Id="rId10" Type="http://schemas.openxmlformats.org/officeDocument/2006/relationships/image" Target="../media/image68.emf"/><Relationship Id="rId4" Type="http://schemas.openxmlformats.org/officeDocument/2006/relationships/image" Target="../media/image62.emf"/><Relationship Id="rId9" Type="http://schemas.openxmlformats.org/officeDocument/2006/relationships/image" Target="../media/image67.emf"/><Relationship Id="rId14" Type="http://schemas.openxmlformats.org/officeDocument/2006/relationships/image" Target="../media/image72.emf"/></Relationships>
</file>

<file path=xl/drawings/_rels/drawing7.xml.rels><?xml version="1.0" encoding="UTF-8" standalone="yes"?>
<Relationships xmlns="http://schemas.openxmlformats.org/package/2006/relationships"><Relationship Id="rId8" Type="http://schemas.openxmlformats.org/officeDocument/2006/relationships/chart" Target="../charts/chart33.xml"/><Relationship Id="rId13" Type="http://schemas.openxmlformats.org/officeDocument/2006/relationships/image" Target="../media/image8.emf"/><Relationship Id="rId18" Type="http://schemas.openxmlformats.org/officeDocument/2006/relationships/image" Target="../media/image11.emf"/><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chart" Target="../charts/chart37.xml"/><Relationship Id="rId17" Type="http://schemas.openxmlformats.org/officeDocument/2006/relationships/chart" Target="../charts/chart39.xml"/><Relationship Id="rId2" Type="http://schemas.openxmlformats.org/officeDocument/2006/relationships/chart" Target="../charts/chart27.xml"/><Relationship Id="rId16" Type="http://schemas.openxmlformats.org/officeDocument/2006/relationships/image" Target="../media/image97.emf"/><Relationship Id="rId1" Type="http://schemas.openxmlformats.org/officeDocument/2006/relationships/image" Target="../media/image95.emf"/><Relationship Id="rId6" Type="http://schemas.openxmlformats.org/officeDocument/2006/relationships/chart" Target="../charts/chart31.xml"/><Relationship Id="rId11" Type="http://schemas.openxmlformats.org/officeDocument/2006/relationships/chart" Target="../charts/chart36.xml"/><Relationship Id="rId5" Type="http://schemas.openxmlformats.org/officeDocument/2006/relationships/chart" Target="../charts/chart30.xml"/><Relationship Id="rId15" Type="http://schemas.openxmlformats.org/officeDocument/2006/relationships/chart" Target="../charts/chart38.xml"/><Relationship Id="rId10" Type="http://schemas.openxmlformats.org/officeDocument/2006/relationships/chart" Target="../charts/chart35.xml"/><Relationship Id="rId4" Type="http://schemas.openxmlformats.org/officeDocument/2006/relationships/chart" Target="../charts/chart29.xml"/><Relationship Id="rId9" Type="http://schemas.openxmlformats.org/officeDocument/2006/relationships/chart" Target="../charts/chart34.xml"/><Relationship Id="rId14" Type="http://schemas.openxmlformats.org/officeDocument/2006/relationships/image" Target="../media/image96.emf"/></Relationships>
</file>

<file path=xl/drawings/_rels/drawing8.xml.rels><?xml version="1.0" encoding="UTF-8" standalone="yes"?>
<Relationships xmlns="http://schemas.openxmlformats.org/package/2006/relationships"><Relationship Id="rId8" Type="http://schemas.openxmlformats.org/officeDocument/2006/relationships/image" Target="../media/image108.emf"/><Relationship Id="rId13" Type="http://schemas.openxmlformats.org/officeDocument/2006/relationships/image" Target="../media/image113.emf"/><Relationship Id="rId18" Type="http://schemas.openxmlformats.org/officeDocument/2006/relationships/image" Target="../media/image118.emf"/><Relationship Id="rId3" Type="http://schemas.openxmlformats.org/officeDocument/2006/relationships/image" Target="../media/image103.emf"/><Relationship Id="rId7" Type="http://schemas.openxmlformats.org/officeDocument/2006/relationships/image" Target="../media/image107.emf"/><Relationship Id="rId12" Type="http://schemas.openxmlformats.org/officeDocument/2006/relationships/image" Target="../media/image112.emf"/><Relationship Id="rId17" Type="http://schemas.openxmlformats.org/officeDocument/2006/relationships/image" Target="../media/image117.emf"/><Relationship Id="rId2" Type="http://schemas.openxmlformats.org/officeDocument/2006/relationships/image" Target="../media/image102.emf"/><Relationship Id="rId16" Type="http://schemas.openxmlformats.org/officeDocument/2006/relationships/image" Target="../media/image116.emf"/><Relationship Id="rId1" Type="http://schemas.openxmlformats.org/officeDocument/2006/relationships/image" Target="../media/image101.emf"/><Relationship Id="rId6" Type="http://schemas.openxmlformats.org/officeDocument/2006/relationships/image" Target="../media/image106.emf"/><Relationship Id="rId11" Type="http://schemas.openxmlformats.org/officeDocument/2006/relationships/image" Target="../media/image111.emf"/><Relationship Id="rId5" Type="http://schemas.openxmlformats.org/officeDocument/2006/relationships/image" Target="../media/image105.emf"/><Relationship Id="rId15" Type="http://schemas.openxmlformats.org/officeDocument/2006/relationships/image" Target="../media/image115.emf"/><Relationship Id="rId10" Type="http://schemas.openxmlformats.org/officeDocument/2006/relationships/image" Target="../media/image110.emf"/><Relationship Id="rId4" Type="http://schemas.openxmlformats.org/officeDocument/2006/relationships/image" Target="../media/image104.emf"/><Relationship Id="rId9" Type="http://schemas.openxmlformats.org/officeDocument/2006/relationships/image" Target="../media/image109.emf"/><Relationship Id="rId14" Type="http://schemas.openxmlformats.org/officeDocument/2006/relationships/image" Target="../media/image114.emf"/></Relationships>
</file>

<file path=xl/drawings/_rels/drawing9.xml.rels><?xml version="1.0" encoding="UTF-8" standalone="yes"?>
<Relationships xmlns="http://schemas.openxmlformats.org/package/2006/relationships"><Relationship Id="rId13" Type="http://schemas.openxmlformats.org/officeDocument/2006/relationships/image" Target="../media/image140.emf"/><Relationship Id="rId18" Type="http://schemas.openxmlformats.org/officeDocument/2006/relationships/image" Target="../media/image143.emf"/><Relationship Id="rId26" Type="http://schemas.openxmlformats.org/officeDocument/2006/relationships/chart" Target="../charts/chart53.xml"/><Relationship Id="rId3" Type="http://schemas.openxmlformats.org/officeDocument/2006/relationships/chart" Target="../charts/chart42.xml"/><Relationship Id="rId21" Type="http://schemas.openxmlformats.org/officeDocument/2006/relationships/chart" Target="../charts/chart51.xml"/><Relationship Id="rId7" Type="http://schemas.openxmlformats.org/officeDocument/2006/relationships/chart" Target="../charts/chart45.xml"/><Relationship Id="rId12" Type="http://schemas.openxmlformats.org/officeDocument/2006/relationships/chart" Target="../charts/chart48.xml"/><Relationship Id="rId17" Type="http://schemas.openxmlformats.org/officeDocument/2006/relationships/image" Target="../media/image142.emf"/><Relationship Id="rId25" Type="http://schemas.openxmlformats.org/officeDocument/2006/relationships/image" Target="../media/image148.png"/><Relationship Id="rId33" Type="http://schemas.openxmlformats.org/officeDocument/2006/relationships/image" Target="../media/image151.emf"/><Relationship Id="rId2" Type="http://schemas.openxmlformats.org/officeDocument/2006/relationships/chart" Target="../charts/chart41.xml"/><Relationship Id="rId16" Type="http://schemas.openxmlformats.org/officeDocument/2006/relationships/chart" Target="../charts/chart50.xml"/><Relationship Id="rId20" Type="http://schemas.openxmlformats.org/officeDocument/2006/relationships/image" Target="../media/image145.emf"/><Relationship Id="rId29" Type="http://schemas.openxmlformats.org/officeDocument/2006/relationships/chart" Target="../charts/chart56.xml"/><Relationship Id="rId1" Type="http://schemas.openxmlformats.org/officeDocument/2006/relationships/chart" Target="../charts/chart40.xml"/><Relationship Id="rId6" Type="http://schemas.openxmlformats.org/officeDocument/2006/relationships/image" Target="../media/image137.emf"/><Relationship Id="rId11" Type="http://schemas.openxmlformats.org/officeDocument/2006/relationships/chart" Target="../charts/chart47.xml"/><Relationship Id="rId24" Type="http://schemas.openxmlformats.org/officeDocument/2006/relationships/image" Target="../media/image147.emf"/><Relationship Id="rId32" Type="http://schemas.openxmlformats.org/officeDocument/2006/relationships/image" Target="../media/image150.emf"/><Relationship Id="rId5" Type="http://schemas.openxmlformats.org/officeDocument/2006/relationships/chart" Target="../charts/chart44.xml"/><Relationship Id="rId15" Type="http://schemas.openxmlformats.org/officeDocument/2006/relationships/chart" Target="../charts/chart49.xml"/><Relationship Id="rId23" Type="http://schemas.openxmlformats.org/officeDocument/2006/relationships/chart" Target="../charts/chart52.xml"/><Relationship Id="rId28" Type="http://schemas.openxmlformats.org/officeDocument/2006/relationships/chart" Target="../charts/chart55.xml"/><Relationship Id="rId10" Type="http://schemas.openxmlformats.org/officeDocument/2006/relationships/image" Target="../media/image139.emf"/><Relationship Id="rId19" Type="http://schemas.openxmlformats.org/officeDocument/2006/relationships/image" Target="../media/image144.emf"/><Relationship Id="rId31" Type="http://schemas.openxmlformats.org/officeDocument/2006/relationships/image" Target="../media/image149.emf"/><Relationship Id="rId4" Type="http://schemas.openxmlformats.org/officeDocument/2006/relationships/chart" Target="../charts/chart43.xml"/><Relationship Id="rId9" Type="http://schemas.openxmlformats.org/officeDocument/2006/relationships/chart" Target="../charts/chart46.xml"/><Relationship Id="rId14" Type="http://schemas.openxmlformats.org/officeDocument/2006/relationships/image" Target="../media/image141.emf"/><Relationship Id="rId22" Type="http://schemas.openxmlformats.org/officeDocument/2006/relationships/image" Target="../media/image146.emf"/><Relationship Id="rId27" Type="http://schemas.openxmlformats.org/officeDocument/2006/relationships/chart" Target="../charts/chart54.xml"/><Relationship Id="rId30" Type="http://schemas.openxmlformats.org/officeDocument/2006/relationships/chart" Target="../charts/chart57.xml"/><Relationship Id="rId8" Type="http://schemas.openxmlformats.org/officeDocument/2006/relationships/image" Target="../media/image138.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5" Type="http://schemas.openxmlformats.org/officeDocument/2006/relationships/image" Target="../media/image16.emf"/><Relationship Id="rId4" Type="http://schemas.openxmlformats.org/officeDocument/2006/relationships/image" Target="../media/image15.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42.emf"/><Relationship Id="rId13" Type="http://schemas.openxmlformats.org/officeDocument/2006/relationships/image" Target="../media/image47.emf"/><Relationship Id="rId18" Type="http://schemas.openxmlformats.org/officeDocument/2006/relationships/image" Target="../media/image52.emf"/><Relationship Id="rId3" Type="http://schemas.openxmlformats.org/officeDocument/2006/relationships/image" Target="../media/image37.emf"/><Relationship Id="rId7" Type="http://schemas.openxmlformats.org/officeDocument/2006/relationships/image" Target="../media/image41.emf"/><Relationship Id="rId12" Type="http://schemas.openxmlformats.org/officeDocument/2006/relationships/image" Target="../media/image46.emf"/><Relationship Id="rId17" Type="http://schemas.openxmlformats.org/officeDocument/2006/relationships/image" Target="../media/image51.emf"/><Relationship Id="rId2" Type="http://schemas.openxmlformats.org/officeDocument/2006/relationships/image" Target="../media/image36.emf"/><Relationship Id="rId16" Type="http://schemas.openxmlformats.org/officeDocument/2006/relationships/image" Target="../media/image50.emf"/><Relationship Id="rId1" Type="http://schemas.openxmlformats.org/officeDocument/2006/relationships/image" Target="../media/image35.emf"/><Relationship Id="rId6" Type="http://schemas.openxmlformats.org/officeDocument/2006/relationships/image" Target="../media/image40.emf"/><Relationship Id="rId11" Type="http://schemas.openxmlformats.org/officeDocument/2006/relationships/image" Target="../media/image45.emf"/><Relationship Id="rId5" Type="http://schemas.openxmlformats.org/officeDocument/2006/relationships/image" Target="../media/image39.emf"/><Relationship Id="rId15" Type="http://schemas.openxmlformats.org/officeDocument/2006/relationships/image" Target="../media/image49.emf"/><Relationship Id="rId10" Type="http://schemas.openxmlformats.org/officeDocument/2006/relationships/image" Target="../media/image44.emf"/><Relationship Id="rId4" Type="http://schemas.openxmlformats.org/officeDocument/2006/relationships/image" Target="../media/image38.emf"/><Relationship Id="rId9" Type="http://schemas.openxmlformats.org/officeDocument/2006/relationships/image" Target="../media/image43.emf"/><Relationship Id="rId14" Type="http://schemas.openxmlformats.org/officeDocument/2006/relationships/image" Target="../media/image48.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7.emf"/><Relationship Id="rId2" Type="http://schemas.openxmlformats.org/officeDocument/2006/relationships/image" Target="../media/image13.emf"/><Relationship Id="rId1" Type="http://schemas.openxmlformats.org/officeDocument/2006/relationships/image" Target="../media/image56.emf"/><Relationship Id="rId5" Type="http://schemas.openxmlformats.org/officeDocument/2006/relationships/image" Target="../media/image16.emf"/><Relationship Id="rId4" Type="http://schemas.openxmlformats.org/officeDocument/2006/relationships/image" Target="../media/image58.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84.emf"/><Relationship Id="rId13" Type="http://schemas.openxmlformats.org/officeDocument/2006/relationships/image" Target="../media/image89.emf"/><Relationship Id="rId18" Type="http://schemas.openxmlformats.org/officeDocument/2006/relationships/image" Target="../media/image94.emf"/><Relationship Id="rId3" Type="http://schemas.openxmlformats.org/officeDocument/2006/relationships/image" Target="../media/image79.emf"/><Relationship Id="rId7" Type="http://schemas.openxmlformats.org/officeDocument/2006/relationships/image" Target="../media/image83.emf"/><Relationship Id="rId12" Type="http://schemas.openxmlformats.org/officeDocument/2006/relationships/image" Target="../media/image88.emf"/><Relationship Id="rId17" Type="http://schemas.openxmlformats.org/officeDocument/2006/relationships/image" Target="../media/image93.emf"/><Relationship Id="rId2" Type="http://schemas.openxmlformats.org/officeDocument/2006/relationships/image" Target="../media/image78.emf"/><Relationship Id="rId16" Type="http://schemas.openxmlformats.org/officeDocument/2006/relationships/image" Target="../media/image92.emf"/><Relationship Id="rId1" Type="http://schemas.openxmlformats.org/officeDocument/2006/relationships/image" Target="../media/image77.emf"/><Relationship Id="rId6" Type="http://schemas.openxmlformats.org/officeDocument/2006/relationships/image" Target="../media/image82.emf"/><Relationship Id="rId11" Type="http://schemas.openxmlformats.org/officeDocument/2006/relationships/image" Target="../media/image87.emf"/><Relationship Id="rId5" Type="http://schemas.openxmlformats.org/officeDocument/2006/relationships/image" Target="../media/image81.emf"/><Relationship Id="rId15" Type="http://schemas.openxmlformats.org/officeDocument/2006/relationships/image" Target="../media/image91.emf"/><Relationship Id="rId10" Type="http://schemas.openxmlformats.org/officeDocument/2006/relationships/image" Target="../media/image86.emf"/><Relationship Id="rId4" Type="http://schemas.openxmlformats.org/officeDocument/2006/relationships/image" Target="../media/image80.emf"/><Relationship Id="rId9" Type="http://schemas.openxmlformats.org/officeDocument/2006/relationships/image" Target="../media/image85.emf"/><Relationship Id="rId14" Type="http://schemas.openxmlformats.org/officeDocument/2006/relationships/image" Target="../media/image90.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99.emf"/><Relationship Id="rId2" Type="http://schemas.openxmlformats.org/officeDocument/2006/relationships/image" Target="../media/image13.emf"/><Relationship Id="rId1" Type="http://schemas.openxmlformats.org/officeDocument/2006/relationships/image" Target="../media/image98.emf"/><Relationship Id="rId5" Type="http://schemas.openxmlformats.org/officeDocument/2006/relationships/image" Target="../media/image16.emf"/><Relationship Id="rId4" Type="http://schemas.openxmlformats.org/officeDocument/2006/relationships/image" Target="../media/image100.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26.emf"/><Relationship Id="rId13" Type="http://schemas.openxmlformats.org/officeDocument/2006/relationships/image" Target="../media/image131.emf"/><Relationship Id="rId18" Type="http://schemas.openxmlformats.org/officeDocument/2006/relationships/image" Target="../media/image136.emf"/><Relationship Id="rId3" Type="http://schemas.openxmlformats.org/officeDocument/2006/relationships/image" Target="../media/image121.emf"/><Relationship Id="rId7" Type="http://schemas.openxmlformats.org/officeDocument/2006/relationships/image" Target="../media/image125.emf"/><Relationship Id="rId12" Type="http://schemas.openxmlformats.org/officeDocument/2006/relationships/image" Target="../media/image130.emf"/><Relationship Id="rId17" Type="http://schemas.openxmlformats.org/officeDocument/2006/relationships/image" Target="../media/image135.emf"/><Relationship Id="rId2" Type="http://schemas.openxmlformats.org/officeDocument/2006/relationships/image" Target="../media/image120.emf"/><Relationship Id="rId16" Type="http://schemas.openxmlformats.org/officeDocument/2006/relationships/image" Target="../media/image134.emf"/><Relationship Id="rId1" Type="http://schemas.openxmlformats.org/officeDocument/2006/relationships/image" Target="../media/image119.emf"/><Relationship Id="rId6" Type="http://schemas.openxmlformats.org/officeDocument/2006/relationships/image" Target="../media/image124.emf"/><Relationship Id="rId11" Type="http://schemas.openxmlformats.org/officeDocument/2006/relationships/image" Target="../media/image129.emf"/><Relationship Id="rId5" Type="http://schemas.openxmlformats.org/officeDocument/2006/relationships/image" Target="../media/image123.emf"/><Relationship Id="rId15" Type="http://schemas.openxmlformats.org/officeDocument/2006/relationships/image" Target="../media/image133.emf"/><Relationship Id="rId10" Type="http://schemas.openxmlformats.org/officeDocument/2006/relationships/image" Target="../media/image128.emf"/><Relationship Id="rId4" Type="http://schemas.openxmlformats.org/officeDocument/2006/relationships/image" Target="../media/image122.emf"/><Relationship Id="rId9" Type="http://schemas.openxmlformats.org/officeDocument/2006/relationships/image" Target="../media/image127.emf"/><Relationship Id="rId14" Type="http://schemas.openxmlformats.org/officeDocument/2006/relationships/image" Target="../media/image132.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159.emf"/><Relationship Id="rId13" Type="http://schemas.openxmlformats.org/officeDocument/2006/relationships/image" Target="../media/image164.emf"/><Relationship Id="rId3" Type="http://schemas.openxmlformats.org/officeDocument/2006/relationships/image" Target="../media/image154.emf"/><Relationship Id="rId7" Type="http://schemas.openxmlformats.org/officeDocument/2006/relationships/image" Target="../media/image158.emf"/><Relationship Id="rId12" Type="http://schemas.openxmlformats.org/officeDocument/2006/relationships/image" Target="../media/image163.emf"/><Relationship Id="rId2" Type="http://schemas.openxmlformats.org/officeDocument/2006/relationships/image" Target="../media/image153.emf"/><Relationship Id="rId1" Type="http://schemas.openxmlformats.org/officeDocument/2006/relationships/image" Target="../media/image152.emf"/><Relationship Id="rId6" Type="http://schemas.openxmlformats.org/officeDocument/2006/relationships/image" Target="../media/image157.emf"/><Relationship Id="rId11" Type="http://schemas.openxmlformats.org/officeDocument/2006/relationships/image" Target="../media/image162.emf"/><Relationship Id="rId5" Type="http://schemas.openxmlformats.org/officeDocument/2006/relationships/image" Target="../media/image156.emf"/><Relationship Id="rId10" Type="http://schemas.openxmlformats.org/officeDocument/2006/relationships/image" Target="../media/image161.emf"/><Relationship Id="rId4" Type="http://schemas.openxmlformats.org/officeDocument/2006/relationships/image" Target="../media/image155.emf"/><Relationship Id="rId9" Type="http://schemas.openxmlformats.org/officeDocument/2006/relationships/image" Target="../media/image160.emf"/><Relationship Id="rId14" Type="http://schemas.openxmlformats.org/officeDocument/2006/relationships/image" Target="../media/image165.emf"/></Relationships>
</file>

<file path=xl/drawings/_rels/vmlDrawing8.vml.rels><?xml version="1.0" encoding="UTF-8" standalone="yes"?>
<Relationships xmlns="http://schemas.openxmlformats.org/package/2006/relationships"><Relationship Id="rId8" Type="http://schemas.openxmlformats.org/officeDocument/2006/relationships/image" Target="../media/image190.emf"/><Relationship Id="rId13" Type="http://schemas.openxmlformats.org/officeDocument/2006/relationships/image" Target="../media/image195.emf"/><Relationship Id="rId3" Type="http://schemas.openxmlformats.org/officeDocument/2006/relationships/image" Target="../media/image185.emf"/><Relationship Id="rId7" Type="http://schemas.openxmlformats.org/officeDocument/2006/relationships/image" Target="../media/image189.emf"/><Relationship Id="rId12" Type="http://schemas.openxmlformats.org/officeDocument/2006/relationships/image" Target="../media/image194.emf"/><Relationship Id="rId17" Type="http://schemas.openxmlformats.org/officeDocument/2006/relationships/image" Target="../media/image199.emf"/><Relationship Id="rId2" Type="http://schemas.openxmlformats.org/officeDocument/2006/relationships/image" Target="../media/image184.emf"/><Relationship Id="rId16" Type="http://schemas.openxmlformats.org/officeDocument/2006/relationships/image" Target="../media/image198.emf"/><Relationship Id="rId1" Type="http://schemas.openxmlformats.org/officeDocument/2006/relationships/image" Target="../media/image183.emf"/><Relationship Id="rId6" Type="http://schemas.openxmlformats.org/officeDocument/2006/relationships/image" Target="../media/image188.emf"/><Relationship Id="rId11" Type="http://schemas.openxmlformats.org/officeDocument/2006/relationships/image" Target="../media/image193.emf"/><Relationship Id="rId5" Type="http://schemas.openxmlformats.org/officeDocument/2006/relationships/image" Target="../media/image187.emf"/><Relationship Id="rId15" Type="http://schemas.openxmlformats.org/officeDocument/2006/relationships/image" Target="../media/image197.emf"/><Relationship Id="rId10" Type="http://schemas.openxmlformats.org/officeDocument/2006/relationships/image" Target="../media/image192.emf"/><Relationship Id="rId4" Type="http://schemas.openxmlformats.org/officeDocument/2006/relationships/image" Target="../media/image186.emf"/><Relationship Id="rId9" Type="http://schemas.openxmlformats.org/officeDocument/2006/relationships/image" Target="../media/image191.emf"/><Relationship Id="rId14" Type="http://schemas.openxmlformats.org/officeDocument/2006/relationships/image" Target="../media/image196.emf"/></Relationships>
</file>

<file path=xl/drawings/drawing1.xml><?xml version="1.0" encoding="utf-8"?>
<xdr:wsDr xmlns:xdr="http://schemas.openxmlformats.org/drawingml/2006/spreadsheetDrawing" xmlns:a="http://schemas.openxmlformats.org/drawingml/2006/main">
  <xdr:twoCellAnchor editAs="oneCell">
    <xdr:from>
      <xdr:col>2</xdr:col>
      <xdr:colOff>198121</xdr:colOff>
      <xdr:row>44</xdr:row>
      <xdr:rowOff>71004</xdr:rowOff>
    </xdr:from>
    <xdr:to>
      <xdr:col>3</xdr:col>
      <xdr:colOff>536674</xdr:colOff>
      <xdr:row>48</xdr:row>
      <xdr:rowOff>160850</xdr:rowOff>
    </xdr:to>
    <xdr:pic>
      <xdr:nvPicPr>
        <xdr:cNvPr id="3" name="Image 2" descr="Une image contenant conception, diagramme&#10;&#10;Description générée automatiquement">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4421" y="9767454"/>
          <a:ext cx="729078" cy="794696"/>
        </a:xfrm>
        <a:prstGeom prst="rect">
          <a:avLst/>
        </a:prstGeom>
      </xdr:spPr>
    </xdr:pic>
    <xdr:clientData/>
  </xdr:twoCellAnchor>
  <xdr:twoCellAnchor editAs="oneCell">
    <xdr:from>
      <xdr:col>2</xdr:col>
      <xdr:colOff>199162</xdr:colOff>
      <xdr:row>34</xdr:row>
      <xdr:rowOff>50569</xdr:rowOff>
    </xdr:from>
    <xdr:to>
      <xdr:col>3</xdr:col>
      <xdr:colOff>522998</xdr:colOff>
      <xdr:row>38</xdr:row>
      <xdr:rowOff>152885</xdr:rowOff>
    </xdr:to>
    <xdr:pic>
      <xdr:nvPicPr>
        <xdr:cNvPr id="4" name="Image 3" descr="Une image contenant conception, diagramme, croquis, ligne&#10;&#10;Description générée automatiquement">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5387" y="8099194"/>
          <a:ext cx="714361" cy="807166"/>
        </a:xfrm>
        <a:prstGeom prst="rect">
          <a:avLst/>
        </a:prstGeom>
      </xdr:spPr>
    </xdr:pic>
    <xdr:clientData/>
  </xdr:twoCellAnchor>
  <xdr:twoCellAnchor editAs="oneCell">
    <xdr:from>
      <xdr:col>2</xdr:col>
      <xdr:colOff>215615</xdr:colOff>
      <xdr:row>39</xdr:row>
      <xdr:rowOff>53621</xdr:rowOff>
    </xdr:from>
    <xdr:to>
      <xdr:col>3</xdr:col>
      <xdr:colOff>536124</xdr:colOff>
      <xdr:row>43</xdr:row>
      <xdr:rowOff>165463</xdr:rowOff>
    </xdr:to>
    <xdr:pic>
      <xdr:nvPicPr>
        <xdr:cNvPr id="5" name="Image 4" descr="Une image contenant conception, diagramme, croquis, ligne&#10;&#10;Description générée automatiquement">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1915" y="8835671"/>
          <a:ext cx="711034" cy="816692"/>
        </a:xfrm>
        <a:prstGeom prst="rect">
          <a:avLst/>
        </a:prstGeom>
      </xdr:spPr>
    </xdr:pic>
    <xdr:clientData/>
  </xdr:twoCellAnchor>
  <xdr:twoCellAnchor editAs="oneCell">
    <xdr:from>
      <xdr:col>2</xdr:col>
      <xdr:colOff>187341</xdr:colOff>
      <xdr:row>29</xdr:row>
      <xdr:rowOff>54553</xdr:rowOff>
    </xdr:from>
    <xdr:to>
      <xdr:col>3</xdr:col>
      <xdr:colOff>542924</xdr:colOff>
      <xdr:row>33</xdr:row>
      <xdr:rowOff>157313</xdr:rowOff>
    </xdr:to>
    <xdr:pic>
      <xdr:nvPicPr>
        <xdr:cNvPr id="6" name="Image 5" descr="Une image contenant cercle, Graphique, conception&#10;&#10;Description générée automatiquement">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3641" y="6969703"/>
          <a:ext cx="746108" cy="836185"/>
        </a:xfrm>
        <a:prstGeom prst="rect">
          <a:avLst/>
        </a:prstGeom>
      </xdr:spPr>
    </xdr:pic>
    <xdr:clientData/>
  </xdr:twoCellAnchor>
  <xdr:twoCellAnchor editAs="oneCell">
    <xdr:from>
      <xdr:col>0</xdr:col>
      <xdr:colOff>257175</xdr:colOff>
      <xdr:row>5</xdr:row>
      <xdr:rowOff>59095</xdr:rowOff>
    </xdr:from>
    <xdr:to>
      <xdr:col>2</xdr:col>
      <xdr:colOff>295275</xdr:colOff>
      <xdr:row>7</xdr:row>
      <xdr:rowOff>378677</xdr:rowOff>
    </xdr:to>
    <xdr:pic>
      <xdr:nvPicPr>
        <xdr:cNvPr id="8" name="Imag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7175" y="1106845"/>
          <a:ext cx="666750" cy="852982"/>
        </a:xfrm>
        <a:prstGeom prst="rect">
          <a:avLst/>
        </a:prstGeom>
      </xdr:spPr>
    </xdr:pic>
    <xdr:clientData/>
  </xdr:twoCellAnchor>
  <xdr:twoCellAnchor editAs="oneCell">
    <xdr:from>
      <xdr:col>14</xdr:col>
      <xdr:colOff>1276350</xdr:colOff>
      <xdr:row>5</xdr:row>
      <xdr:rowOff>57151</xdr:rowOff>
    </xdr:from>
    <xdr:to>
      <xdr:col>17</xdr:col>
      <xdr:colOff>35497</xdr:colOff>
      <xdr:row>7</xdr:row>
      <xdr:rowOff>271370</xdr:rowOff>
    </xdr:to>
    <xdr:pic>
      <xdr:nvPicPr>
        <xdr:cNvPr id="2" name="Image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5"/>
        <a:stretch>
          <a:fillRect/>
        </a:stretch>
      </xdr:blipFill>
      <xdr:spPr>
        <a:xfrm>
          <a:off x="12849225" y="914401"/>
          <a:ext cx="1778572" cy="747619"/>
        </a:xfrm>
        <a:prstGeom prst="rect">
          <a:avLst/>
        </a:prstGeom>
      </xdr:spPr>
    </xdr:pic>
    <xdr:clientData/>
  </xdr:twoCellAnchor>
  <xdr:twoCellAnchor editAs="oneCell">
    <xdr:from>
      <xdr:col>7</xdr:col>
      <xdr:colOff>314326</xdr:colOff>
      <xdr:row>5</xdr:row>
      <xdr:rowOff>123825</xdr:rowOff>
    </xdr:from>
    <xdr:to>
      <xdr:col>10</xdr:col>
      <xdr:colOff>685801</xdr:colOff>
      <xdr:row>10</xdr:row>
      <xdr:rowOff>266700</xdr:rowOff>
    </xdr:to>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6"/>
        <a:srcRect t="11555" b="14216"/>
        <a:stretch/>
      </xdr:blipFill>
      <xdr:spPr>
        <a:xfrm>
          <a:off x="4781551" y="981075"/>
          <a:ext cx="5181600" cy="20193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92652</xdr:colOff>
          <xdr:row>12</xdr:row>
          <xdr:rowOff>96862</xdr:rowOff>
        </xdr:from>
        <xdr:to>
          <xdr:col>20</xdr:col>
          <xdr:colOff>428624</xdr:colOff>
          <xdr:row>25</xdr:row>
          <xdr:rowOff>23102</xdr:rowOff>
        </xdr:to>
        <xdr:pic>
          <xdr:nvPicPr>
            <xdr:cNvPr id="2" name="Image 1">
              <a:extLst>
                <a:ext uri="{FF2B5EF4-FFF2-40B4-BE49-F238E27FC236}">
                  <a16:creationId xmlns:a16="http://schemas.microsoft.com/office/drawing/2014/main" id="{00000000-0008-0000-0E00-000002000000}"/>
                </a:ext>
              </a:extLst>
            </xdr:cNvPr>
            <xdr:cNvPicPr>
              <a:picLocks noChangeAspect="1" noChangeArrowheads="1"/>
              <a:extLst>
                <a:ext uri="{84589F7E-364E-4C9E-8A38-B11213B215E9}">
                  <a14:cameraTool cellRange="'CALCULS Eau'!$O$217" spid="_x0000_s667741"/>
                </a:ext>
              </a:extLst>
            </xdr:cNvPicPr>
          </xdr:nvPicPr>
          <xdr:blipFill rotWithShape="1">
            <a:blip xmlns:r="http://schemas.openxmlformats.org/officeDocument/2006/relationships" r:embed="rId1"/>
            <a:srcRect l="1256" t="1418" r="951" b="5060"/>
            <a:stretch>
              <a:fillRect/>
            </a:stretch>
          </xdr:blipFill>
          <xdr:spPr bwMode="auto">
            <a:xfrm>
              <a:off x="5702877" y="2278087"/>
              <a:ext cx="5336597" cy="2497990"/>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55</xdr:row>
          <xdr:rowOff>85724</xdr:rowOff>
        </xdr:from>
        <xdr:to>
          <xdr:col>5</xdr:col>
          <xdr:colOff>1752600</xdr:colOff>
          <xdr:row>66</xdr:row>
          <xdr:rowOff>152400</xdr:rowOff>
        </xdr:to>
        <xdr:pic>
          <xdr:nvPicPr>
            <xdr:cNvPr id="5" name="Image 4">
              <a:extLst>
                <a:ext uri="{FF2B5EF4-FFF2-40B4-BE49-F238E27FC236}">
                  <a16:creationId xmlns:a16="http://schemas.microsoft.com/office/drawing/2014/main" id="{00000000-0008-0000-0E00-000005000000}"/>
                </a:ext>
              </a:extLst>
            </xdr:cNvPr>
            <xdr:cNvPicPr>
              <a:picLocks noChangeAspect="1" noChangeArrowheads="1"/>
              <a:extLst>
                <a:ext uri="{84589F7E-364E-4C9E-8A38-B11213B215E9}">
                  <a14:cameraTool cellRange="'CALCULS Eau'!$O$422" spid="_x0000_s667742"/>
                </a:ext>
              </a:extLst>
            </xdr:cNvPicPr>
          </xdr:nvPicPr>
          <xdr:blipFill rotWithShape="1">
            <a:blip xmlns:r="http://schemas.openxmlformats.org/officeDocument/2006/relationships" r:embed="rId2"/>
            <a:srcRect l="5929" t="2008" r="4714" b="5146"/>
            <a:stretch>
              <a:fillRect/>
            </a:stretch>
          </xdr:blipFill>
          <xdr:spPr bwMode="auto">
            <a:xfrm>
              <a:off x="438150" y="10144124"/>
              <a:ext cx="4124325" cy="231457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78457</xdr:colOff>
          <xdr:row>12</xdr:row>
          <xdr:rowOff>104775</xdr:rowOff>
        </xdr:from>
        <xdr:to>
          <xdr:col>4</xdr:col>
          <xdr:colOff>1238250</xdr:colOff>
          <xdr:row>21</xdr:row>
          <xdr:rowOff>190501</xdr:rowOff>
        </xdr:to>
        <xdr:pic>
          <xdr:nvPicPr>
            <xdr:cNvPr id="9" name="Image 8">
              <a:extLst>
                <a:ext uri="{FF2B5EF4-FFF2-40B4-BE49-F238E27FC236}">
                  <a16:creationId xmlns:a16="http://schemas.microsoft.com/office/drawing/2014/main" id="{00000000-0008-0000-0E00-000009000000}"/>
                </a:ext>
              </a:extLst>
            </xdr:cNvPr>
            <xdr:cNvPicPr>
              <a:picLocks noChangeAspect="1" noChangeArrowheads="1"/>
              <a:extLst>
                <a:ext uri="{84589F7E-364E-4C9E-8A38-B11213B215E9}">
                  <a14:cameraTool cellRange="'CALCULS Eau'!$J$17:$M$25" spid="_x0000_s667743"/>
                </a:ext>
              </a:extLst>
            </xdr:cNvPicPr>
          </xdr:nvPicPr>
          <xdr:blipFill rotWithShape="1">
            <a:blip xmlns:r="http://schemas.openxmlformats.org/officeDocument/2006/relationships" r:embed="rId3"/>
            <a:srcRect l="11873" r="9589"/>
            <a:stretch>
              <a:fillRect/>
            </a:stretch>
          </xdr:blipFill>
          <xdr:spPr bwMode="auto">
            <a:xfrm>
              <a:off x="307057" y="2286000"/>
              <a:ext cx="2417093" cy="188595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28</xdr:row>
          <xdr:rowOff>238125</xdr:rowOff>
        </xdr:from>
        <xdr:to>
          <xdr:col>5</xdr:col>
          <xdr:colOff>1162050</xdr:colOff>
          <xdr:row>42</xdr:row>
          <xdr:rowOff>66675</xdr:rowOff>
        </xdr:to>
        <xdr:pic>
          <xdr:nvPicPr>
            <xdr:cNvPr id="10" name="Image 9">
              <a:extLst>
                <a:ext uri="{FF2B5EF4-FFF2-40B4-BE49-F238E27FC236}">
                  <a16:creationId xmlns:a16="http://schemas.microsoft.com/office/drawing/2014/main" id="{00000000-0008-0000-0E00-00000A000000}"/>
                </a:ext>
              </a:extLst>
            </xdr:cNvPr>
            <xdr:cNvPicPr>
              <a:picLocks noChangeAspect="1" noChangeArrowheads="1"/>
              <a:extLst>
                <a:ext uri="{84589F7E-364E-4C9E-8A38-B11213B215E9}">
                  <a14:cameraTool cellRange="'CALCULS Eau'!$O$126" spid="_x0000_s667744"/>
                </a:ext>
              </a:extLst>
            </xdr:cNvPicPr>
          </xdr:nvPicPr>
          <xdr:blipFill rotWithShape="1">
            <a:blip xmlns:r="http://schemas.openxmlformats.org/officeDocument/2006/relationships" r:embed="rId4"/>
            <a:srcRect l="7894" t="6824" r="6428" b="1951"/>
            <a:stretch>
              <a:fillRect/>
            </a:stretch>
          </xdr:blipFill>
          <xdr:spPr bwMode="auto">
            <a:xfrm>
              <a:off x="457200" y="5438775"/>
              <a:ext cx="3514725" cy="26003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106264</xdr:colOff>
          <xdr:row>29</xdr:row>
          <xdr:rowOff>28575</xdr:rowOff>
        </xdr:from>
        <xdr:to>
          <xdr:col>20</xdr:col>
          <xdr:colOff>428625</xdr:colOff>
          <xdr:row>42</xdr:row>
          <xdr:rowOff>65826</xdr:rowOff>
        </xdr:to>
        <xdr:pic>
          <xdr:nvPicPr>
            <xdr:cNvPr id="11" name="Image 10">
              <a:extLst>
                <a:ext uri="{FF2B5EF4-FFF2-40B4-BE49-F238E27FC236}">
                  <a16:creationId xmlns:a16="http://schemas.microsoft.com/office/drawing/2014/main" id="{00000000-0008-0000-0E00-00000B000000}"/>
                </a:ext>
              </a:extLst>
            </xdr:cNvPr>
            <xdr:cNvPicPr>
              <a:picLocks noChangeAspect="1" noChangeArrowheads="1"/>
              <a:extLst>
                <a:ext uri="{84589F7E-364E-4C9E-8A38-B11213B215E9}">
                  <a14:cameraTool cellRange="'CALCULS Eau'!$O$219" spid="_x0000_s667745"/>
                </a:ext>
              </a:extLst>
            </xdr:cNvPicPr>
          </xdr:nvPicPr>
          <xdr:blipFill rotWithShape="1">
            <a:blip xmlns:r="http://schemas.openxmlformats.org/officeDocument/2006/relationships" r:embed="rId5"/>
            <a:srcRect l="628" t="1121" r="1347" b="4310"/>
            <a:stretch>
              <a:fillRect/>
            </a:stretch>
          </xdr:blipFill>
          <xdr:spPr bwMode="auto">
            <a:xfrm>
              <a:off x="5716489" y="5476875"/>
              <a:ext cx="5322986" cy="2561376"/>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1101154</xdr:colOff>
          <xdr:row>12</xdr:row>
          <xdr:rowOff>85727</xdr:rowOff>
        </xdr:from>
        <xdr:to>
          <xdr:col>7</xdr:col>
          <xdr:colOff>95249</xdr:colOff>
          <xdr:row>24</xdr:row>
          <xdr:rowOff>137133</xdr:rowOff>
        </xdr:to>
        <xdr:pic>
          <xdr:nvPicPr>
            <xdr:cNvPr id="24" name="Image 23">
              <a:extLst>
                <a:ext uri="{FF2B5EF4-FFF2-40B4-BE49-F238E27FC236}">
                  <a16:creationId xmlns:a16="http://schemas.microsoft.com/office/drawing/2014/main" id="{00000000-0008-0000-0E00-000018000000}"/>
                </a:ext>
              </a:extLst>
            </xdr:cNvPr>
            <xdr:cNvPicPr>
              <a:picLocks noChangeAspect="1" noChangeArrowheads="1"/>
              <a:extLst>
                <a:ext uri="{84589F7E-364E-4C9E-8A38-B11213B215E9}">
                  <a14:cameraTool cellRange="'CALCULS Eau'!$O$31" spid="_x0000_s667746"/>
                </a:ext>
              </a:extLst>
            </xdr:cNvPicPr>
          </xdr:nvPicPr>
          <xdr:blipFill rotWithShape="1">
            <a:blip xmlns:r="http://schemas.openxmlformats.org/officeDocument/2006/relationships" r:embed="rId6"/>
            <a:srcRect l="5111" t="4464" r="33731" b="2949"/>
            <a:stretch>
              <a:fillRect/>
            </a:stretch>
          </xdr:blipFill>
          <xdr:spPr bwMode="auto">
            <a:xfrm>
              <a:off x="2587054" y="2266952"/>
              <a:ext cx="2480245" cy="237550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1152527</xdr:colOff>
          <xdr:row>32</xdr:row>
          <xdr:rowOff>200027</xdr:rowOff>
        </xdr:from>
        <xdr:to>
          <xdr:col>7</xdr:col>
          <xdr:colOff>9525</xdr:colOff>
          <xdr:row>36</xdr:row>
          <xdr:rowOff>214669</xdr:rowOff>
        </xdr:to>
        <xdr:pic>
          <xdr:nvPicPr>
            <xdr:cNvPr id="26" name="Image 25">
              <a:extLst>
                <a:ext uri="{FF2B5EF4-FFF2-40B4-BE49-F238E27FC236}">
                  <a16:creationId xmlns:a16="http://schemas.microsoft.com/office/drawing/2014/main" id="{00000000-0008-0000-0E00-00001A000000}"/>
                </a:ext>
              </a:extLst>
            </xdr:cNvPr>
            <xdr:cNvPicPr>
              <a:picLocks noChangeAspect="1" noChangeArrowheads="1"/>
              <a:extLst>
                <a:ext uri="{84589F7E-364E-4C9E-8A38-B11213B215E9}">
                  <a14:cameraTool cellRange="'CALCULS Eau'!$L$115:$N$122" spid="_x0000_s667747"/>
                </a:ext>
              </a:extLst>
            </xdr:cNvPicPr>
          </xdr:nvPicPr>
          <xdr:blipFill rotWithShape="1">
            <a:blip xmlns:r="http://schemas.openxmlformats.org/officeDocument/2006/relationships" r:embed="rId7"/>
            <a:srcRect l="19565" t="8649" r="27898" b="11352"/>
            <a:stretch>
              <a:fillRect/>
            </a:stretch>
          </xdr:blipFill>
          <xdr:spPr bwMode="auto">
            <a:xfrm>
              <a:off x="3886202" y="6134102"/>
              <a:ext cx="1019173" cy="92904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123824</xdr:colOff>
          <xdr:row>19</xdr:row>
          <xdr:rowOff>171450</xdr:rowOff>
        </xdr:from>
        <xdr:to>
          <xdr:col>25</xdr:col>
          <xdr:colOff>2157269</xdr:colOff>
          <xdr:row>32</xdr:row>
          <xdr:rowOff>152400</xdr:rowOff>
        </xdr:to>
        <xdr:pic>
          <xdr:nvPicPr>
            <xdr:cNvPr id="21" name="Image 20">
              <a:extLst>
                <a:ext uri="{FF2B5EF4-FFF2-40B4-BE49-F238E27FC236}">
                  <a16:creationId xmlns:a16="http://schemas.microsoft.com/office/drawing/2014/main" id="{00000000-0008-0000-0E00-000015000000}"/>
                </a:ext>
              </a:extLst>
            </xdr:cNvPr>
            <xdr:cNvPicPr>
              <a:picLocks noChangeAspect="1" noChangeArrowheads="1"/>
              <a:extLst>
                <a:ext uri="{84589F7E-364E-4C9E-8A38-B11213B215E9}">
                  <a14:cameraTool cellRange="'CALCULS Eau'!$C$226:$H$239" spid="_x0000_s667748"/>
                </a:ext>
              </a:extLst>
            </xdr:cNvPicPr>
          </xdr:nvPicPr>
          <xdr:blipFill rotWithShape="1">
            <a:blip xmlns:r="http://schemas.openxmlformats.org/officeDocument/2006/relationships" r:embed="rId8"/>
            <a:srcRect l="23422" t="2752" r="3821" b="4587"/>
            <a:stretch>
              <a:fillRect/>
            </a:stretch>
          </xdr:blipFill>
          <xdr:spPr bwMode="auto">
            <a:xfrm>
              <a:off x="10648949" y="3810000"/>
              <a:ext cx="3290745" cy="22764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323850</xdr:colOff>
          <xdr:row>12</xdr:row>
          <xdr:rowOff>133351</xdr:rowOff>
        </xdr:from>
        <xdr:to>
          <xdr:col>27</xdr:col>
          <xdr:colOff>95250</xdr:colOff>
          <xdr:row>24</xdr:row>
          <xdr:rowOff>211061</xdr:rowOff>
        </xdr:to>
        <xdr:pic>
          <xdr:nvPicPr>
            <xdr:cNvPr id="20" name="Image 19">
              <a:extLst>
                <a:ext uri="{FF2B5EF4-FFF2-40B4-BE49-F238E27FC236}">
                  <a16:creationId xmlns:a16="http://schemas.microsoft.com/office/drawing/2014/main" id="{00000000-0008-0000-0E00-000014000000}"/>
                </a:ext>
              </a:extLst>
            </xdr:cNvPr>
            <xdr:cNvPicPr>
              <a:picLocks noChangeAspect="1" noChangeArrowheads="1"/>
              <a:extLst>
                <a:ext uri="{84589F7E-364E-4C9E-8A38-B11213B215E9}">
                  <a14:cameraTool cellRange="'CALCULS Eau'!$O$246" spid="_x0000_s667749"/>
                </a:ext>
              </a:extLst>
            </xdr:cNvPicPr>
          </xdr:nvPicPr>
          <xdr:blipFill rotWithShape="1">
            <a:blip xmlns:r="http://schemas.openxmlformats.org/officeDocument/2006/relationships" r:embed="rId9"/>
            <a:srcRect l="851" t="1274" r="47871" b="5398"/>
            <a:stretch>
              <a:fillRect/>
            </a:stretch>
          </xdr:blipFill>
          <xdr:spPr bwMode="auto">
            <a:xfrm>
              <a:off x="12896850" y="2314576"/>
              <a:ext cx="2466975" cy="240181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57575</xdr:colOff>
          <xdr:row>33</xdr:row>
          <xdr:rowOff>9525</xdr:rowOff>
        </xdr:from>
        <xdr:to>
          <xdr:col>27</xdr:col>
          <xdr:colOff>0</xdr:colOff>
          <xdr:row>41</xdr:row>
          <xdr:rowOff>61490</xdr:rowOff>
        </xdr:to>
        <xdr:pic>
          <xdr:nvPicPr>
            <xdr:cNvPr id="22" name="Image 21">
              <a:extLst>
                <a:ext uri="{FF2B5EF4-FFF2-40B4-BE49-F238E27FC236}">
                  <a16:creationId xmlns:a16="http://schemas.microsoft.com/office/drawing/2014/main" id="{00000000-0008-0000-0E00-000016000000}"/>
                </a:ext>
              </a:extLst>
            </xdr:cNvPr>
            <xdr:cNvPicPr>
              <a:picLocks noChangeAspect="1" noChangeArrowheads="1"/>
              <a:extLst>
                <a:ext uri="{84589F7E-364E-4C9E-8A38-B11213B215E9}">
                  <a14:cameraTool cellRange="'CALCULS Eau'!$Q$248:$AB$255" spid="_x0000_s667750"/>
                </a:ext>
              </a:extLst>
            </xdr:cNvPicPr>
          </xdr:nvPicPr>
          <xdr:blipFill rotWithShape="1">
            <a:blip xmlns:r="http://schemas.openxmlformats.org/officeDocument/2006/relationships" r:embed="rId10"/>
            <a:srcRect l="10671" t="12256" r="10366" b="1953"/>
            <a:stretch>
              <a:fillRect/>
            </a:stretch>
          </xdr:blipFill>
          <xdr:spPr bwMode="auto">
            <a:xfrm>
              <a:off x="11363750" y="6172200"/>
              <a:ext cx="3761950" cy="15950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52</xdr:row>
          <xdr:rowOff>16506</xdr:rowOff>
        </xdr:from>
        <xdr:to>
          <xdr:col>16</xdr:col>
          <xdr:colOff>95250</xdr:colOff>
          <xdr:row>66</xdr:row>
          <xdr:rowOff>181968</xdr:rowOff>
        </xdr:to>
        <xdr:pic>
          <xdr:nvPicPr>
            <xdr:cNvPr id="25" name="Image 24">
              <a:extLst>
                <a:ext uri="{FF2B5EF4-FFF2-40B4-BE49-F238E27FC236}">
                  <a16:creationId xmlns:a16="http://schemas.microsoft.com/office/drawing/2014/main" id="{00000000-0008-0000-0E00-000019000000}"/>
                </a:ext>
              </a:extLst>
            </xdr:cNvPr>
            <xdr:cNvPicPr>
              <a:picLocks noChangeAspect="1" noChangeArrowheads="1"/>
              <a:extLst>
                <a:ext uri="{84589F7E-364E-4C9E-8A38-B11213B215E9}">
                  <a14:cameraTool cellRange="'CALCULS Eau'!$H$323:$N$331" spid="_x0000_s667751"/>
                </a:ext>
              </a:extLst>
            </xdr:cNvPicPr>
          </xdr:nvPicPr>
          <xdr:blipFill rotWithShape="1">
            <a:blip xmlns:r="http://schemas.openxmlformats.org/officeDocument/2006/relationships" r:embed="rId11"/>
            <a:srcRect l="14570" t="2296" r="1159" b="5357"/>
            <a:stretch>
              <a:fillRect/>
            </a:stretch>
          </xdr:blipFill>
          <xdr:spPr bwMode="auto">
            <a:xfrm>
              <a:off x="5876925" y="9665331"/>
              <a:ext cx="4143375" cy="294676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171451</xdr:colOff>
          <xdr:row>52</xdr:row>
          <xdr:rowOff>66675</xdr:rowOff>
        </xdr:from>
        <xdr:to>
          <xdr:col>25</xdr:col>
          <xdr:colOff>2362201</xdr:colOff>
          <xdr:row>66</xdr:row>
          <xdr:rowOff>146081</xdr:rowOff>
        </xdr:to>
        <xdr:pic>
          <xdr:nvPicPr>
            <xdr:cNvPr id="27" name="Image 26">
              <a:extLst>
                <a:ext uri="{FF2B5EF4-FFF2-40B4-BE49-F238E27FC236}">
                  <a16:creationId xmlns:a16="http://schemas.microsoft.com/office/drawing/2014/main" id="{00000000-0008-0000-0E00-00001B000000}"/>
                </a:ext>
              </a:extLst>
            </xdr:cNvPr>
            <xdr:cNvPicPr>
              <a:picLocks noChangeAspect="1" noChangeArrowheads="1"/>
              <a:extLst>
                <a:ext uri="{84589F7E-364E-4C9E-8A38-B11213B215E9}">
                  <a14:cameraTool cellRange="'CALCULS Eau'!$H$355:$O$363" spid="_x0000_s667752"/>
                </a:ext>
              </a:extLst>
            </xdr:cNvPicPr>
          </xdr:nvPicPr>
          <xdr:blipFill rotWithShape="1">
            <a:blip xmlns:r="http://schemas.openxmlformats.org/officeDocument/2006/relationships" r:embed="rId12"/>
            <a:srcRect l="7563" t="4082" r="49496" b="6122"/>
            <a:stretch>
              <a:fillRect/>
            </a:stretch>
          </xdr:blipFill>
          <xdr:spPr bwMode="auto">
            <a:xfrm>
              <a:off x="10782301" y="9715500"/>
              <a:ext cx="4152900" cy="286070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74</xdr:row>
          <xdr:rowOff>76200</xdr:rowOff>
        </xdr:from>
        <xdr:to>
          <xdr:col>14</xdr:col>
          <xdr:colOff>266700</xdr:colOff>
          <xdr:row>77</xdr:row>
          <xdr:rowOff>209550</xdr:rowOff>
        </xdr:to>
        <xdr:pic>
          <xdr:nvPicPr>
            <xdr:cNvPr id="29" name="Image 28">
              <a:extLst>
                <a:ext uri="{FF2B5EF4-FFF2-40B4-BE49-F238E27FC236}">
                  <a16:creationId xmlns:a16="http://schemas.microsoft.com/office/drawing/2014/main" id="{00000000-0008-0000-0E00-00001D000000}"/>
                </a:ext>
              </a:extLst>
            </xdr:cNvPr>
            <xdr:cNvPicPr>
              <a:picLocks noChangeAspect="1" noChangeArrowheads="1"/>
              <a:extLst>
                <a:ext uri="{84589F7E-364E-4C9E-8A38-B11213B215E9}">
                  <a14:cameraTool cellRange="'CALCULS Eau'!$O$429" spid="_x0000_s667753"/>
                </a:ext>
              </a:extLst>
            </xdr:cNvPicPr>
          </xdr:nvPicPr>
          <xdr:blipFill>
            <a:blip xmlns:r="http://schemas.openxmlformats.org/officeDocument/2006/relationships" r:embed="rId13"/>
            <a:srcRect/>
            <a:stretch>
              <a:fillRect/>
            </a:stretch>
          </xdr:blipFill>
          <xdr:spPr bwMode="auto">
            <a:xfrm>
              <a:off x="495300" y="13563600"/>
              <a:ext cx="5591175" cy="8191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923925</xdr:colOff>
          <xdr:row>74</xdr:row>
          <xdr:rowOff>66675</xdr:rowOff>
        </xdr:from>
        <xdr:to>
          <xdr:col>24</xdr:col>
          <xdr:colOff>809625</xdr:colOff>
          <xdr:row>77</xdr:row>
          <xdr:rowOff>200025</xdr:rowOff>
        </xdr:to>
        <xdr:pic>
          <xdr:nvPicPr>
            <xdr:cNvPr id="30" name="Image 29">
              <a:extLst>
                <a:ext uri="{FF2B5EF4-FFF2-40B4-BE49-F238E27FC236}">
                  <a16:creationId xmlns:a16="http://schemas.microsoft.com/office/drawing/2014/main" id="{00000000-0008-0000-0E00-00001E000000}"/>
                </a:ext>
              </a:extLst>
            </xdr:cNvPr>
            <xdr:cNvPicPr>
              <a:picLocks noChangeAspect="1" noChangeArrowheads="1"/>
              <a:extLst>
                <a:ext uri="{84589F7E-364E-4C9E-8A38-B11213B215E9}">
                  <a14:cameraTool cellRange="'CALCULS Eau'!$O$430" spid="_x0000_s667754"/>
                </a:ext>
              </a:extLst>
            </xdr:cNvPicPr>
          </xdr:nvPicPr>
          <xdr:blipFill>
            <a:blip xmlns:r="http://schemas.openxmlformats.org/officeDocument/2006/relationships" r:embed="rId13"/>
            <a:srcRect/>
            <a:stretch>
              <a:fillRect/>
            </a:stretch>
          </xdr:blipFill>
          <xdr:spPr bwMode="auto">
            <a:xfrm>
              <a:off x="6743700" y="13554075"/>
              <a:ext cx="5591175" cy="8191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228600</xdr:colOff>
          <xdr:row>74</xdr:row>
          <xdr:rowOff>66675</xdr:rowOff>
        </xdr:from>
        <xdr:to>
          <xdr:col>40</xdr:col>
          <xdr:colOff>66675</xdr:colOff>
          <xdr:row>77</xdr:row>
          <xdr:rowOff>200025</xdr:rowOff>
        </xdr:to>
        <xdr:pic>
          <xdr:nvPicPr>
            <xdr:cNvPr id="31" name="Image 30">
              <a:extLst>
                <a:ext uri="{FF2B5EF4-FFF2-40B4-BE49-F238E27FC236}">
                  <a16:creationId xmlns:a16="http://schemas.microsoft.com/office/drawing/2014/main" id="{00000000-0008-0000-0E00-00001F000000}"/>
                </a:ext>
              </a:extLst>
            </xdr:cNvPr>
            <xdr:cNvPicPr>
              <a:picLocks noChangeAspect="1" noChangeArrowheads="1"/>
              <a:extLst>
                <a:ext uri="{84589F7E-364E-4C9E-8A38-B11213B215E9}">
                  <a14:cameraTool cellRange="'CALCULS Eau'!$O$431" spid="_x0000_s667755"/>
                </a:ext>
              </a:extLst>
            </xdr:cNvPicPr>
          </xdr:nvPicPr>
          <xdr:blipFill>
            <a:blip xmlns:r="http://schemas.openxmlformats.org/officeDocument/2006/relationships" r:embed="rId14"/>
            <a:srcRect/>
            <a:stretch>
              <a:fillRect/>
            </a:stretch>
          </xdr:blipFill>
          <xdr:spPr bwMode="auto">
            <a:xfrm>
              <a:off x="12877800" y="13554075"/>
              <a:ext cx="5591175" cy="8191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85724</xdr:colOff>
          <xdr:row>52</xdr:row>
          <xdr:rowOff>28574</xdr:rowOff>
        </xdr:from>
        <xdr:to>
          <xdr:col>43</xdr:col>
          <xdr:colOff>533400</xdr:colOff>
          <xdr:row>66</xdr:row>
          <xdr:rowOff>151883</xdr:rowOff>
        </xdr:to>
        <xdr:pic>
          <xdr:nvPicPr>
            <xdr:cNvPr id="32" name="Image 31">
              <a:extLst>
                <a:ext uri="{FF2B5EF4-FFF2-40B4-BE49-F238E27FC236}">
                  <a16:creationId xmlns:a16="http://schemas.microsoft.com/office/drawing/2014/main" id="{00000000-0008-0000-0E00-000020000000}"/>
                </a:ext>
              </a:extLst>
            </xdr:cNvPr>
            <xdr:cNvPicPr>
              <a:picLocks noChangeAspect="1" noChangeArrowheads="1"/>
              <a:extLst>
                <a:ext uri="{84589F7E-364E-4C9E-8A38-B11213B215E9}">
                  <a14:cameraTool cellRange="'CALCULS Eau'!$H$386:$O$394" spid="_x0000_s667756"/>
                </a:ext>
              </a:extLst>
            </xdr:cNvPicPr>
          </xdr:nvPicPr>
          <xdr:blipFill rotWithShape="1">
            <a:blip xmlns:r="http://schemas.openxmlformats.org/officeDocument/2006/relationships" r:embed="rId15"/>
            <a:srcRect l="7479" t="3317" r="49160" b="5867"/>
            <a:stretch>
              <a:fillRect/>
            </a:stretch>
          </xdr:blipFill>
          <xdr:spPr bwMode="auto">
            <a:xfrm>
              <a:off x="15811499" y="9677399"/>
              <a:ext cx="4210051" cy="290460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144721</xdr:colOff>
          <xdr:row>61</xdr:row>
          <xdr:rowOff>104775</xdr:rowOff>
        </xdr:from>
        <xdr:to>
          <xdr:col>9</xdr:col>
          <xdr:colOff>95249</xdr:colOff>
          <xdr:row>65</xdr:row>
          <xdr:rowOff>181720</xdr:rowOff>
        </xdr:to>
        <xdr:pic>
          <xdr:nvPicPr>
            <xdr:cNvPr id="23" name="Image 22">
              <a:extLst>
                <a:ext uri="{FF2B5EF4-FFF2-40B4-BE49-F238E27FC236}">
                  <a16:creationId xmlns:a16="http://schemas.microsoft.com/office/drawing/2014/main" id="{00000000-0008-0000-0E00-000017000000}"/>
                </a:ext>
              </a:extLst>
            </xdr:cNvPr>
            <xdr:cNvPicPr>
              <a:picLocks noChangeAspect="1" noChangeArrowheads="1"/>
              <a:extLst>
                <a:ext uri="{84589F7E-364E-4C9E-8A38-B11213B215E9}">
                  <a14:cameraTool cellRange="'CALCULS Eau'!$F$414:$M$418" spid="_x0000_s667757"/>
                </a:ext>
              </a:extLst>
            </xdr:cNvPicPr>
          </xdr:nvPicPr>
          <xdr:blipFill rotWithShape="1">
            <a:blip xmlns:r="http://schemas.openxmlformats.org/officeDocument/2006/relationships" r:embed="rId16"/>
            <a:srcRect l="6676" t="7547" r="6825" b="9433"/>
            <a:stretch>
              <a:fillRect/>
            </a:stretch>
          </xdr:blipFill>
          <xdr:spPr bwMode="auto">
            <a:xfrm>
              <a:off x="1630621" y="11544300"/>
              <a:ext cx="3693853" cy="85799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47624</xdr:colOff>
          <xdr:row>21</xdr:row>
          <xdr:rowOff>180975</xdr:rowOff>
        </xdr:from>
        <xdr:to>
          <xdr:col>5</xdr:col>
          <xdr:colOff>28574</xdr:colOff>
          <xdr:row>25</xdr:row>
          <xdr:rowOff>82902</xdr:rowOff>
        </xdr:to>
        <xdr:pic>
          <xdr:nvPicPr>
            <xdr:cNvPr id="28" name="Image 27">
              <a:extLst>
                <a:ext uri="{FF2B5EF4-FFF2-40B4-BE49-F238E27FC236}">
                  <a16:creationId xmlns:a16="http://schemas.microsoft.com/office/drawing/2014/main" id="{00000000-0008-0000-0E00-00001C000000}"/>
                </a:ext>
              </a:extLst>
            </xdr:cNvPr>
            <xdr:cNvPicPr>
              <a:picLocks noChangeAspect="1" noChangeArrowheads="1"/>
              <a:extLst>
                <a:ext uri="{84589F7E-364E-4C9E-8A38-B11213B215E9}">
                  <a14:cameraTool cellRange="'CALCULS Eau'!$K$30" spid="_x0000_s667758"/>
                </a:ext>
              </a:extLst>
            </xdr:cNvPicPr>
          </xdr:nvPicPr>
          <xdr:blipFill rotWithShape="1">
            <a:blip xmlns:r="http://schemas.openxmlformats.org/officeDocument/2006/relationships" r:embed="rId17"/>
            <a:srcRect l="3114" r="3460"/>
            <a:stretch>
              <a:fillRect/>
            </a:stretch>
          </xdr:blipFill>
          <xdr:spPr bwMode="auto">
            <a:xfrm>
              <a:off x="276224" y="4162425"/>
              <a:ext cx="2562225" cy="673452"/>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2</xdr:col>
      <xdr:colOff>0</xdr:colOff>
      <xdr:row>70</xdr:row>
      <xdr:rowOff>47625</xdr:rowOff>
    </xdr:from>
    <xdr:to>
      <xdr:col>7</xdr:col>
      <xdr:colOff>772295</xdr:colOff>
      <xdr:row>72</xdr:row>
      <xdr:rowOff>1278601</xdr:rowOff>
    </xdr:to>
    <xdr:pic>
      <xdr:nvPicPr>
        <xdr:cNvPr id="3" name="Imag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342900" y="17059275"/>
          <a:ext cx="4487045" cy="3993226"/>
        </a:xfrm>
        <a:prstGeom prst="rect">
          <a:avLst/>
        </a:prstGeom>
      </xdr:spPr>
    </xdr:pic>
    <xdr:clientData/>
  </xdr:twoCellAnchor>
  <xdr:twoCellAnchor editAs="oneCell">
    <xdr:from>
      <xdr:col>8</xdr:col>
      <xdr:colOff>0</xdr:colOff>
      <xdr:row>70</xdr:row>
      <xdr:rowOff>47625</xdr:rowOff>
    </xdr:from>
    <xdr:to>
      <xdr:col>12</xdr:col>
      <xdr:colOff>848895</xdr:colOff>
      <xdr:row>72</xdr:row>
      <xdr:rowOff>1266408</xdr:rowOff>
    </xdr:to>
    <xdr:pic>
      <xdr:nvPicPr>
        <xdr:cNvPr id="5" name="Image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a:stretch>
          <a:fillRect/>
        </a:stretch>
      </xdr:blipFill>
      <xdr:spPr>
        <a:xfrm>
          <a:off x="5086350" y="17059275"/>
          <a:ext cx="4706520" cy="3981033"/>
        </a:xfrm>
        <a:prstGeom prst="rect">
          <a:avLst/>
        </a:prstGeom>
      </xdr:spPr>
    </xdr:pic>
    <xdr:clientData/>
  </xdr:twoCellAnchor>
  <xdr:twoCellAnchor editAs="oneCell">
    <xdr:from>
      <xdr:col>13</xdr:col>
      <xdr:colOff>0</xdr:colOff>
      <xdr:row>70</xdr:row>
      <xdr:rowOff>47625</xdr:rowOff>
    </xdr:from>
    <xdr:to>
      <xdr:col>19</xdr:col>
      <xdr:colOff>385959</xdr:colOff>
      <xdr:row>72</xdr:row>
      <xdr:rowOff>1315180</xdr:rowOff>
    </xdr:to>
    <xdr:pic>
      <xdr:nvPicPr>
        <xdr:cNvPr id="6" name="Image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a:stretch>
          <a:fillRect/>
        </a:stretch>
      </xdr:blipFill>
      <xdr:spPr>
        <a:xfrm>
          <a:off x="9972675" y="17059275"/>
          <a:ext cx="4462659" cy="40298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142876</xdr:colOff>
      <xdr:row>32</xdr:row>
      <xdr:rowOff>47626</xdr:rowOff>
    </xdr:from>
    <xdr:to>
      <xdr:col>10</xdr:col>
      <xdr:colOff>685800</xdr:colOff>
      <xdr:row>32</xdr:row>
      <xdr:rowOff>276226</xdr:rowOff>
    </xdr:to>
    <xdr:sp macro="" textlink="">
      <xdr:nvSpPr>
        <xdr:cNvPr id="3" name="Flèche droite 2">
          <a:extLst>
            <a:ext uri="{FF2B5EF4-FFF2-40B4-BE49-F238E27FC236}">
              <a16:creationId xmlns:a16="http://schemas.microsoft.com/office/drawing/2014/main" id="{00000000-0008-0000-0100-000003000000}"/>
            </a:ext>
          </a:extLst>
        </xdr:cNvPr>
        <xdr:cNvSpPr/>
      </xdr:nvSpPr>
      <xdr:spPr>
        <a:xfrm>
          <a:off x="6972301" y="7934326"/>
          <a:ext cx="542924" cy="228600"/>
        </a:xfrm>
        <a:prstGeom prst="rightArrow">
          <a:avLst>
            <a:gd name="adj1" fmla="val 34637"/>
            <a:gd name="adj2" fmla="val 70165"/>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10</xdr:col>
      <xdr:colOff>142875</xdr:colOff>
      <xdr:row>36</xdr:row>
      <xdr:rowOff>28575</xdr:rowOff>
    </xdr:from>
    <xdr:to>
      <xdr:col>10</xdr:col>
      <xdr:colOff>685799</xdr:colOff>
      <xdr:row>36</xdr:row>
      <xdr:rowOff>257175</xdr:rowOff>
    </xdr:to>
    <xdr:sp macro="" textlink="">
      <xdr:nvSpPr>
        <xdr:cNvPr id="4" name="Flèche droite 3">
          <a:extLst>
            <a:ext uri="{FF2B5EF4-FFF2-40B4-BE49-F238E27FC236}">
              <a16:creationId xmlns:a16="http://schemas.microsoft.com/office/drawing/2014/main" id="{00000000-0008-0000-0100-000004000000}"/>
            </a:ext>
          </a:extLst>
        </xdr:cNvPr>
        <xdr:cNvSpPr/>
      </xdr:nvSpPr>
      <xdr:spPr>
        <a:xfrm>
          <a:off x="6972300" y="8848725"/>
          <a:ext cx="542924" cy="228600"/>
        </a:xfrm>
        <a:prstGeom prst="rightArrow">
          <a:avLst>
            <a:gd name="adj1" fmla="val 34637"/>
            <a:gd name="adj2" fmla="val 70165"/>
          </a:avLst>
        </a:prstGeom>
        <a:solidFill>
          <a:srgbClr val="239587"/>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10</xdr:col>
      <xdr:colOff>142875</xdr:colOff>
      <xdr:row>34</xdr:row>
      <xdr:rowOff>47625</xdr:rowOff>
    </xdr:from>
    <xdr:to>
      <xdr:col>10</xdr:col>
      <xdr:colOff>685799</xdr:colOff>
      <xdr:row>34</xdr:row>
      <xdr:rowOff>276225</xdr:rowOff>
    </xdr:to>
    <xdr:sp macro="" textlink="">
      <xdr:nvSpPr>
        <xdr:cNvPr id="5" name="Flèche droite 4">
          <a:extLst>
            <a:ext uri="{FF2B5EF4-FFF2-40B4-BE49-F238E27FC236}">
              <a16:creationId xmlns:a16="http://schemas.microsoft.com/office/drawing/2014/main" id="{00000000-0008-0000-0100-000005000000}"/>
            </a:ext>
          </a:extLst>
        </xdr:cNvPr>
        <xdr:cNvSpPr/>
      </xdr:nvSpPr>
      <xdr:spPr>
        <a:xfrm>
          <a:off x="6972300" y="8401050"/>
          <a:ext cx="542924" cy="228600"/>
        </a:xfrm>
        <a:prstGeom prst="rightArrow">
          <a:avLst>
            <a:gd name="adj1" fmla="val 34637"/>
            <a:gd name="adj2" fmla="val 70165"/>
          </a:avLst>
        </a:prstGeom>
        <a:solidFill>
          <a:schemeClr val="accent4">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13</xdr:col>
      <xdr:colOff>161925</xdr:colOff>
      <xdr:row>34</xdr:row>
      <xdr:rowOff>19049</xdr:rowOff>
    </xdr:from>
    <xdr:to>
      <xdr:col>13</xdr:col>
      <xdr:colOff>895350</xdr:colOff>
      <xdr:row>34</xdr:row>
      <xdr:rowOff>257174</xdr:rowOff>
    </xdr:to>
    <xdr:sp macro="" textlink="">
      <xdr:nvSpPr>
        <xdr:cNvPr id="6" name="Flèche droite 5">
          <a:extLst>
            <a:ext uri="{FF2B5EF4-FFF2-40B4-BE49-F238E27FC236}">
              <a16:creationId xmlns:a16="http://schemas.microsoft.com/office/drawing/2014/main" id="{00000000-0008-0000-0100-000006000000}"/>
            </a:ext>
          </a:extLst>
        </xdr:cNvPr>
        <xdr:cNvSpPr/>
      </xdr:nvSpPr>
      <xdr:spPr>
        <a:xfrm>
          <a:off x="8734425" y="4610099"/>
          <a:ext cx="733425" cy="238125"/>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13</xdr:col>
      <xdr:colOff>142009</xdr:colOff>
      <xdr:row>35</xdr:row>
      <xdr:rowOff>94671</xdr:rowOff>
    </xdr:from>
    <xdr:to>
      <xdr:col>13</xdr:col>
      <xdr:colOff>929943</xdr:colOff>
      <xdr:row>36</xdr:row>
      <xdr:rowOff>193848</xdr:rowOff>
    </xdr:to>
    <xdr:sp macro="" textlink="">
      <xdr:nvSpPr>
        <xdr:cNvPr id="7" name="Flèche droite 6">
          <a:extLst>
            <a:ext uri="{FF2B5EF4-FFF2-40B4-BE49-F238E27FC236}">
              <a16:creationId xmlns:a16="http://schemas.microsoft.com/office/drawing/2014/main" id="{00000000-0008-0000-0100-000007000000}"/>
            </a:ext>
          </a:extLst>
        </xdr:cNvPr>
        <xdr:cNvSpPr/>
      </xdr:nvSpPr>
      <xdr:spPr>
        <a:xfrm rot="20605992">
          <a:off x="9800359" y="6933621"/>
          <a:ext cx="787934" cy="223002"/>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13</xdr:col>
      <xdr:colOff>130827</xdr:colOff>
      <xdr:row>32</xdr:row>
      <xdr:rowOff>118740</xdr:rowOff>
    </xdr:from>
    <xdr:to>
      <xdr:col>13</xdr:col>
      <xdr:colOff>910082</xdr:colOff>
      <xdr:row>33</xdr:row>
      <xdr:rowOff>69044</xdr:rowOff>
    </xdr:to>
    <xdr:sp macro="" textlink="">
      <xdr:nvSpPr>
        <xdr:cNvPr id="9" name="Flèche droite 8">
          <a:extLst>
            <a:ext uri="{FF2B5EF4-FFF2-40B4-BE49-F238E27FC236}">
              <a16:creationId xmlns:a16="http://schemas.microsoft.com/office/drawing/2014/main" id="{00000000-0008-0000-0100-000009000000}"/>
            </a:ext>
          </a:extLst>
        </xdr:cNvPr>
        <xdr:cNvSpPr/>
      </xdr:nvSpPr>
      <xdr:spPr>
        <a:xfrm rot="946478">
          <a:off x="8703327" y="4243065"/>
          <a:ext cx="779255" cy="236054"/>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7</xdr:col>
      <xdr:colOff>103301</xdr:colOff>
      <xdr:row>32</xdr:row>
      <xdr:rowOff>169874</xdr:rowOff>
    </xdr:from>
    <xdr:to>
      <xdr:col>7</xdr:col>
      <xdr:colOff>957496</xdr:colOff>
      <xdr:row>33</xdr:row>
      <xdr:rowOff>106374</xdr:rowOff>
    </xdr:to>
    <xdr:sp macro="" textlink="">
      <xdr:nvSpPr>
        <xdr:cNvPr id="10" name="Flèche droite 9">
          <a:extLst>
            <a:ext uri="{FF2B5EF4-FFF2-40B4-BE49-F238E27FC236}">
              <a16:creationId xmlns:a16="http://schemas.microsoft.com/office/drawing/2014/main" id="{00000000-0008-0000-0100-00000A000000}"/>
            </a:ext>
          </a:extLst>
        </xdr:cNvPr>
        <xdr:cNvSpPr/>
      </xdr:nvSpPr>
      <xdr:spPr>
        <a:xfrm rot="20471623">
          <a:off x="2589326" y="7904174"/>
          <a:ext cx="854195" cy="222250"/>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7</xdr:col>
      <xdr:colOff>179748</xdr:colOff>
      <xdr:row>34</xdr:row>
      <xdr:rowOff>26919</xdr:rowOff>
    </xdr:from>
    <xdr:to>
      <xdr:col>7</xdr:col>
      <xdr:colOff>872436</xdr:colOff>
      <xdr:row>34</xdr:row>
      <xdr:rowOff>256653</xdr:rowOff>
    </xdr:to>
    <xdr:sp macro="" textlink="">
      <xdr:nvSpPr>
        <xdr:cNvPr id="11" name="Flèche droite 10">
          <a:extLst>
            <a:ext uri="{FF2B5EF4-FFF2-40B4-BE49-F238E27FC236}">
              <a16:creationId xmlns:a16="http://schemas.microsoft.com/office/drawing/2014/main" id="{00000000-0008-0000-0100-00000B000000}"/>
            </a:ext>
          </a:extLst>
        </xdr:cNvPr>
        <xdr:cNvSpPr/>
      </xdr:nvSpPr>
      <xdr:spPr>
        <a:xfrm>
          <a:off x="2665773" y="8227944"/>
          <a:ext cx="692688" cy="229734"/>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7</xdr:col>
      <xdr:colOff>75944</xdr:colOff>
      <xdr:row>35</xdr:row>
      <xdr:rowOff>48911</xdr:rowOff>
    </xdr:from>
    <xdr:to>
      <xdr:col>7</xdr:col>
      <xdr:colOff>946511</xdr:colOff>
      <xdr:row>36</xdr:row>
      <xdr:rowOff>144938</xdr:rowOff>
    </xdr:to>
    <xdr:sp macro="" textlink="">
      <xdr:nvSpPr>
        <xdr:cNvPr id="12" name="Flèche droite 11">
          <a:extLst>
            <a:ext uri="{FF2B5EF4-FFF2-40B4-BE49-F238E27FC236}">
              <a16:creationId xmlns:a16="http://schemas.microsoft.com/office/drawing/2014/main" id="{00000000-0008-0000-0100-00000C000000}"/>
            </a:ext>
          </a:extLst>
        </xdr:cNvPr>
        <xdr:cNvSpPr/>
      </xdr:nvSpPr>
      <xdr:spPr>
        <a:xfrm rot="1234713">
          <a:off x="3819269" y="6887861"/>
          <a:ext cx="870567" cy="219852"/>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28577</xdr:colOff>
          <xdr:row>47</xdr:row>
          <xdr:rowOff>57151</xdr:rowOff>
        </xdr:from>
        <xdr:to>
          <xdr:col>15</xdr:col>
          <xdr:colOff>2886075</xdr:colOff>
          <xdr:row>47</xdr:row>
          <xdr:rowOff>2901040</xdr:rowOff>
        </xdr:to>
        <xdr:pic>
          <xdr:nvPicPr>
            <xdr:cNvPr id="21" name="Image 20">
              <a:extLst>
                <a:ext uri="{FF2B5EF4-FFF2-40B4-BE49-F238E27FC236}">
                  <a16:creationId xmlns:a16="http://schemas.microsoft.com/office/drawing/2014/main" id="{00000000-0008-0000-0500-000015000000}"/>
                </a:ext>
              </a:extLst>
            </xdr:cNvPr>
            <xdr:cNvPicPr>
              <a:picLocks noChangeAspect="1" noChangeArrowheads="1"/>
              <a:extLst>
                <a:ext uri="{84589F7E-364E-4C9E-8A38-B11213B215E9}">
                  <a14:cameraTool cellRange="$K$20:$O$33" spid="_x0000_s524944"/>
                </a:ext>
              </a:extLst>
            </xdr:cNvPicPr>
          </xdr:nvPicPr>
          <xdr:blipFill rotWithShape="1">
            <a:blip xmlns:r="http://schemas.openxmlformats.org/officeDocument/2006/relationships" r:embed="rId1"/>
            <a:srcRect l="12408" t="14107" r="10463" b="313"/>
            <a:stretch>
              <a:fillRect/>
            </a:stretch>
          </xdr:blipFill>
          <xdr:spPr bwMode="auto">
            <a:xfrm>
              <a:off x="12153902" y="11296651"/>
              <a:ext cx="2857498" cy="284388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15</xdr:col>
      <xdr:colOff>2771775</xdr:colOff>
      <xdr:row>47</xdr:row>
      <xdr:rowOff>38099</xdr:rowOff>
    </xdr:from>
    <xdr:to>
      <xdr:col>16</xdr:col>
      <xdr:colOff>771525</xdr:colOff>
      <xdr:row>47</xdr:row>
      <xdr:rowOff>3038474</xdr:rowOff>
    </xdr:to>
    <xdr:graphicFrame macro="">
      <xdr:nvGraphicFramePr>
        <xdr:cNvPr id="2" name="Graphique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60</xdr:row>
      <xdr:rowOff>19049</xdr:rowOff>
    </xdr:from>
    <xdr:to>
      <xdr:col>15</xdr:col>
      <xdr:colOff>4362450</xdr:colOff>
      <xdr:row>61</xdr:row>
      <xdr:rowOff>0</xdr:rowOff>
    </xdr:to>
    <xdr:graphicFrame macro="">
      <xdr:nvGraphicFramePr>
        <xdr:cNvPr id="4" name="Graphique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19050</xdr:colOff>
      <xdr:row>61</xdr:row>
      <xdr:rowOff>28575</xdr:rowOff>
    </xdr:from>
    <xdr:to>
      <xdr:col>15</xdr:col>
      <xdr:colOff>4352926</xdr:colOff>
      <xdr:row>61</xdr:row>
      <xdr:rowOff>1343024</xdr:rowOff>
    </xdr:to>
    <xdr:graphicFrame macro="">
      <xdr:nvGraphicFramePr>
        <xdr:cNvPr id="5" name="Graphique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9525</xdr:colOff>
      <xdr:row>62</xdr:row>
      <xdr:rowOff>28574</xdr:rowOff>
    </xdr:from>
    <xdr:to>
      <xdr:col>15</xdr:col>
      <xdr:colOff>4362450</xdr:colOff>
      <xdr:row>62</xdr:row>
      <xdr:rowOff>1343023</xdr:rowOff>
    </xdr:to>
    <xdr:graphicFrame macro="">
      <xdr:nvGraphicFramePr>
        <xdr:cNvPr id="6" name="Graphique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63</xdr:row>
      <xdr:rowOff>9524</xdr:rowOff>
    </xdr:from>
    <xdr:to>
      <xdr:col>15</xdr:col>
      <xdr:colOff>4371976</xdr:colOff>
      <xdr:row>63</xdr:row>
      <xdr:rowOff>1343024</xdr:rowOff>
    </xdr:to>
    <xdr:graphicFrame macro="">
      <xdr:nvGraphicFramePr>
        <xdr:cNvPr id="7" name="Graphique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66674</xdr:colOff>
      <xdr:row>213</xdr:row>
      <xdr:rowOff>47624</xdr:rowOff>
    </xdr:from>
    <xdr:to>
      <xdr:col>15</xdr:col>
      <xdr:colOff>4933950</xdr:colOff>
      <xdr:row>213</xdr:row>
      <xdr:rowOff>2743199</xdr:rowOff>
    </xdr:to>
    <xdr:graphicFrame macro="">
      <xdr:nvGraphicFramePr>
        <xdr:cNvPr id="8" name="Graphique 7">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52386</xdr:colOff>
      <xdr:row>250</xdr:row>
      <xdr:rowOff>28574</xdr:rowOff>
    </xdr:from>
    <xdr:to>
      <xdr:col>16</xdr:col>
      <xdr:colOff>1809750</xdr:colOff>
      <xdr:row>251</xdr:row>
      <xdr:rowOff>0</xdr:rowOff>
    </xdr:to>
    <xdr:graphicFrame macro="">
      <xdr:nvGraphicFramePr>
        <xdr:cNvPr id="10" name="Graphique 9">
          <a:extLst>
            <a:ext uri="{FF2B5EF4-FFF2-40B4-BE49-F238E27FC236}">
              <a16:creationId xmlns:a16="http://schemas.microsoft.com/office/drawing/2014/main" id="{00000000-0008-0000-05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19050</xdr:colOff>
      <xdr:row>328</xdr:row>
      <xdr:rowOff>142875</xdr:rowOff>
    </xdr:from>
    <xdr:to>
      <xdr:col>13</xdr:col>
      <xdr:colOff>762000</xdr:colOff>
      <xdr:row>329</xdr:row>
      <xdr:rowOff>0</xdr:rowOff>
    </xdr:to>
    <xdr:graphicFrame macro="">
      <xdr:nvGraphicFramePr>
        <xdr:cNvPr id="13" name="Graphique 12">
          <a:extLst>
            <a:ext uri="{FF2B5EF4-FFF2-40B4-BE49-F238E27FC236}">
              <a16:creationId xmlns:a16="http://schemas.microsoft.com/office/drawing/2014/main" id="{00000000-0008-0000-05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19050</xdr:colOff>
      <xdr:row>352</xdr:row>
      <xdr:rowOff>133350</xdr:rowOff>
    </xdr:from>
    <xdr:to>
      <xdr:col>13</xdr:col>
      <xdr:colOff>762000</xdr:colOff>
      <xdr:row>353</xdr:row>
      <xdr:rowOff>0</xdr:rowOff>
    </xdr:to>
    <xdr:graphicFrame macro="">
      <xdr:nvGraphicFramePr>
        <xdr:cNvPr id="14" name="Graphique 13">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19050</xdr:colOff>
      <xdr:row>376</xdr:row>
      <xdr:rowOff>180975</xdr:rowOff>
    </xdr:from>
    <xdr:to>
      <xdr:col>13</xdr:col>
      <xdr:colOff>762000</xdr:colOff>
      <xdr:row>377</xdr:row>
      <xdr:rowOff>0</xdr:rowOff>
    </xdr:to>
    <xdr:graphicFrame macro="">
      <xdr:nvGraphicFramePr>
        <xdr:cNvPr id="15" name="Graphique 14">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33336</xdr:colOff>
      <xdr:row>149</xdr:row>
      <xdr:rowOff>171449</xdr:rowOff>
    </xdr:from>
    <xdr:to>
      <xdr:col>30</xdr:col>
      <xdr:colOff>28575</xdr:colOff>
      <xdr:row>162</xdr:row>
      <xdr:rowOff>66674</xdr:rowOff>
    </xdr:to>
    <xdr:graphicFrame macro="">
      <xdr:nvGraphicFramePr>
        <xdr:cNvPr id="17" name="Graphique 16">
          <a:extLst>
            <a:ext uri="{FF2B5EF4-FFF2-40B4-BE49-F238E27FC236}">
              <a16:creationId xmlns:a16="http://schemas.microsoft.com/office/drawing/2014/main" id="{00000000-0008-0000-05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3619500</xdr:colOff>
          <xdr:row>47</xdr:row>
          <xdr:rowOff>1343025</xdr:rowOff>
        </xdr:from>
        <xdr:to>
          <xdr:col>15</xdr:col>
          <xdr:colOff>4895850</xdr:colOff>
          <xdr:row>47</xdr:row>
          <xdr:rowOff>1732090</xdr:rowOff>
        </xdr:to>
        <xdr:pic>
          <xdr:nvPicPr>
            <xdr:cNvPr id="19" name="Image 18">
              <a:extLst>
                <a:ext uri="{FF2B5EF4-FFF2-40B4-BE49-F238E27FC236}">
                  <a16:creationId xmlns:a16="http://schemas.microsoft.com/office/drawing/2014/main" id="{00000000-0008-0000-0500-000013000000}"/>
                </a:ext>
              </a:extLst>
            </xdr:cNvPr>
            <xdr:cNvPicPr>
              <a:picLocks noChangeAspect="1" noChangeArrowheads="1"/>
              <a:extLst>
                <a:ext uri="{84589F7E-364E-4C9E-8A38-B11213B215E9}">
                  <a14:cameraTool cellRange="$E$28" spid="_x0000_s524945"/>
                </a:ext>
              </a:extLst>
            </xdr:cNvPicPr>
          </xdr:nvPicPr>
          <xdr:blipFill rotWithShape="1">
            <a:blip xmlns:r="http://schemas.openxmlformats.org/officeDocument/2006/relationships" r:embed="rId13"/>
            <a:srcRect l="8880" t="8266" r="10091" b="7319"/>
            <a:stretch>
              <a:fillRect/>
            </a:stretch>
          </xdr:blipFill>
          <xdr:spPr bwMode="auto">
            <a:xfrm>
              <a:off x="15744825" y="12582525"/>
              <a:ext cx="1276350" cy="38906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266701</xdr:colOff>
          <xdr:row>250</xdr:row>
          <xdr:rowOff>965299</xdr:rowOff>
        </xdr:from>
        <xdr:to>
          <xdr:col>16</xdr:col>
          <xdr:colOff>1743075</xdr:colOff>
          <xdr:row>250</xdr:row>
          <xdr:rowOff>1419225</xdr:rowOff>
        </xdr:to>
        <xdr:pic>
          <xdr:nvPicPr>
            <xdr:cNvPr id="20" name="Image 19">
              <a:extLst>
                <a:ext uri="{FF2B5EF4-FFF2-40B4-BE49-F238E27FC236}">
                  <a16:creationId xmlns:a16="http://schemas.microsoft.com/office/drawing/2014/main" id="{00000000-0008-0000-0500-000014000000}"/>
                </a:ext>
              </a:extLst>
            </xdr:cNvPr>
            <xdr:cNvPicPr>
              <a:picLocks noChangeAspect="1" noChangeArrowheads="1"/>
              <a:extLst>
                <a:ext uri="{84589F7E-364E-4C9E-8A38-B11213B215E9}">
                  <a14:cameraTool cellRange="$E$246:$P$249" spid="_x0000_s524946"/>
                </a:ext>
              </a:extLst>
            </xdr:cNvPicPr>
          </xdr:nvPicPr>
          <xdr:blipFill rotWithShape="1">
            <a:blip xmlns:r="http://schemas.openxmlformats.org/officeDocument/2006/relationships" r:embed="rId14"/>
            <a:srcRect l="3902" t="17778" r="35889" b="14445"/>
            <a:stretch>
              <a:fillRect/>
            </a:stretch>
          </xdr:blipFill>
          <xdr:spPr bwMode="auto">
            <a:xfrm>
              <a:off x="12287251" y="62582524"/>
              <a:ext cx="6429374" cy="4539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15</xdr:col>
      <xdr:colOff>0</xdr:colOff>
      <xdr:row>267</xdr:row>
      <xdr:rowOff>0</xdr:rowOff>
    </xdr:from>
    <xdr:to>
      <xdr:col>16</xdr:col>
      <xdr:colOff>1757364</xdr:colOff>
      <xdr:row>267</xdr:row>
      <xdr:rowOff>1476375</xdr:rowOff>
    </xdr:to>
    <xdr:graphicFrame macro="">
      <xdr:nvGraphicFramePr>
        <xdr:cNvPr id="22" name="Graphique 21">
          <a:extLst>
            <a:ext uri="{FF2B5EF4-FFF2-40B4-BE49-F238E27FC236}">
              <a16:creationId xmlns:a16="http://schemas.microsoft.com/office/drawing/2014/main" i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190500</xdr:colOff>
          <xdr:row>267</xdr:row>
          <xdr:rowOff>942975</xdr:rowOff>
        </xdr:from>
        <xdr:to>
          <xdr:col>16</xdr:col>
          <xdr:colOff>1638300</xdr:colOff>
          <xdr:row>267</xdr:row>
          <xdr:rowOff>1412264</xdr:rowOff>
        </xdr:to>
        <xdr:pic>
          <xdr:nvPicPr>
            <xdr:cNvPr id="23" name="Image 22">
              <a:extLst>
                <a:ext uri="{FF2B5EF4-FFF2-40B4-BE49-F238E27FC236}">
                  <a16:creationId xmlns:a16="http://schemas.microsoft.com/office/drawing/2014/main" id="{00000000-0008-0000-0500-000017000000}"/>
                </a:ext>
              </a:extLst>
            </xdr:cNvPr>
            <xdr:cNvPicPr>
              <a:picLocks noChangeAspect="1" noChangeArrowheads="1"/>
              <a:extLst>
                <a:ext uri="{84589F7E-364E-4C9E-8A38-B11213B215E9}">
                  <a14:cameraTool cellRange="$E$263:$P$266" spid="_x0000_s524947"/>
                </a:ext>
              </a:extLst>
            </xdr:cNvPicPr>
          </xdr:nvPicPr>
          <xdr:blipFill rotWithShape="1">
            <a:blip xmlns:r="http://schemas.openxmlformats.org/officeDocument/2006/relationships" r:embed="rId16"/>
            <a:srcRect l="4112" t="17777" r="35819" b="13334"/>
            <a:stretch>
              <a:fillRect/>
            </a:stretch>
          </xdr:blipFill>
          <xdr:spPr bwMode="auto">
            <a:xfrm>
              <a:off x="12211050" y="67284600"/>
              <a:ext cx="6400800" cy="46928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15</xdr:col>
      <xdr:colOff>1895475</xdr:colOff>
      <xdr:row>294</xdr:row>
      <xdr:rowOff>19049</xdr:rowOff>
    </xdr:from>
    <xdr:to>
      <xdr:col>15</xdr:col>
      <xdr:colOff>4848225</xdr:colOff>
      <xdr:row>294</xdr:row>
      <xdr:rowOff>2905124</xdr:rowOff>
    </xdr:to>
    <xdr:graphicFrame macro="">
      <xdr:nvGraphicFramePr>
        <xdr:cNvPr id="3" name="Graphique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2771775</xdr:colOff>
          <xdr:row>294</xdr:row>
          <xdr:rowOff>1285875</xdr:rowOff>
        </xdr:from>
        <xdr:to>
          <xdr:col>15</xdr:col>
          <xdr:colOff>3990975</xdr:colOff>
          <xdr:row>294</xdr:row>
          <xdr:rowOff>1552575</xdr:rowOff>
        </xdr:to>
        <xdr:pic>
          <xdr:nvPicPr>
            <xdr:cNvPr id="24" name="Image 23">
              <a:extLst>
                <a:ext uri="{FF2B5EF4-FFF2-40B4-BE49-F238E27FC236}">
                  <a16:creationId xmlns:a16="http://schemas.microsoft.com/office/drawing/2014/main" id="{00000000-0008-0000-0500-000018000000}"/>
                </a:ext>
              </a:extLst>
            </xdr:cNvPr>
            <xdr:cNvPicPr>
              <a:picLocks noChangeAspect="1" noChangeArrowheads="1"/>
              <a:extLst>
                <a:ext uri="{84589F7E-364E-4C9E-8A38-B11213B215E9}">
                  <a14:cameraTool cellRange="$L$293" spid="_x0000_s524948"/>
                </a:ext>
              </a:extLst>
            </xdr:cNvPicPr>
          </xdr:nvPicPr>
          <xdr:blipFill rotWithShape="1">
            <a:blip xmlns:r="http://schemas.openxmlformats.org/officeDocument/2006/relationships" r:embed="rId18"/>
            <a:srcRect l="20487" t="13888" r="22553" b="8333"/>
            <a:stretch>
              <a:fillRect/>
            </a:stretch>
          </xdr:blipFill>
          <xdr:spPr bwMode="auto">
            <a:xfrm>
              <a:off x="14897100" y="76419075"/>
              <a:ext cx="1219200" cy="2667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33</xdr:col>
          <xdr:colOff>85725</xdr:colOff>
          <xdr:row>14</xdr:row>
          <xdr:rowOff>171449</xdr:rowOff>
        </xdr:from>
        <xdr:to>
          <xdr:col>49</xdr:col>
          <xdr:colOff>177221</xdr:colOff>
          <xdr:row>17</xdr:row>
          <xdr:rowOff>23813</xdr:rowOff>
        </xdr:to>
        <xdr:pic>
          <xdr:nvPicPr>
            <xdr:cNvPr id="35" name="Image 34">
              <a:extLst>
                <a:ext uri="{FF2B5EF4-FFF2-40B4-BE49-F238E27FC236}">
                  <a16:creationId xmlns:a16="http://schemas.microsoft.com/office/drawing/2014/main" id="{00000000-0008-0000-0600-000023000000}"/>
                </a:ext>
              </a:extLst>
            </xdr:cNvPr>
            <xdr:cNvPicPr>
              <a:picLocks noChangeAspect="1" noChangeArrowheads="1"/>
              <a:extLst>
                <a:ext uri="{84589F7E-364E-4C9E-8A38-B11213B215E9}">
                  <a14:cameraTool cellRange="'CALCULS Eau potable'!$P$61" spid="_x0000_s621360"/>
                </a:ext>
              </a:extLst>
            </xdr:cNvPicPr>
          </xdr:nvPicPr>
          <xdr:blipFill rotWithShape="1">
            <a:blip xmlns:r="http://schemas.openxmlformats.org/officeDocument/2006/relationships" r:embed="rId1"/>
            <a:srcRect l="13151" t="4154" r="12770" b="3601"/>
            <a:stretch>
              <a:fillRect/>
            </a:stretch>
          </xdr:blipFill>
          <xdr:spPr bwMode="auto">
            <a:xfrm>
              <a:off x="6165850" y="2941637"/>
              <a:ext cx="3417309" cy="1209676"/>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19</xdr:row>
          <xdr:rowOff>26988</xdr:rowOff>
        </xdr:from>
        <xdr:to>
          <xdr:col>49</xdr:col>
          <xdr:colOff>182562</xdr:colOff>
          <xdr:row>20</xdr:row>
          <xdr:rowOff>936625</xdr:rowOff>
        </xdr:to>
        <xdr:pic>
          <xdr:nvPicPr>
            <xdr:cNvPr id="39" name="Image 38">
              <a:extLst>
                <a:ext uri="{FF2B5EF4-FFF2-40B4-BE49-F238E27FC236}">
                  <a16:creationId xmlns:a16="http://schemas.microsoft.com/office/drawing/2014/main" id="{00000000-0008-0000-0600-000027000000}"/>
                </a:ext>
              </a:extLst>
            </xdr:cNvPr>
            <xdr:cNvPicPr>
              <a:picLocks noChangeAspect="1" noChangeArrowheads="1"/>
              <a:extLst>
                <a:ext uri="{84589F7E-364E-4C9E-8A38-B11213B215E9}">
                  <a14:cameraTool cellRange="'CALCULS Eau potable'!$P$62" spid="_x0000_s621361"/>
                </a:ext>
              </a:extLst>
            </xdr:cNvPicPr>
          </xdr:nvPicPr>
          <xdr:blipFill rotWithShape="1">
            <a:blip xmlns:r="http://schemas.openxmlformats.org/officeDocument/2006/relationships" r:embed="rId2"/>
            <a:srcRect l="11871" t="5762" r="12897" b="2881"/>
            <a:stretch>
              <a:fillRect/>
            </a:stretch>
          </xdr:blipFill>
          <xdr:spPr bwMode="auto">
            <a:xfrm>
              <a:off x="6146800" y="4487863"/>
              <a:ext cx="3441700" cy="11398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76199</xdr:colOff>
          <xdr:row>14</xdr:row>
          <xdr:rowOff>180974</xdr:rowOff>
        </xdr:from>
        <xdr:to>
          <xdr:col>79</xdr:col>
          <xdr:colOff>138917</xdr:colOff>
          <xdr:row>17</xdr:row>
          <xdr:rowOff>15875</xdr:rowOff>
        </xdr:to>
        <xdr:pic>
          <xdr:nvPicPr>
            <xdr:cNvPr id="40" name="Image 39">
              <a:extLst>
                <a:ext uri="{FF2B5EF4-FFF2-40B4-BE49-F238E27FC236}">
                  <a16:creationId xmlns:a16="http://schemas.microsoft.com/office/drawing/2014/main" id="{00000000-0008-0000-0600-000028000000}"/>
                </a:ext>
              </a:extLst>
            </xdr:cNvPr>
            <xdr:cNvPicPr>
              <a:picLocks noChangeAspect="1" noChangeArrowheads="1"/>
              <a:extLst>
                <a:ext uri="{84589F7E-364E-4C9E-8A38-B11213B215E9}">
                  <a14:cameraTool cellRange="'CALCULS Eau potable'!$P$63" spid="_x0000_s621362"/>
                </a:ext>
              </a:extLst>
            </xdr:cNvPicPr>
          </xdr:nvPicPr>
          <xdr:blipFill rotWithShape="1">
            <a:blip xmlns:r="http://schemas.openxmlformats.org/officeDocument/2006/relationships" r:embed="rId3"/>
            <a:srcRect l="12187" t="4263" r="12687" b="2509"/>
            <a:stretch>
              <a:fillRect/>
            </a:stretch>
          </xdr:blipFill>
          <xdr:spPr bwMode="auto">
            <a:xfrm>
              <a:off x="10267949" y="2981324"/>
              <a:ext cx="3606018" cy="1190626"/>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74611</xdr:colOff>
          <xdr:row>19</xdr:row>
          <xdr:rowOff>9526</xdr:rowOff>
        </xdr:from>
        <xdr:to>
          <xdr:col>79</xdr:col>
          <xdr:colOff>125026</xdr:colOff>
          <xdr:row>20</xdr:row>
          <xdr:rowOff>914400</xdr:rowOff>
        </xdr:to>
        <xdr:pic>
          <xdr:nvPicPr>
            <xdr:cNvPr id="42" name="Image 41">
              <a:extLst>
                <a:ext uri="{FF2B5EF4-FFF2-40B4-BE49-F238E27FC236}">
                  <a16:creationId xmlns:a16="http://schemas.microsoft.com/office/drawing/2014/main" id="{00000000-0008-0000-0600-00002A000000}"/>
                </a:ext>
              </a:extLst>
            </xdr:cNvPr>
            <xdr:cNvPicPr>
              <a:picLocks noChangeAspect="1" noChangeArrowheads="1"/>
              <a:extLst>
                <a:ext uri="{84589F7E-364E-4C9E-8A38-B11213B215E9}">
                  <a14:cameraTool cellRange="'CALCULS Eau potable'!$P$64" spid="_x0000_s621363"/>
                </a:ext>
              </a:extLst>
            </xdr:cNvPicPr>
          </xdr:nvPicPr>
          <xdr:blipFill rotWithShape="1">
            <a:blip xmlns:r="http://schemas.openxmlformats.org/officeDocument/2006/relationships" r:embed="rId4"/>
            <a:srcRect l="11391" t="3699" r="12665" b="4134"/>
            <a:stretch>
              <a:fillRect/>
            </a:stretch>
          </xdr:blipFill>
          <xdr:spPr bwMode="auto">
            <a:xfrm>
              <a:off x="10218736" y="4470401"/>
              <a:ext cx="3574665" cy="1135062"/>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17744</xdr:colOff>
          <xdr:row>46</xdr:row>
          <xdr:rowOff>95249</xdr:rowOff>
        </xdr:from>
        <xdr:to>
          <xdr:col>37</xdr:col>
          <xdr:colOff>142874</xdr:colOff>
          <xdr:row>48</xdr:row>
          <xdr:rowOff>2885</xdr:rowOff>
        </xdr:to>
        <xdr:pic>
          <xdr:nvPicPr>
            <xdr:cNvPr id="25" name="Image 24">
              <a:extLst>
                <a:ext uri="{FF2B5EF4-FFF2-40B4-BE49-F238E27FC236}">
                  <a16:creationId xmlns:a16="http://schemas.microsoft.com/office/drawing/2014/main" id="{00000000-0008-0000-0600-000019000000}"/>
                </a:ext>
              </a:extLst>
            </xdr:cNvPr>
            <xdr:cNvPicPr>
              <a:picLocks noChangeAspect="1" noChangeArrowheads="1"/>
              <a:extLst>
                <a:ext uri="{84589F7E-364E-4C9E-8A38-B11213B215E9}">
                  <a14:cameraTool cellRange="'CALCULS Eau potable'!$Q$150:$AE$167" spid="_x0000_s621364"/>
                </a:ext>
              </a:extLst>
            </xdr:cNvPicPr>
          </xdr:nvPicPr>
          <xdr:blipFill rotWithShape="1">
            <a:blip xmlns:r="http://schemas.openxmlformats.org/officeDocument/2006/relationships" r:embed="rId5"/>
            <a:srcRect l="2009" b="1581"/>
            <a:stretch>
              <a:fillRect/>
            </a:stretch>
          </xdr:blipFill>
          <xdr:spPr bwMode="auto">
            <a:xfrm>
              <a:off x="636869" y="10296524"/>
              <a:ext cx="6249705" cy="1803111"/>
            </a:xfrm>
            <a:prstGeom prst="rect">
              <a:avLst/>
            </a:prstGeom>
            <a:noFill/>
            <a:ln>
              <a:solidFill>
                <a:schemeClr val="tx2">
                  <a:lumMod val="60000"/>
                  <a:lumOff val="40000"/>
                </a:schemeClr>
              </a:solid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149474</xdr:colOff>
          <xdr:row>46</xdr:row>
          <xdr:rowOff>103190</xdr:rowOff>
        </xdr:from>
        <xdr:to>
          <xdr:col>80</xdr:col>
          <xdr:colOff>55562</xdr:colOff>
          <xdr:row>48</xdr:row>
          <xdr:rowOff>1589</xdr:rowOff>
        </xdr:to>
        <xdr:pic>
          <xdr:nvPicPr>
            <xdr:cNvPr id="26" name="Image 25">
              <a:extLst>
                <a:ext uri="{FF2B5EF4-FFF2-40B4-BE49-F238E27FC236}">
                  <a16:creationId xmlns:a16="http://schemas.microsoft.com/office/drawing/2014/main" id="{00000000-0008-0000-0600-00001A000000}"/>
                </a:ext>
              </a:extLst>
            </xdr:cNvPr>
            <xdr:cNvPicPr>
              <a:picLocks noChangeAspect="1" noChangeArrowheads="1"/>
              <a:extLst>
                <a:ext uri="{84589F7E-364E-4C9E-8A38-B11213B215E9}">
                  <a14:cameraTool cellRange="'CALCULS Eau potable'!$Q$118:$AE$134" spid="_x0000_s621365"/>
                </a:ext>
              </a:extLst>
            </xdr:cNvPicPr>
          </xdr:nvPicPr>
          <xdr:blipFill rotWithShape="1">
            <a:blip xmlns:r="http://schemas.openxmlformats.org/officeDocument/2006/relationships" r:embed="rId6"/>
            <a:srcRect b="1905"/>
            <a:stretch>
              <a:fillRect/>
            </a:stretch>
          </xdr:blipFill>
          <xdr:spPr bwMode="auto">
            <a:xfrm>
              <a:off x="7563099" y="10302878"/>
              <a:ext cx="6383088" cy="1787524"/>
            </a:xfrm>
            <a:prstGeom prst="rect">
              <a:avLst/>
            </a:prstGeom>
            <a:noFill/>
            <a:ln>
              <a:solidFill>
                <a:schemeClr val="tx2">
                  <a:lumMod val="60000"/>
                  <a:lumOff val="40000"/>
                </a:schemeClr>
              </a:solid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121226</xdr:colOff>
          <xdr:row>56</xdr:row>
          <xdr:rowOff>88026</xdr:rowOff>
        </xdr:from>
        <xdr:to>
          <xdr:col>27</xdr:col>
          <xdr:colOff>29586</xdr:colOff>
          <xdr:row>70</xdr:row>
          <xdr:rowOff>110026</xdr:rowOff>
        </xdr:to>
        <xdr:pic>
          <xdr:nvPicPr>
            <xdr:cNvPr id="27" name="Image 26">
              <a:extLst>
                <a:ext uri="{FF2B5EF4-FFF2-40B4-BE49-F238E27FC236}">
                  <a16:creationId xmlns:a16="http://schemas.microsoft.com/office/drawing/2014/main" id="{00000000-0008-0000-0600-00001B000000}"/>
                </a:ext>
              </a:extLst>
            </xdr:cNvPr>
            <xdr:cNvPicPr>
              <a:picLocks noChangeAspect="1" noChangeArrowheads="1"/>
              <a:extLst>
                <a:ext uri="{84589F7E-364E-4C9E-8A38-B11213B215E9}">
                  <a14:cameraTool cellRange="'CALCULS Eau potable'!$P$214" spid="_x0000_s621366"/>
                </a:ext>
              </a:extLst>
            </xdr:cNvPicPr>
          </xdr:nvPicPr>
          <xdr:blipFill rotWithShape="1">
            <a:blip xmlns:r="http://schemas.openxmlformats.org/officeDocument/2006/relationships" r:embed="rId7"/>
            <a:srcRect l="1386" t="2147" r="1091" b="5551"/>
            <a:stretch>
              <a:fillRect/>
            </a:stretch>
          </xdr:blipFill>
          <xdr:spPr bwMode="auto">
            <a:xfrm>
              <a:off x="605414" y="13605589"/>
              <a:ext cx="4758172" cy="2435000"/>
            </a:xfrm>
            <a:prstGeom prst="rect">
              <a:avLst/>
            </a:prstGeom>
            <a:noFill/>
            <a:ln w="9525">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11</xdr:row>
          <xdr:rowOff>260272</xdr:rowOff>
        </xdr:from>
        <xdr:to>
          <xdr:col>25</xdr:col>
          <xdr:colOff>83336</xdr:colOff>
          <xdr:row>20</xdr:row>
          <xdr:rowOff>103187</xdr:rowOff>
        </xdr:to>
        <xdr:pic>
          <xdr:nvPicPr>
            <xdr:cNvPr id="29" name="Image 28">
              <a:extLst>
                <a:ext uri="{FF2B5EF4-FFF2-40B4-BE49-F238E27FC236}">
                  <a16:creationId xmlns:a16="http://schemas.microsoft.com/office/drawing/2014/main" id="{00000000-0008-0000-0600-00001D000000}"/>
                </a:ext>
              </a:extLst>
            </xdr:cNvPr>
            <xdr:cNvPicPr>
              <a:picLocks noChangeAspect="1" noChangeArrowheads="1"/>
              <a:extLst>
                <a:ext uri="{84589F7E-364E-4C9E-8A38-B11213B215E9}">
                  <a14:cameraTool cellRange="'CALCULS Eau potable'!$P$48:$Q$48" spid="_x0000_s621367"/>
                </a:ext>
              </a:extLst>
            </xdr:cNvPicPr>
          </xdr:nvPicPr>
          <xdr:blipFill rotWithShape="1">
            <a:blip xmlns:r="http://schemas.openxmlformats.org/officeDocument/2006/relationships" r:embed="rId8"/>
            <a:srcRect l="701" t="1609" r="15849" b="11796"/>
            <a:stretch>
              <a:fillRect/>
            </a:stretch>
          </xdr:blipFill>
          <xdr:spPr bwMode="auto">
            <a:xfrm>
              <a:off x="752475" y="2379585"/>
              <a:ext cx="4418799" cy="241466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20</xdr:row>
          <xdr:rowOff>119062</xdr:rowOff>
        </xdr:from>
        <xdr:to>
          <xdr:col>25</xdr:col>
          <xdr:colOff>133350</xdr:colOff>
          <xdr:row>21</xdr:row>
          <xdr:rowOff>6350</xdr:rowOff>
        </xdr:to>
        <xdr:pic>
          <xdr:nvPicPr>
            <xdr:cNvPr id="30" name="Image 29">
              <a:extLst>
                <a:ext uri="{FF2B5EF4-FFF2-40B4-BE49-F238E27FC236}">
                  <a16:creationId xmlns:a16="http://schemas.microsoft.com/office/drawing/2014/main" id="{00000000-0008-0000-0600-00001E000000}"/>
                </a:ext>
              </a:extLst>
            </xdr:cNvPr>
            <xdr:cNvPicPr>
              <a:picLocks noChangeAspect="1" noChangeArrowheads="1"/>
              <a:extLst>
                <a:ext uri="{84589F7E-364E-4C9E-8A38-B11213B215E9}">
                  <a14:cameraTool cellRange="'CALCULS Eau potable'!$D$50:$O$55" spid="_x0000_s621368"/>
                </a:ext>
              </a:extLst>
            </xdr:cNvPicPr>
          </xdr:nvPicPr>
          <xdr:blipFill rotWithShape="1">
            <a:blip xmlns:r="http://schemas.openxmlformats.org/officeDocument/2006/relationships" r:embed="rId9"/>
            <a:srcRect l="9735" r="21407" b="4975"/>
            <a:stretch>
              <a:fillRect/>
            </a:stretch>
          </xdr:blipFill>
          <xdr:spPr bwMode="auto">
            <a:xfrm>
              <a:off x="647700" y="4810125"/>
              <a:ext cx="4573588" cy="879475"/>
            </a:xfrm>
            <a:prstGeom prst="rect">
              <a:avLst/>
            </a:prstGeom>
            <a:noFill/>
            <a:ln>
              <a:solidFill>
                <a:schemeClr val="tx2">
                  <a:lumMod val="60000"/>
                  <a:lumOff val="40000"/>
                </a:schemeClr>
              </a:solid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28574</xdr:colOff>
          <xdr:row>19</xdr:row>
          <xdr:rowOff>138116</xdr:rowOff>
        </xdr:from>
        <xdr:to>
          <xdr:col>4</xdr:col>
          <xdr:colOff>114300</xdr:colOff>
          <xdr:row>20</xdr:row>
          <xdr:rowOff>112850</xdr:rowOff>
        </xdr:to>
        <xdr:pic>
          <xdr:nvPicPr>
            <xdr:cNvPr id="31" name="Image 30">
              <a:extLst>
                <a:ext uri="{FF2B5EF4-FFF2-40B4-BE49-F238E27FC236}">
                  <a16:creationId xmlns:a16="http://schemas.microsoft.com/office/drawing/2014/main" id="{00000000-0008-0000-0600-00001F000000}"/>
                </a:ext>
              </a:extLst>
            </xdr:cNvPr>
            <xdr:cNvPicPr>
              <a:picLocks noChangeAspect="1" noChangeArrowheads="1"/>
              <a:extLst>
                <a:ext uri="{84589F7E-364E-4C9E-8A38-B11213B215E9}">
                  <a14:cameraTool cellRange="'CALCULS Eau potable'!$E$49" spid="_x0000_s621369"/>
                </a:ext>
              </a:extLst>
            </xdr:cNvPicPr>
          </xdr:nvPicPr>
          <xdr:blipFill rotWithShape="1">
            <a:blip xmlns:r="http://schemas.openxmlformats.org/officeDocument/2006/relationships" r:embed="rId10"/>
            <a:srcRect t="20409" b="22448"/>
            <a:stretch>
              <a:fillRect/>
            </a:stretch>
          </xdr:blipFill>
          <xdr:spPr bwMode="auto">
            <a:xfrm>
              <a:off x="647699" y="4598991"/>
              <a:ext cx="1292226" cy="204922"/>
            </a:xfrm>
            <a:prstGeom prst="rect">
              <a:avLst/>
            </a:prstGeom>
            <a:noFill/>
            <a:ln>
              <a:solidFill>
                <a:schemeClr val="tx2">
                  <a:lumMod val="60000"/>
                  <a:lumOff val="40000"/>
                </a:schemeClr>
              </a:solid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79375</xdr:colOff>
          <xdr:row>80</xdr:row>
          <xdr:rowOff>7937</xdr:rowOff>
        </xdr:from>
        <xdr:to>
          <xdr:col>27</xdr:col>
          <xdr:colOff>182563</xdr:colOff>
          <xdr:row>88</xdr:row>
          <xdr:rowOff>31750</xdr:rowOff>
        </xdr:to>
        <xdr:pic>
          <xdr:nvPicPr>
            <xdr:cNvPr id="18" name="Image 17">
              <a:extLst>
                <a:ext uri="{FF2B5EF4-FFF2-40B4-BE49-F238E27FC236}">
                  <a16:creationId xmlns:a16="http://schemas.microsoft.com/office/drawing/2014/main" id="{00000000-0008-0000-0600-000012000000}"/>
                </a:ext>
              </a:extLst>
            </xdr:cNvPr>
            <xdr:cNvPicPr>
              <a:picLocks noChangeAspect="1" noChangeArrowheads="1"/>
              <a:extLst>
                <a:ext uri="{84589F7E-364E-4C9E-8A38-B11213B215E9}">
                  <a14:cameraTool cellRange="'CALCULS Eau potable'!$P$251:$Q$251" spid="_x0000_s621370"/>
                </a:ext>
              </a:extLst>
            </xdr:cNvPicPr>
          </xdr:nvPicPr>
          <xdr:blipFill rotWithShape="1">
            <a:blip xmlns:r="http://schemas.openxmlformats.org/officeDocument/2006/relationships" r:embed="rId11"/>
            <a:srcRect l="3253" t="2714" r="2648" b="2823"/>
            <a:stretch>
              <a:fillRect/>
            </a:stretch>
          </xdr:blipFill>
          <xdr:spPr bwMode="auto">
            <a:xfrm>
              <a:off x="698500" y="17645062"/>
              <a:ext cx="4818063" cy="104775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31751</xdr:colOff>
          <xdr:row>80</xdr:row>
          <xdr:rowOff>0</xdr:rowOff>
        </xdr:from>
        <xdr:to>
          <xdr:col>58</xdr:col>
          <xdr:colOff>23812</xdr:colOff>
          <xdr:row>88</xdr:row>
          <xdr:rowOff>23811</xdr:rowOff>
        </xdr:to>
        <xdr:pic>
          <xdr:nvPicPr>
            <xdr:cNvPr id="21" name="Image 20">
              <a:extLst>
                <a:ext uri="{FF2B5EF4-FFF2-40B4-BE49-F238E27FC236}">
                  <a16:creationId xmlns:a16="http://schemas.microsoft.com/office/drawing/2014/main" id="{00000000-0008-0000-0600-000015000000}"/>
                </a:ext>
              </a:extLst>
            </xdr:cNvPr>
            <xdr:cNvPicPr>
              <a:picLocks noChangeAspect="1" noChangeArrowheads="1"/>
              <a:extLst>
                <a:ext uri="{84589F7E-364E-4C9E-8A38-B11213B215E9}">
                  <a14:cameraTool cellRange="'CALCULS Eau potable'!$P$268:$Q$268" spid="_x0000_s621371"/>
                </a:ext>
              </a:extLst>
            </xdr:cNvPicPr>
          </xdr:nvPicPr>
          <xdr:blipFill rotWithShape="1">
            <a:blip xmlns:r="http://schemas.openxmlformats.org/officeDocument/2006/relationships" r:embed="rId12"/>
            <a:srcRect l="1597" t="1653" r="4290" b="2532"/>
            <a:stretch>
              <a:fillRect/>
            </a:stretch>
          </xdr:blipFill>
          <xdr:spPr bwMode="auto">
            <a:xfrm>
              <a:off x="5810251" y="17700625"/>
              <a:ext cx="4802186" cy="104774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71021</xdr:colOff>
          <xdr:row>78</xdr:row>
          <xdr:rowOff>96838</xdr:rowOff>
        </xdr:from>
        <xdr:to>
          <xdr:col>80</xdr:col>
          <xdr:colOff>123825</xdr:colOff>
          <xdr:row>89</xdr:row>
          <xdr:rowOff>30097</xdr:rowOff>
        </xdr:to>
        <xdr:pic>
          <xdr:nvPicPr>
            <xdr:cNvPr id="24" name="Image 23">
              <a:extLst>
                <a:ext uri="{FF2B5EF4-FFF2-40B4-BE49-F238E27FC236}">
                  <a16:creationId xmlns:a16="http://schemas.microsoft.com/office/drawing/2014/main" id="{00000000-0008-0000-0600-000018000000}"/>
                </a:ext>
              </a:extLst>
            </xdr:cNvPr>
            <xdr:cNvPicPr>
              <a:picLocks noChangeAspect="1" noChangeArrowheads="1"/>
              <a:extLst>
                <a:ext uri="{84589F7E-364E-4C9E-8A38-B11213B215E9}">
                  <a14:cameraTool cellRange="'CALCULS Eau potable'!$Q$297:$AA$304" spid="_x0000_s621372"/>
                </a:ext>
              </a:extLst>
            </xdr:cNvPicPr>
          </xdr:nvPicPr>
          <xdr:blipFill rotWithShape="1">
            <a:blip xmlns:r="http://schemas.openxmlformats.org/officeDocument/2006/relationships" r:embed="rId13"/>
            <a:srcRect l="26588" t="12664" r="6284" b="4747"/>
            <a:stretch>
              <a:fillRect/>
            </a:stretch>
          </xdr:blipFill>
          <xdr:spPr bwMode="auto">
            <a:xfrm>
              <a:off x="11091446" y="17460913"/>
              <a:ext cx="2967454" cy="141915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28806</xdr:colOff>
          <xdr:row>67</xdr:row>
          <xdr:rowOff>31749</xdr:rowOff>
        </xdr:from>
        <xdr:to>
          <xdr:col>80</xdr:col>
          <xdr:colOff>141715</xdr:colOff>
          <xdr:row>78</xdr:row>
          <xdr:rowOff>104913</xdr:rowOff>
        </xdr:to>
        <xdr:pic>
          <xdr:nvPicPr>
            <xdr:cNvPr id="34" name="Image 33">
              <a:extLst>
                <a:ext uri="{FF2B5EF4-FFF2-40B4-BE49-F238E27FC236}">
                  <a16:creationId xmlns:a16="http://schemas.microsoft.com/office/drawing/2014/main" id="{00000000-0008-0000-0600-000022000000}"/>
                </a:ext>
              </a:extLst>
            </xdr:cNvPr>
            <xdr:cNvPicPr>
              <a:picLocks noChangeAspect="1" noChangeArrowheads="1"/>
              <a:extLst>
                <a:ext uri="{84589F7E-364E-4C9E-8A38-B11213B215E9}">
                  <a14:cameraTool cellRange="'CALCULS Eau potable'!$E$279:$K$292" spid="_x0000_s621373"/>
                </a:ext>
              </a:extLst>
            </xdr:cNvPicPr>
          </xdr:nvPicPr>
          <xdr:blipFill rotWithShape="1">
            <a:blip xmlns:r="http://schemas.openxmlformats.org/officeDocument/2006/relationships" r:embed="rId14"/>
            <a:srcRect l="6115" t="4097" r="15386" b="4762"/>
            <a:stretch>
              <a:fillRect/>
            </a:stretch>
          </xdr:blipFill>
          <xdr:spPr bwMode="auto">
            <a:xfrm>
              <a:off x="11093681" y="15493999"/>
              <a:ext cx="3018034" cy="194641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32576</xdr:colOff>
          <xdr:row>56</xdr:row>
          <xdr:rowOff>222250</xdr:rowOff>
        </xdr:from>
        <xdr:to>
          <xdr:col>80</xdr:col>
          <xdr:colOff>150813</xdr:colOff>
          <xdr:row>69</xdr:row>
          <xdr:rowOff>23812</xdr:rowOff>
        </xdr:to>
        <xdr:pic>
          <xdr:nvPicPr>
            <xdr:cNvPr id="33" name="Image 32">
              <a:extLst>
                <a:ext uri="{FF2B5EF4-FFF2-40B4-BE49-F238E27FC236}">
                  <a16:creationId xmlns:a16="http://schemas.microsoft.com/office/drawing/2014/main" id="{00000000-0008-0000-0600-000021000000}"/>
                </a:ext>
              </a:extLst>
            </xdr:cNvPr>
            <xdr:cNvPicPr>
              <a:picLocks noChangeAspect="1" noChangeArrowheads="1"/>
              <a:extLst>
                <a:ext uri="{84589F7E-364E-4C9E-8A38-B11213B215E9}">
                  <a14:cameraTool cellRange="'CALCULS Eau potable'!$P$295" spid="_x0000_s621374"/>
                </a:ext>
              </a:extLst>
            </xdr:cNvPicPr>
          </xdr:nvPicPr>
          <xdr:blipFill rotWithShape="1">
            <a:blip xmlns:r="http://schemas.openxmlformats.org/officeDocument/2006/relationships" r:embed="rId15"/>
            <a:srcRect l="39090" t="1067" r="2755" b="4000"/>
            <a:stretch>
              <a:fillRect/>
            </a:stretch>
          </xdr:blipFill>
          <xdr:spPr bwMode="auto">
            <a:xfrm>
              <a:off x="12105514" y="13739813"/>
              <a:ext cx="2015299" cy="1968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97</xdr:row>
          <xdr:rowOff>46037</xdr:rowOff>
        </xdr:from>
        <xdr:to>
          <xdr:col>47</xdr:col>
          <xdr:colOff>194527</xdr:colOff>
          <xdr:row>100</xdr:row>
          <xdr:rowOff>66675</xdr:rowOff>
        </xdr:to>
        <xdr:pic>
          <xdr:nvPicPr>
            <xdr:cNvPr id="22" name="Image 21">
              <a:extLst>
                <a:ext uri="{FF2B5EF4-FFF2-40B4-BE49-F238E27FC236}">
                  <a16:creationId xmlns:a16="http://schemas.microsoft.com/office/drawing/2014/main" id="{00000000-0008-0000-0600-000016000000}"/>
                </a:ext>
              </a:extLst>
            </xdr:cNvPr>
            <xdr:cNvPicPr>
              <a:picLocks noChangeAspect="1" noChangeArrowheads="1"/>
              <a:extLst>
                <a:ext uri="{84589F7E-364E-4C9E-8A38-B11213B215E9}">
                  <a14:cameraTool cellRange="'CALCULS Eau potable'!$H$351:$O$355" spid="_x0000_s621375"/>
                </a:ext>
              </a:extLst>
            </xdr:cNvPicPr>
          </xdr:nvPicPr>
          <xdr:blipFill rotWithShape="1">
            <a:blip xmlns:r="http://schemas.openxmlformats.org/officeDocument/2006/relationships" r:embed="rId16"/>
            <a:srcRect l="12079" t="4991" r="10733" b="85"/>
            <a:stretch>
              <a:fillRect/>
            </a:stretch>
          </xdr:blipFill>
          <xdr:spPr bwMode="auto">
            <a:xfrm>
              <a:off x="5229225" y="20248562"/>
              <a:ext cx="4147402" cy="225901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152399</xdr:colOff>
          <xdr:row>98</xdr:row>
          <xdr:rowOff>4762</xdr:rowOff>
        </xdr:from>
        <xdr:to>
          <xdr:col>80</xdr:col>
          <xdr:colOff>41275</xdr:colOff>
          <xdr:row>100</xdr:row>
          <xdr:rowOff>38100</xdr:rowOff>
        </xdr:to>
        <xdr:pic>
          <xdr:nvPicPr>
            <xdr:cNvPr id="23" name="Image 22">
              <a:extLst>
                <a:ext uri="{FF2B5EF4-FFF2-40B4-BE49-F238E27FC236}">
                  <a16:creationId xmlns:a16="http://schemas.microsoft.com/office/drawing/2014/main" id="{00000000-0008-0000-0600-000017000000}"/>
                </a:ext>
              </a:extLst>
            </xdr:cNvPr>
            <xdr:cNvPicPr>
              <a:picLocks noChangeAspect="1" noChangeArrowheads="1"/>
              <a:extLst>
                <a:ext uri="{84589F7E-364E-4C9E-8A38-B11213B215E9}">
                  <a14:cameraTool cellRange="'CALCULS Eau potable'!$H$375:$O$379" spid="_x0000_s621376"/>
                </a:ext>
              </a:extLst>
            </xdr:cNvPicPr>
          </xdr:nvPicPr>
          <xdr:blipFill rotWithShape="1">
            <a:blip xmlns:r="http://schemas.openxmlformats.org/officeDocument/2006/relationships" r:embed="rId17"/>
            <a:srcRect l="12292" t="5330" r="10560" b="590"/>
            <a:stretch>
              <a:fillRect/>
            </a:stretch>
          </xdr:blipFill>
          <xdr:spPr bwMode="auto">
            <a:xfrm>
              <a:off x="9829799" y="20254912"/>
              <a:ext cx="4146551" cy="2224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47624</xdr:colOff>
          <xdr:row>97</xdr:row>
          <xdr:rowOff>41275</xdr:rowOff>
        </xdr:from>
        <xdr:to>
          <xdr:col>21</xdr:col>
          <xdr:colOff>85722</xdr:colOff>
          <xdr:row>100</xdr:row>
          <xdr:rowOff>85725</xdr:rowOff>
        </xdr:to>
        <xdr:pic>
          <xdr:nvPicPr>
            <xdr:cNvPr id="28" name="Image 27">
              <a:extLst>
                <a:ext uri="{FF2B5EF4-FFF2-40B4-BE49-F238E27FC236}">
                  <a16:creationId xmlns:a16="http://schemas.microsoft.com/office/drawing/2014/main" id="{00000000-0008-0000-0600-00001C000000}"/>
                </a:ext>
              </a:extLst>
            </xdr:cNvPr>
            <xdr:cNvPicPr>
              <a:picLocks noChangeAspect="1" noChangeArrowheads="1"/>
              <a:extLst>
                <a:ext uri="{84589F7E-364E-4C9E-8A38-B11213B215E9}">
                  <a14:cameraTool cellRange="'CALCULS Eau potable'!$H$327:$O$331" spid="_x0000_s621377"/>
                </a:ext>
              </a:extLst>
            </xdr:cNvPicPr>
          </xdr:nvPicPr>
          <xdr:blipFill rotWithShape="1">
            <a:blip xmlns:r="http://schemas.openxmlformats.org/officeDocument/2006/relationships" r:embed="rId18"/>
            <a:srcRect l="12004" t="4211" r="10805" b="504"/>
            <a:stretch>
              <a:fillRect/>
            </a:stretch>
          </xdr:blipFill>
          <xdr:spPr bwMode="auto">
            <a:xfrm>
              <a:off x="666749" y="20243800"/>
              <a:ext cx="4029073" cy="22828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114302</xdr:colOff>
          <xdr:row>47</xdr:row>
          <xdr:rowOff>123827</xdr:rowOff>
        </xdr:from>
        <xdr:to>
          <xdr:col>15</xdr:col>
          <xdr:colOff>2657475</xdr:colOff>
          <xdr:row>47</xdr:row>
          <xdr:rowOff>2617892</xdr:rowOff>
        </xdr:to>
        <xdr:pic>
          <xdr:nvPicPr>
            <xdr:cNvPr id="2" name="Image 1">
              <a:extLst>
                <a:ext uri="{FF2B5EF4-FFF2-40B4-BE49-F238E27FC236}">
                  <a16:creationId xmlns:a16="http://schemas.microsoft.com/office/drawing/2014/main" id="{00000000-0008-0000-0800-000002000000}"/>
                </a:ext>
              </a:extLst>
            </xdr:cNvPr>
            <xdr:cNvPicPr>
              <a:picLocks noChangeAspect="1" noChangeArrowheads="1"/>
              <a:extLst>
                <a:ext uri="{84589F7E-364E-4C9E-8A38-B11213B215E9}">
                  <a14:cameraTool cellRange="$K$20:$O$33" spid="_x0000_s433084"/>
                </a:ext>
              </a:extLst>
            </xdr:cNvPicPr>
          </xdr:nvPicPr>
          <xdr:blipFill rotWithShape="1">
            <a:blip xmlns:r="http://schemas.openxmlformats.org/officeDocument/2006/relationships" r:embed="rId1"/>
            <a:srcRect l="12408" t="14107" r="10463" b="313"/>
            <a:stretch>
              <a:fillRect/>
            </a:stretch>
          </xdr:blipFill>
          <xdr:spPr bwMode="auto">
            <a:xfrm>
              <a:off x="12239627" y="11363327"/>
              <a:ext cx="2543173" cy="249406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15</xdr:col>
      <xdr:colOff>2371725</xdr:colOff>
      <xdr:row>47</xdr:row>
      <xdr:rowOff>57150</xdr:rowOff>
    </xdr:from>
    <xdr:to>
      <xdr:col>16</xdr:col>
      <xdr:colOff>28575</xdr:colOff>
      <xdr:row>47</xdr:row>
      <xdr:rowOff>2733676</xdr:rowOff>
    </xdr:to>
    <xdr:graphicFrame macro="">
      <xdr:nvGraphicFramePr>
        <xdr:cNvPr id="3" name="Graphique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60</xdr:row>
      <xdr:rowOff>19049</xdr:rowOff>
    </xdr:from>
    <xdr:to>
      <xdr:col>15</xdr:col>
      <xdr:colOff>4362450</xdr:colOff>
      <xdr:row>61</xdr:row>
      <xdr:rowOff>0</xdr:rowOff>
    </xdr:to>
    <xdr:graphicFrame macro="">
      <xdr:nvGraphicFramePr>
        <xdr:cNvPr id="4" name="Graphique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19050</xdr:colOff>
      <xdr:row>61</xdr:row>
      <xdr:rowOff>28575</xdr:rowOff>
    </xdr:from>
    <xdr:to>
      <xdr:col>15</xdr:col>
      <xdr:colOff>4352926</xdr:colOff>
      <xdr:row>61</xdr:row>
      <xdr:rowOff>1343024</xdr:rowOff>
    </xdr:to>
    <xdr:graphicFrame macro="">
      <xdr:nvGraphicFramePr>
        <xdr:cNvPr id="5" name="Graphique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9525</xdr:colOff>
      <xdr:row>62</xdr:row>
      <xdr:rowOff>28574</xdr:rowOff>
    </xdr:from>
    <xdr:to>
      <xdr:col>15</xdr:col>
      <xdr:colOff>4362450</xdr:colOff>
      <xdr:row>62</xdr:row>
      <xdr:rowOff>1343023</xdr:rowOff>
    </xdr:to>
    <xdr:graphicFrame macro="">
      <xdr:nvGraphicFramePr>
        <xdr:cNvPr id="6" name="Graphique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63</xdr:row>
      <xdr:rowOff>9524</xdr:rowOff>
    </xdr:from>
    <xdr:to>
      <xdr:col>15</xdr:col>
      <xdr:colOff>4371976</xdr:colOff>
      <xdr:row>63</xdr:row>
      <xdr:rowOff>1343024</xdr:rowOff>
    </xdr:to>
    <xdr:graphicFrame macro="">
      <xdr:nvGraphicFramePr>
        <xdr:cNvPr id="7" name="Graphique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66674</xdr:colOff>
      <xdr:row>213</xdr:row>
      <xdr:rowOff>47624</xdr:rowOff>
    </xdr:from>
    <xdr:to>
      <xdr:col>15</xdr:col>
      <xdr:colOff>4933950</xdr:colOff>
      <xdr:row>213</xdr:row>
      <xdr:rowOff>2743199</xdr:rowOff>
    </xdr:to>
    <xdr:graphicFrame macro="">
      <xdr:nvGraphicFramePr>
        <xdr:cNvPr id="8" name="Graphique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52386</xdr:colOff>
      <xdr:row>250</xdr:row>
      <xdr:rowOff>28574</xdr:rowOff>
    </xdr:from>
    <xdr:to>
      <xdr:col>16</xdr:col>
      <xdr:colOff>1809750</xdr:colOff>
      <xdr:row>251</xdr:row>
      <xdr:rowOff>0</xdr:rowOff>
    </xdr:to>
    <xdr:graphicFrame macro="">
      <xdr:nvGraphicFramePr>
        <xdr:cNvPr id="9" name="Graphique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19050</xdr:colOff>
      <xdr:row>328</xdr:row>
      <xdr:rowOff>142875</xdr:rowOff>
    </xdr:from>
    <xdr:to>
      <xdr:col>13</xdr:col>
      <xdr:colOff>762000</xdr:colOff>
      <xdr:row>329</xdr:row>
      <xdr:rowOff>0</xdr:rowOff>
    </xdr:to>
    <xdr:graphicFrame macro="">
      <xdr:nvGraphicFramePr>
        <xdr:cNvPr id="10" name="Graphique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19050</xdr:colOff>
      <xdr:row>352</xdr:row>
      <xdr:rowOff>133350</xdr:rowOff>
    </xdr:from>
    <xdr:to>
      <xdr:col>13</xdr:col>
      <xdr:colOff>762000</xdr:colOff>
      <xdr:row>353</xdr:row>
      <xdr:rowOff>0</xdr:rowOff>
    </xdr:to>
    <xdr:graphicFrame macro="">
      <xdr:nvGraphicFramePr>
        <xdr:cNvPr id="11" name="Graphique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19050</xdr:colOff>
      <xdr:row>376</xdr:row>
      <xdr:rowOff>180975</xdr:rowOff>
    </xdr:from>
    <xdr:to>
      <xdr:col>13</xdr:col>
      <xdr:colOff>762000</xdr:colOff>
      <xdr:row>377</xdr:row>
      <xdr:rowOff>0</xdr:rowOff>
    </xdr:to>
    <xdr:graphicFrame macro="">
      <xdr:nvGraphicFramePr>
        <xdr:cNvPr id="12" name="Graphique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33336</xdr:colOff>
      <xdr:row>149</xdr:row>
      <xdr:rowOff>171449</xdr:rowOff>
    </xdr:from>
    <xdr:to>
      <xdr:col>30</xdr:col>
      <xdr:colOff>28575</xdr:colOff>
      <xdr:row>162</xdr:row>
      <xdr:rowOff>66674</xdr:rowOff>
    </xdr:to>
    <xdr:graphicFrame macro="">
      <xdr:nvGraphicFramePr>
        <xdr:cNvPr id="13" name="Graphique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3146425</xdr:colOff>
          <xdr:row>47</xdr:row>
          <xdr:rowOff>1181100</xdr:rowOff>
        </xdr:from>
        <xdr:to>
          <xdr:col>15</xdr:col>
          <xdr:colOff>4305300</xdr:colOff>
          <xdr:row>47</xdr:row>
          <xdr:rowOff>1552575</xdr:rowOff>
        </xdr:to>
        <xdr:pic>
          <xdr:nvPicPr>
            <xdr:cNvPr id="14" name="Image 13">
              <a:extLst>
                <a:ext uri="{FF2B5EF4-FFF2-40B4-BE49-F238E27FC236}">
                  <a16:creationId xmlns:a16="http://schemas.microsoft.com/office/drawing/2014/main" id="{00000000-0008-0000-0800-00000E000000}"/>
                </a:ext>
              </a:extLst>
            </xdr:cNvPr>
            <xdr:cNvPicPr>
              <a:picLocks noChangeAspect="1" noChangeArrowheads="1"/>
              <a:extLst>
                <a:ext uri="{84589F7E-364E-4C9E-8A38-B11213B215E9}">
                  <a14:cameraTool cellRange="$E$28" spid="_x0000_s433085"/>
                </a:ext>
              </a:extLst>
            </xdr:cNvPicPr>
          </xdr:nvPicPr>
          <xdr:blipFill rotWithShape="1">
            <a:blip xmlns:r="http://schemas.openxmlformats.org/officeDocument/2006/relationships" r:embed="rId13"/>
            <a:srcRect l="11299" r="11299" b="7318"/>
            <a:stretch>
              <a:fillRect/>
            </a:stretch>
          </xdr:blipFill>
          <xdr:spPr bwMode="auto">
            <a:xfrm>
              <a:off x="15271750" y="12420600"/>
              <a:ext cx="1158875" cy="3714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266701</xdr:colOff>
          <xdr:row>250</xdr:row>
          <xdr:rowOff>965299</xdr:rowOff>
        </xdr:from>
        <xdr:to>
          <xdr:col>16</xdr:col>
          <xdr:colOff>1706699</xdr:colOff>
          <xdr:row>250</xdr:row>
          <xdr:rowOff>1419224</xdr:rowOff>
        </xdr:to>
        <xdr:pic>
          <xdr:nvPicPr>
            <xdr:cNvPr id="15" name="Image 14">
              <a:extLst>
                <a:ext uri="{FF2B5EF4-FFF2-40B4-BE49-F238E27FC236}">
                  <a16:creationId xmlns:a16="http://schemas.microsoft.com/office/drawing/2014/main" id="{00000000-0008-0000-0800-00000F000000}"/>
                </a:ext>
              </a:extLst>
            </xdr:cNvPr>
            <xdr:cNvPicPr>
              <a:picLocks noChangeAspect="1" noChangeArrowheads="1"/>
              <a:extLst>
                <a:ext uri="{84589F7E-364E-4C9E-8A38-B11213B215E9}">
                  <a14:cameraTool cellRange="$E$246:$P$249" spid="_x0000_s433086"/>
                </a:ext>
              </a:extLst>
            </xdr:cNvPicPr>
          </xdr:nvPicPr>
          <xdr:blipFill rotWithShape="1">
            <a:blip xmlns:r="http://schemas.openxmlformats.org/officeDocument/2006/relationships" r:embed="rId14"/>
            <a:srcRect l="3902" t="17778" r="35889" b="14445"/>
            <a:stretch>
              <a:fillRect/>
            </a:stretch>
          </xdr:blipFill>
          <xdr:spPr bwMode="auto">
            <a:xfrm>
              <a:off x="12392026" y="64011274"/>
              <a:ext cx="6392998" cy="4539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15</xdr:col>
      <xdr:colOff>0</xdr:colOff>
      <xdr:row>267</xdr:row>
      <xdr:rowOff>0</xdr:rowOff>
    </xdr:from>
    <xdr:to>
      <xdr:col>16</xdr:col>
      <xdr:colOff>1757364</xdr:colOff>
      <xdr:row>267</xdr:row>
      <xdr:rowOff>1476375</xdr:rowOff>
    </xdr:to>
    <xdr:graphicFrame macro="">
      <xdr:nvGraphicFramePr>
        <xdr:cNvPr id="16" name="Graphique 15">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190500</xdr:colOff>
          <xdr:row>267</xdr:row>
          <xdr:rowOff>942975</xdr:rowOff>
        </xdr:from>
        <xdr:to>
          <xdr:col>16</xdr:col>
          <xdr:colOff>1647825</xdr:colOff>
          <xdr:row>267</xdr:row>
          <xdr:rowOff>1419225</xdr:rowOff>
        </xdr:to>
        <xdr:pic>
          <xdr:nvPicPr>
            <xdr:cNvPr id="17" name="Image 16">
              <a:extLst>
                <a:ext uri="{FF2B5EF4-FFF2-40B4-BE49-F238E27FC236}">
                  <a16:creationId xmlns:a16="http://schemas.microsoft.com/office/drawing/2014/main" id="{00000000-0008-0000-0800-000011000000}"/>
                </a:ext>
              </a:extLst>
            </xdr:cNvPr>
            <xdr:cNvPicPr>
              <a:picLocks noChangeAspect="1" noChangeArrowheads="1"/>
              <a:extLst>
                <a:ext uri="{84589F7E-364E-4C9E-8A38-B11213B215E9}">
                  <a14:cameraTool cellRange="$E$263:$P$266" spid="_x0000_s433087"/>
                </a:ext>
              </a:extLst>
            </xdr:cNvPicPr>
          </xdr:nvPicPr>
          <xdr:blipFill rotWithShape="1">
            <a:blip xmlns:r="http://schemas.openxmlformats.org/officeDocument/2006/relationships" r:embed="rId16"/>
            <a:srcRect l="4112" t="17777" r="35819" b="13334"/>
            <a:stretch>
              <a:fillRect/>
            </a:stretch>
          </xdr:blipFill>
          <xdr:spPr bwMode="auto">
            <a:xfrm>
              <a:off x="12315825" y="68713350"/>
              <a:ext cx="6410325" cy="4762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15</xdr:col>
      <xdr:colOff>1895475</xdr:colOff>
      <xdr:row>294</xdr:row>
      <xdr:rowOff>19049</xdr:rowOff>
    </xdr:from>
    <xdr:to>
      <xdr:col>15</xdr:col>
      <xdr:colOff>4848225</xdr:colOff>
      <xdr:row>294</xdr:row>
      <xdr:rowOff>2905124</xdr:rowOff>
    </xdr:to>
    <xdr:graphicFrame macro="">
      <xdr:nvGraphicFramePr>
        <xdr:cNvPr id="18" name="Graphique 17">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2819401</xdr:colOff>
          <xdr:row>294</xdr:row>
          <xdr:rowOff>1276350</xdr:rowOff>
        </xdr:from>
        <xdr:to>
          <xdr:col>15</xdr:col>
          <xdr:colOff>3981450</xdr:colOff>
          <xdr:row>294</xdr:row>
          <xdr:rowOff>1562100</xdr:rowOff>
        </xdr:to>
        <xdr:pic>
          <xdr:nvPicPr>
            <xdr:cNvPr id="19" name="Image 18">
              <a:extLst>
                <a:ext uri="{FF2B5EF4-FFF2-40B4-BE49-F238E27FC236}">
                  <a16:creationId xmlns:a16="http://schemas.microsoft.com/office/drawing/2014/main" id="{00000000-0008-0000-0800-000013000000}"/>
                </a:ext>
              </a:extLst>
            </xdr:cNvPr>
            <xdr:cNvPicPr>
              <a:picLocks noChangeAspect="1" noChangeArrowheads="1"/>
              <a:extLst>
                <a:ext uri="{84589F7E-364E-4C9E-8A38-B11213B215E9}">
                  <a14:cameraTool cellRange="$L$293" spid="_x0000_s433088"/>
                </a:ext>
              </a:extLst>
            </xdr:cNvPicPr>
          </xdr:nvPicPr>
          <xdr:blipFill rotWithShape="1">
            <a:blip xmlns:r="http://schemas.openxmlformats.org/officeDocument/2006/relationships" r:embed="rId18"/>
            <a:srcRect l="21339" t="5555" r="22031" b="16349"/>
            <a:stretch>
              <a:fillRect/>
            </a:stretch>
          </xdr:blipFill>
          <xdr:spPr bwMode="auto">
            <a:xfrm>
              <a:off x="14944726" y="76409550"/>
              <a:ext cx="1162049" cy="2857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33</xdr:col>
          <xdr:colOff>85725</xdr:colOff>
          <xdr:row>14</xdr:row>
          <xdr:rowOff>171450</xdr:rowOff>
        </xdr:from>
        <xdr:to>
          <xdr:col>49</xdr:col>
          <xdr:colOff>168887</xdr:colOff>
          <xdr:row>17</xdr:row>
          <xdr:rowOff>57150</xdr:rowOff>
        </xdr:to>
        <xdr:pic>
          <xdr:nvPicPr>
            <xdr:cNvPr id="2" name="Image 1">
              <a:extLst>
                <a:ext uri="{FF2B5EF4-FFF2-40B4-BE49-F238E27FC236}">
                  <a16:creationId xmlns:a16="http://schemas.microsoft.com/office/drawing/2014/main" id="{00000000-0008-0000-0900-000002000000}"/>
                </a:ext>
              </a:extLst>
            </xdr:cNvPr>
            <xdr:cNvPicPr>
              <a:picLocks noChangeAspect="1" noChangeArrowheads="1"/>
              <a:extLst>
                <a:ext uri="{84589F7E-364E-4C9E-8A38-B11213B215E9}">
                  <a14:cameraTool cellRange="'CALCULS Eaux usées'!$P$61" spid="_x0000_s645487"/>
                </a:ext>
              </a:extLst>
            </xdr:cNvPicPr>
          </xdr:nvPicPr>
          <xdr:blipFill rotWithShape="1">
            <a:blip xmlns:r="http://schemas.openxmlformats.org/officeDocument/2006/relationships" r:embed="rId1"/>
            <a:srcRect l="13151" t="4154" r="12770" b="3601"/>
            <a:stretch>
              <a:fillRect/>
            </a:stretch>
          </xdr:blipFill>
          <xdr:spPr bwMode="auto">
            <a:xfrm>
              <a:off x="6191250" y="2943225"/>
              <a:ext cx="3407387" cy="1238250"/>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19</xdr:row>
          <xdr:rowOff>26988</xdr:rowOff>
        </xdr:from>
        <xdr:to>
          <xdr:col>49</xdr:col>
          <xdr:colOff>152400</xdr:colOff>
          <xdr:row>20</xdr:row>
          <xdr:rowOff>933450</xdr:rowOff>
        </xdr:to>
        <xdr:pic>
          <xdr:nvPicPr>
            <xdr:cNvPr id="3" name="Image 2">
              <a:extLst>
                <a:ext uri="{FF2B5EF4-FFF2-40B4-BE49-F238E27FC236}">
                  <a16:creationId xmlns:a16="http://schemas.microsoft.com/office/drawing/2014/main" id="{00000000-0008-0000-0900-000003000000}"/>
                </a:ext>
              </a:extLst>
            </xdr:cNvPr>
            <xdr:cNvPicPr>
              <a:picLocks noChangeAspect="1" noChangeArrowheads="1"/>
              <a:extLst>
                <a:ext uri="{84589F7E-364E-4C9E-8A38-B11213B215E9}">
                  <a14:cameraTool cellRange="'CALCULS Eaux usées'!$P$62" spid="_x0000_s645488"/>
                </a:ext>
              </a:extLst>
            </xdr:cNvPicPr>
          </xdr:nvPicPr>
          <xdr:blipFill rotWithShape="1">
            <a:blip xmlns:r="http://schemas.openxmlformats.org/officeDocument/2006/relationships" r:embed="rId2"/>
            <a:srcRect l="11871" t="5762" r="12897" b="2881"/>
            <a:stretch>
              <a:fillRect/>
            </a:stretch>
          </xdr:blipFill>
          <xdr:spPr bwMode="auto">
            <a:xfrm>
              <a:off x="6172200" y="4484688"/>
              <a:ext cx="3409950" cy="1135062"/>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76199</xdr:colOff>
          <xdr:row>14</xdr:row>
          <xdr:rowOff>180974</xdr:rowOff>
        </xdr:from>
        <xdr:to>
          <xdr:col>79</xdr:col>
          <xdr:colOff>133350</xdr:colOff>
          <xdr:row>17</xdr:row>
          <xdr:rowOff>38099</xdr:rowOff>
        </xdr:to>
        <xdr:pic>
          <xdr:nvPicPr>
            <xdr:cNvPr id="4" name="Image 3">
              <a:extLst>
                <a:ext uri="{FF2B5EF4-FFF2-40B4-BE49-F238E27FC236}">
                  <a16:creationId xmlns:a16="http://schemas.microsoft.com/office/drawing/2014/main" id="{00000000-0008-0000-0900-000004000000}"/>
                </a:ext>
              </a:extLst>
            </xdr:cNvPr>
            <xdr:cNvPicPr>
              <a:picLocks noChangeAspect="1" noChangeArrowheads="1"/>
              <a:extLst>
                <a:ext uri="{84589F7E-364E-4C9E-8A38-B11213B215E9}">
                  <a14:cameraTool cellRange="'CALCULS Eaux usées'!$P$63" spid="_x0000_s645489"/>
                </a:ext>
              </a:extLst>
            </xdr:cNvPicPr>
          </xdr:nvPicPr>
          <xdr:blipFill rotWithShape="1">
            <a:blip xmlns:r="http://schemas.openxmlformats.org/officeDocument/2006/relationships" r:embed="rId3"/>
            <a:srcRect l="12187" t="4263" r="12687" b="2509"/>
            <a:stretch>
              <a:fillRect/>
            </a:stretch>
          </xdr:blipFill>
          <xdr:spPr bwMode="auto">
            <a:xfrm>
              <a:off x="10248899" y="2952749"/>
              <a:ext cx="3600451" cy="120967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74611</xdr:colOff>
          <xdr:row>19</xdr:row>
          <xdr:rowOff>9526</xdr:rowOff>
        </xdr:from>
        <xdr:to>
          <xdr:col>79</xdr:col>
          <xdr:colOff>142875</xdr:colOff>
          <xdr:row>20</xdr:row>
          <xdr:rowOff>914400</xdr:rowOff>
        </xdr:to>
        <xdr:pic>
          <xdr:nvPicPr>
            <xdr:cNvPr id="5" name="Image 4">
              <a:extLst>
                <a:ext uri="{FF2B5EF4-FFF2-40B4-BE49-F238E27FC236}">
                  <a16:creationId xmlns:a16="http://schemas.microsoft.com/office/drawing/2014/main" id="{00000000-0008-0000-0900-000005000000}"/>
                </a:ext>
              </a:extLst>
            </xdr:cNvPr>
            <xdr:cNvPicPr>
              <a:picLocks noChangeAspect="1" noChangeArrowheads="1"/>
              <a:extLst>
                <a:ext uri="{84589F7E-364E-4C9E-8A38-B11213B215E9}">
                  <a14:cameraTool cellRange="'CALCULS Eaux usées'!$P$64" spid="_x0000_s645490"/>
                </a:ext>
              </a:extLst>
            </xdr:cNvPicPr>
          </xdr:nvPicPr>
          <xdr:blipFill rotWithShape="1">
            <a:blip xmlns:r="http://schemas.openxmlformats.org/officeDocument/2006/relationships" r:embed="rId4"/>
            <a:srcRect l="11391" t="3699" r="12665" b="4134"/>
            <a:stretch>
              <a:fillRect/>
            </a:stretch>
          </xdr:blipFill>
          <xdr:spPr bwMode="auto">
            <a:xfrm>
              <a:off x="10247311" y="4467226"/>
              <a:ext cx="3611564" cy="1133474"/>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55561</xdr:colOff>
          <xdr:row>47</xdr:row>
          <xdr:rowOff>1328</xdr:rowOff>
        </xdr:from>
        <xdr:to>
          <xdr:col>37</xdr:col>
          <xdr:colOff>161925</xdr:colOff>
          <xdr:row>48</xdr:row>
          <xdr:rowOff>28574</xdr:rowOff>
        </xdr:to>
        <xdr:pic>
          <xdr:nvPicPr>
            <xdr:cNvPr id="6" name="Image 5">
              <a:extLst>
                <a:ext uri="{FF2B5EF4-FFF2-40B4-BE49-F238E27FC236}">
                  <a16:creationId xmlns:a16="http://schemas.microsoft.com/office/drawing/2014/main" id="{00000000-0008-0000-0900-000006000000}"/>
                </a:ext>
              </a:extLst>
            </xdr:cNvPr>
            <xdr:cNvPicPr>
              <a:picLocks noChangeAspect="1" noChangeArrowheads="1"/>
              <a:extLst>
                <a:ext uri="{84589F7E-364E-4C9E-8A38-B11213B215E9}">
                  <a14:cameraTool cellRange="'CALCULS Eaux usées'!$Q$150:$AE$167" spid="_x0000_s645491"/>
                </a:ext>
              </a:extLst>
            </xdr:cNvPicPr>
          </xdr:nvPicPr>
          <xdr:blipFill rotWithShape="1">
            <a:blip xmlns:r="http://schemas.openxmlformats.org/officeDocument/2006/relationships" r:embed="rId5"/>
            <a:srcRect l="2009" b="1581"/>
            <a:stretch>
              <a:fillRect/>
            </a:stretch>
          </xdr:blipFill>
          <xdr:spPr bwMode="auto">
            <a:xfrm>
              <a:off x="674686" y="10316903"/>
              <a:ext cx="6230939" cy="1808421"/>
            </a:xfrm>
            <a:prstGeom prst="rect">
              <a:avLst/>
            </a:prstGeom>
            <a:noFill/>
            <a:ln>
              <a:solidFill>
                <a:schemeClr val="tx2">
                  <a:lumMod val="60000"/>
                  <a:lumOff val="40000"/>
                </a:schemeClr>
              </a:solid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149474</xdr:colOff>
          <xdr:row>46</xdr:row>
          <xdr:rowOff>103189</xdr:rowOff>
        </xdr:from>
        <xdr:to>
          <xdr:col>80</xdr:col>
          <xdr:colOff>66675</xdr:colOff>
          <xdr:row>48</xdr:row>
          <xdr:rowOff>19049</xdr:rowOff>
        </xdr:to>
        <xdr:pic>
          <xdr:nvPicPr>
            <xdr:cNvPr id="7" name="Image 6">
              <a:extLst>
                <a:ext uri="{FF2B5EF4-FFF2-40B4-BE49-F238E27FC236}">
                  <a16:creationId xmlns:a16="http://schemas.microsoft.com/office/drawing/2014/main" id="{00000000-0008-0000-0900-000007000000}"/>
                </a:ext>
              </a:extLst>
            </xdr:cNvPr>
            <xdr:cNvPicPr>
              <a:picLocks noChangeAspect="1" noChangeArrowheads="1"/>
              <a:extLst>
                <a:ext uri="{84589F7E-364E-4C9E-8A38-B11213B215E9}">
                  <a14:cameraTool cellRange="'CALCULS Eaux usées'!$Q$118:$AE$134" spid="_x0000_s645492"/>
                </a:ext>
              </a:extLst>
            </xdr:cNvPicPr>
          </xdr:nvPicPr>
          <xdr:blipFill rotWithShape="1">
            <a:blip xmlns:r="http://schemas.openxmlformats.org/officeDocument/2006/relationships" r:embed="rId6"/>
            <a:srcRect b="1905"/>
            <a:stretch>
              <a:fillRect/>
            </a:stretch>
          </xdr:blipFill>
          <xdr:spPr bwMode="auto">
            <a:xfrm>
              <a:off x="7588499" y="10304464"/>
              <a:ext cx="6413251" cy="1811335"/>
            </a:xfrm>
            <a:prstGeom prst="rect">
              <a:avLst/>
            </a:prstGeom>
            <a:noFill/>
            <a:ln>
              <a:solidFill>
                <a:schemeClr val="tx2">
                  <a:lumMod val="60000"/>
                  <a:lumOff val="40000"/>
                </a:schemeClr>
              </a:solid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121226</xdr:colOff>
          <xdr:row>56</xdr:row>
          <xdr:rowOff>88026</xdr:rowOff>
        </xdr:from>
        <xdr:to>
          <xdr:col>27</xdr:col>
          <xdr:colOff>85725</xdr:colOff>
          <xdr:row>70</xdr:row>
          <xdr:rowOff>158149</xdr:rowOff>
        </xdr:to>
        <xdr:pic>
          <xdr:nvPicPr>
            <xdr:cNvPr id="8" name="Image 7">
              <a:extLst>
                <a:ext uri="{FF2B5EF4-FFF2-40B4-BE49-F238E27FC236}">
                  <a16:creationId xmlns:a16="http://schemas.microsoft.com/office/drawing/2014/main" id="{00000000-0008-0000-0900-000008000000}"/>
                </a:ext>
              </a:extLst>
            </xdr:cNvPr>
            <xdr:cNvPicPr>
              <a:picLocks noChangeAspect="1" noChangeArrowheads="1"/>
              <a:extLst>
                <a:ext uri="{84589F7E-364E-4C9E-8A38-B11213B215E9}">
                  <a14:cameraTool cellRange="'CALCULS Eaux usées'!$P$214" spid="_x0000_s645493"/>
                </a:ext>
              </a:extLst>
            </xdr:cNvPicPr>
          </xdr:nvPicPr>
          <xdr:blipFill rotWithShape="1">
            <a:blip xmlns:r="http://schemas.openxmlformats.org/officeDocument/2006/relationships" r:embed="rId7"/>
            <a:srcRect l="1386" t="2147" r="1091" b="5551"/>
            <a:stretch>
              <a:fillRect/>
            </a:stretch>
          </xdr:blipFill>
          <xdr:spPr bwMode="auto">
            <a:xfrm>
              <a:off x="607001" y="13623051"/>
              <a:ext cx="4831774" cy="2489473"/>
            </a:xfrm>
            <a:prstGeom prst="rect">
              <a:avLst/>
            </a:prstGeom>
            <a:noFill/>
            <a:ln w="9525">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11</xdr:row>
          <xdr:rowOff>260271</xdr:rowOff>
        </xdr:from>
        <xdr:to>
          <xdr:col>25</xdr:col>
          <xdr:colOff>142875</xdr:colOff>
          <xdr:row>20</xdr:row>
          <xdr:rowOff>162554</xdr:rowOff>
        </xdr:to>
        <xdr:pic>
          <xdr:nvPicPr>
            <xdr:cNvPr id="9" name="Image 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CALCULS Eaux usées'!$P$48:$Q$48" spid="_x0000_s645494"/>
                </a:ext>
              </a:extLst>
            </xdr:cNvPicPr>
          </xdr:nvPicPr>
          <xdr:blipFill rotWithShape="1">
            <a:blip xmlns:r="http://schemas.openxmlformats.org/officeDocument/2006/relationships" r:embed="rId8"/>
            <a:srcRect l="701" t="1609" r="24916" b="20056"/>
            <a:stretch>
              <a:fillRect/>
            </a:stretch>
          </xdr:blipFill>
          <xdr:spPr bwMode="auto">
            <a:xfrm>
              <a:off x="752475" y="2384346"/>
              <a:ext cx="4495800" cy="2464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20</xdr:row>
          <xdr:rowOff>119063</xdr:rowOff>
        </xdr:from>
        <xdr:to>
          <xdr:col>25</xdr:col>
          <xdr:colOff>142875</xdr:colOff>
          <xdr:row>21</xdr:row>
          <xdr:rowOff>57150</xdr:rowOff>
        </xdr:to>
        <xdr:pic>
          <xdr:nvPicPr>
            <xdr:cNvPr id="10" name="Image 9">
              <a:extLst>
                <a:ext uri="{FF2B5EF4-FFF2-40B4-BE49-F238E27FC236}">
                  <a16:creationId xmlns:a16="http://schemas.microsoft.com/office/drawing/2014/main" id="{00000000-0008-0000-0900-00000A000000}"/>
                </a:ext>
              </a:extLst>
            </xdr:cNvPr>
            <xdr:cNvPicPr>
              <a:picLocks noChangeAspect="1" noChangeArrowheads="1"/>
              <a:extLst>
                <a:ext uri="{84589F7E-364E-4C9E-8A38-B11213B215E9}">
                  <a14:cameraTool cellRange="'CALCULS Eaux usées'!$D$50:$O$55" spid="_x0000_s645495"/>
                </a:ext>
              </a:extLst>
            </xdr:cNvPicPr>
          </xdr:nvPicPr>
          <xdr:blipFill rotWithShape="1">
            <a:blip xmlns:r="http://schemas.openxmlformats.org/officeDocument/2006/relationships" r:embed="rId9"/>
            <a:srcRect l="9735" r="21407" b="4975"/>
            <a:stretch>
              <a:fillRect/>
            </a:stretch>
          </xdr:blipFill>
          <xdr:spPr bwMode="auto">
            <a:xfrm>
              <a:off x="590550" y="4805363"/>
              <a:ext cx="4657725" cy="928687"/>
            </a:xfrm>
            <a:prstGeom prst="rect">
              <a:avLst/>
            </a:prstGeom>
            <a:noFill/>
            <a:ln>
              <a:solidFill>
                <a:schemeClr val="tx2">
                  <a:lumMod val="60000"/>
                  <a:lumOff val="40000"/>
                </a:schemeClr>
              </a:solid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104773</xdr:colOff>
          <xdr:row>19</xdr:row>
          <xdr:rowOff>114300</xdr:rowOff>
        </xdr:from>
        <xdr:to>
          <xdr:col>4</xdr:col>
          <xdr:colOff>133349</xdr:colOff>
          <xdr:row>20</xdr:row>
          <xdr:rowOff>109540</xdr:rowOff>
        </xdr:to>
        <xdr:pic>
          <xdr:nvPicPr>
            <xdr:cNvPr id="11" name="Image 10">
              <a:extLst>
                <a:ext uri="{FF2B5EF4-FFF2-40B4-BE49-F238E27FC236}">
                  <a16:creationId xmlns:a16="http://schemas.microsoft.com/office/drawing/2014/main" id="{00000000-0008-0000-0900-00000B000000}"/>
                </a:ext>
              </a:extLst>
            </xdr:cNvPr>
            <xdr:cNvPicPr>
              <a:picLocks noChangeAspect="1" noChangeArrowheads="1"/>
              <a:extLst>
                <a:ext uri="{84589F7E-364E-4C9E-8A38-B11213B215E9}">
                  <a14:cameraTool cellRange="'CALCULS Eaux usées'!$E$49" spid="_x0000_s645496"/>
                </a:ext>
              </a:extLst>
            </xdr:cNvPicPr>
          </xdr:nvPicPr>
          <xdr:blipFill rotWithShape="1">
            <a:blip xmlns:r="http://schemas.openxmlformats.org/officeDocument/2006/relationships" r:embed="rId10"/>
            <a:srcRect t="20409" b="22448"/>
            <a:stretch>
              <a:fillRect/>
            </a:stretch>
          </xdr:blipFill>
          <xdr:spPr bwMode="auto">
            <a:xfrm>
              <a:off x="590548" y="4572000"/>
              <a:ext cx="1371601" cy="223840"/>
            </a:xfrm>
            <a:prstGeom prst="rect">
              <a:avLst/>
            </a:prstGeom>
            <a:noFill/>
            <a:ln>
              <a:solidFill>
                <a:schemeClr val="tx2">
                  <a:lumMod val="60000"/>
                  <a:lumOff val="40000"/>
                </a:schemeClr>
              </a:solid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79375</xdr:colOff>
          <xdr:row>80</xdr:row>
          <xdr:rowOff>7938</xdr:rowOff>
        </xdr:from>
        <xdr:to>
          <xdr:col>27</xdr:col>
          <xdr:colOff>180975</xdr:colOff>
          <xdr:row>88</xdr:row>
          <xdr:rowOff>28575</xdr:rowOff>
        </xdr:to>
        <xdr:pic>
          <xdr:nvPicPr>
            <xdr:cNvPr id="12" name="Image 11">
              <a:extLst>
                <a:ext uri="{FF2B5EF4-FFF2-40B4-BE49-F238E27FC236}">
                  <a16:creationId xmlns:a16="http://schemas.microsoft.com/office/drawing/2014/main" id="{00000000-0008-0000-0900-00000C000000}"/>
                </a:ext>
              </a:extLst>
            </xdr:cNvPr>
            <xdr:cNvPicPr>
              <a:picLocks noChangeAspect="1" noChangeArrowheads="1"/>
              <a:extLst>
                <a:ext uri="{84589F7E-364E-4C9E-8A38-B11213B215E9}">
                  <a14:cameraTool cellRange="'CALCULS Eaux usées'!$P$251:$Q$251" spid="_x0000_s645497"/>
                </a:ext>
              </a:extLst>
            </xdr:cNvPicPr>
          </xdr:nvPicPr>
          <xdr:blipFill rotWithShape="1">
            <a:blip xmlns:r="http://schemas.openxmlformats.org/officeDocument/2006/relationships" r:embed="rId11"/>
            <a:srcRect l="3253" t="2714" r="2648" b="2823"/>
            <a:stretch>
              <a:fillRect/>
            </a:stretch>
          </xdr:blipFill>
          <xdr:spPr bwMode="auto">
            <a:xfrm>
              <a:off x="698500" y="17714913"/>
              <a:ext cx="4835525" cy="105886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50802</xdr:colOff>
          <xdr:row>80</xdr:row>
          <xdr:rowOff>19051</xdr:rowOff>
        </xdr:from>
        <xdr:to>
          <xdr:col>57</xdr:col>
          <xdr:colOff>152401</xdr:colOff>
          <xdr:row>88</xdr:row>
          <xdr:rowOff>38100</xdr:rowOff>
        </xdr:to>
        <xdr:pic>
          <xdr:nvPicPr>
            <xdr:cNvPr id="13" name="Image 12">
              <a:extLst>
                <a:ext uri="{FF2B5EF4-FFF2-40B4-BE49-F238E27FC236}">
                  <a16:creationId xmlns:a16="http://schemas.microsoft.com/office/drawing/2014/main" id="{00000000-0008-0000-0900-00000D000000}"/>
                </a:ext>
              </a:extLst>
            </xdr:cNvPr>
            <xdr:cNvPicPr>
              <a:picLocks noChangeAspect="1" noChangeArrowheads="1"/>
              <a:extLst>
                <a:ext uri="{84589F7E-364E-4C9E-8A38-B11213B215E9}">
                  <a14:cameraTool cellRange="'CALCULS Eaux usées'!$P$268:$Q$268" spid="_x0000_s645498"/>
                </a:ext>
              </a:extLst>
            </xdr:cNvPicPr>
          </xdr:nvPicPr>
          <xdr:blipFill rotWithShape="1">
            <a:blip xmlns:r="http://schemas.openxmlformats.org/officeDocument/2006/relationships" r:embed="rId12"/>
            <a:srcRect l="1597" t="1653" r="4290" b="2532"/>
            <a:stretch>
              <a:fillRect/>
            </a:stretch>
          </xdr:blipFill>
          <xdr:spPr bwMode="auto">
            <a:xfrm>
              <a:off x="5908677" y="17726026"/>
              <a:ext cx="4664074" cy="105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71021</xdr:colOff>
          <xdr:row>78</xdr:row>
          <xdr:rowOff>58738</xdr:rowOff>
        </xdr:from>
        <xdr:to>
          <xdr:col>80</xdr:col>
          <xdr:colOff>133350</xdr:colOff>
          <xdr:row>89</xdr:row>
          <xdr:rowOff>34121</xdr:rowOff>
        </xdr:to>
        <xdr:pic>
          <xdr:nvPicPr>
            <xdr:cNvPr id="14" name="Image 13">
              <a:extLst>
                <a:ext uri="{FF2B5EF4-FFF2-40B4-BE49-F238E27FC236}">
                  <a16:creationId xmlns:a16="http://schemas.microsoft.com/office/drawing/2014/main" id="{00000000-0008-0000-0900-00000E000000}"/>
                </a:ext>
              </a:extLst>
            </xdr:cNvPr>
            <xdr:cNvPicPr>
              <a:picLocks noChangeAspect="1" noChangeArrowheads="1"/>
              <a:extLst>
                <a:ext uri="{84589F7E-364E-4C9E-8A38-B11213B215E9}">
                  <a14:cameraTool cellRange="'CALCULS Eaux usées'!$Q$297:$AA$304" spid="_x0000_s645499"/>
                </a:ext>
              </a:extLst>
            </xdr:cNvPicPr>
          </xdr:nvPicPr>
          <xdr:blipFill rotWithShape="1">
            <a:blip xmlns:r="http://schemas.openxmlformats.org/officeDocument/2006/relationships" r:embed="rId13"/>
            <a:srcRect l="26588" t="12664" r="6284" b="4747"/>
            <a:stretch>
              <a:fillRect/>
            </a:stretch>
          </xdr:blipFill>
          <xdr:spPr bwMode="auto">
            <a:xfrm>
              <a:off x="11091446" y="17422813"/>
              <a:ext cx="2976979" cy="146128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28806</xdr:colOff>
          <xdr:row>67</xdr:row>
          <xdr:rowOff>31750</xdr:rowOff>
        </xdr:from>
        <xdr:to>
          <xdr:col>80</xdr:col>
          <xdr:colOff>161925</xdr:colOff>
          <xdr:row>78</xdr:row>
          <xdr:rowOff>57150</xdr:rowOff>
        </xdr:to>
        <xdr:pic>
          <xdr:nvPicPr>
            <xdr:cNvPr id="15" name="Image 14">
              <a:extLst>
                <a:ext uri="{FF2B5EF4-FFF2-40B4-BE49-F238E27FC236}">
                  <a16:creationId xmlns:a16="http://schemas.microsoft.com/office/drawing/2014/main" id="{00000000-0008-0000-0900-00000F000000}"/>
                </a:ext>
              </a:extLst>
            </xdr:cNvPr>
            <xdr:cNvPicPr>
              <a:picLocks noChangeAspect="1" noChangeArrowheads="1"/>
              <a:extLst>
                <a:ext uri="{84589F7E-364E-4C9E-8A38-B11213B215E9}">
                  <a14:cameraTool cellRange="'CALCULS Eaux usées'!$E$279:$K$292" spid="_x0000_s645500"/>
                </a:ext>
              </a:extLst>
            </xdr:cNvPicPr>
          </xdr:nvPicPr>
          <xdr:blipFill rotWithShape="1">
            <a:blip xmlns:r="http://schemas.openxmlformats.org/officeDocument/2006/relationships" r:embed="rId14"/>
            <a:srcRect l="6115" t="4097" r="15386" b="4762"/>
            <a:stretch>
              <a:fillRect/>
            </a:stretch>
          </xdr:blipFill>
          <xdr:spPr bwMode="auto">
            <a:xfrm>
              <a:off x="11049231" y="15509875"/>
              <a:ext cx="3047769" cy="19113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28574</xdr:colOff>
          <xdr:row>56</xdr:row>
          <xdr:rowOff>209550</xdr:rowOff>
        </xdr:from>
        <xdr:to>
          <xdr:col>80</xdr:col>
          <xdr:colOff>179027</xdr:colOff>
          <xdr:row>68</xdr:row>
          <xdr:rowOff>85725</xdr:rowOff>
        </xdr:to>
        <xdr:pic>
          <xdr:nvPicPr>
            <xdr:cNvPr id="16" name="Image 15">
              <a:extLst>
                <a:ext uri="{FF2B5EF4-FFF2-40B4-BE49-F238E27FC236}">
                  <a16:creationId xmlns:a16="http://schemas.microsoft.com/office/drawing/2014/main" id="{00000000-0008-0000-0900-000010000000}"/>
                </a:ext>
              </a:extLst>
            </xdr:cNvPr>
            <xdr:cNvPicPr>
              <a:picLocks noChangeAspect="1" noChangeArrowheads="1"/>
              <a:extLst>
                <a:ext uri="{84589F7E-364E-4C9E-8A38-B11213B215E9}">
                  <a14:cameraTool cellRange="'CALCULS Eaux usées'!$P$295" spid="_x0000_s645501"/>
                </a:ext>
              </a:extLst>
            </xdr:cNvPicPr>
          </xdr:nvPicPr>
          <xdr:blipFill rotWithShape="1">
            <a:blip xmlns:r="http://schemas.openxmlformats.org/officeDocument/2006/relationships" r:embed="rId15"/>
            <a:srcRect l="39090" t="1067" r="2755" b="4000"/>
            <a:stretch>
              <a:fillRect/>
            </a:stretch>
          </xdr:blipFill>
          <xdr:spPr bwMode="auto">
            <a:xfrm>
              <a:off x="12058649" y="13744575"/>
              <a:ext cx="2055453" cy="1933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55561</xdr:colOff>
          <xdr:row>98</xdr:row>
          <xdr:rowOff>55562</xdr:rowOff>
        </xdr:from>
        <xdr:to>
          <xdr:col>47</xdr:col>
          <xdr:colOff>154349</xdr:colOff>
          <xdr:row>100</xdr:row>
          <xdr:rowOff>0</xdr:rowOff>
        </xdr:to>
        <xdr:pic>
          <xdr:nvPicPr>
            <xdr:cNvPr id="17" name="Image 16">
              <a:extLst>
                <a:ext uri="{FF2B5EF4-FFF2-40B4-BE49-F238E27FC236}">
                  <a16:creationId xmlns:a16="http://schemas.microsoft.com/office/drawing/2014/main" id="{00000000-0008-0000-0900-000011000000}"/>
                </a:ext>
              </a:extLst>
            </xdr:cNvPr>
            <xdr:cNvPicPr>
              <a:picLocks noChangeAspect="1" noChangeArrowheads="1"/>
              <a:extLst>
                <a:ext uri="{84589F7E-364E-4C9E-8A38-B11213B215E9}">
                  <a14:cameraTool cellRange="'CALCULS Eaux usées'!$H$351:$O$355" spid="_x0000_s645502"/>
                </a:ext>
              </a:extLst>
            </xdr:cNvPicPr>
          </xdr:nvPicPr>
          <xdr:blipFill rotWithShape="1">
            <a:blip xmlns:r="http://schemas.openxmlformats.org/officeDocument/2006/relationships" r:embed="rId16"/>
            <a:srcRect l="10808" t="4991" r="10733" b="3287"/>
            <a:stretch>
              <a:fillRect/>
            </a:stretch>
          </xdr:blipFill>
          <xdr:spPr bwMode="auto">
            <a:xfrm>
              <a:off x="5160961" y="20305712"/>
              <a:ext cx="4175488" cy="21351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111127</xdr:colOff>
          <xdr:row>98</xdr:row>
          <xdr:rowOff>71437</xdr:rowOff>
        </xdr:from>
        <xdr:to>
          <xdr:col>80</xdr:col>
          <xdr:colOff>85725</xdr:colOff>
          <xdr:row>100</xdr:row>
          <xdr:rowOff>28575</xdr:rowOff>
        </xdr:to>
        <xdr:pic>
          <xdr:nvPicPr>
            <xdr:cNvPr id="18" name="Image 17">
              <a:extLst>
                <a:ext uri="{FF2B5EF4-FFF2-40B4-BE49-F238E27FC236}">
                  <a16:creationId xmlns:a16="http://schemas.microsoft.com/office/drawing/2014/main" id="{00000000-0008-0000-0900-000012000000}"/>
                </a:ext>
              </a:extLst>
            </xdr:cNvPr>
            <xdr:cNvPicPr>
              <a:picLocks noChangeAspect="1" noChangeArrowheads="1"/>
              <a:extLst>
                <a:ext uri="{84589F7E-364E-4C9E-8A38-B11213B215E9}">
                  <a14:cameraTool cellRange="'CALCULS Eaux usées'!$H$375:$O$379" spid="_x0000_s645503"/>
                </a:ext>
              </a:extLst>
            </xdr:cNvPicPr>
          </xdr:nvPicPr>
          <xdr:blipFill rotWithShape="1">
            <a:blip xmlns:r="http://schemas.openxmlformats.org/officeDocument/2006/relationships" r:embed="rId17"/>
            <a:srcRect l="10815" t="5330" r="10560" b="3343"/>
            <a:stretch>
              <a:fillRect/>
            </a:stretch>
          </xdr:blipFill>
          <xdr:spPr bwMode="auto">
            <a:xfrm>
              <a:off x="9788527" y="20321587"/>
              <a:ext cx="4232273" cy="21478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15873</xdr:colOff>
          <xdr:row>98</xdr:row>
          <xdr:rowOff>31750</xdr:rowOff>
        </xdr:from>
        <xdr:to>
          <xdr:col>21</xdr:col>
          <xdr:colOff>131178</xdr:colOff>
          <xdr:row>99</xdr:row>
          <xdr:rowOff>57150</xdr:rowOff>
        </xdr:to>
        <xdr:pic>
          <xdr:nvPicPr>
            <xdr:cNvPr id="19" name="Image 18">
              <a:extLst>
                <a:ext uri="{FF2B5EF4-FFF2-40B4-BE49-F238E27FC236}">
                  <a16:creationId xmlns:a16="http://schemas.microsoft.com/office/drawing/2014/main" id="{00000000-0008-0000-0900-000013000000}"/>
                </a:ext>
              </a:extLst>
            </xdr:cNvPr>
            <xdr:cNvPicPr>
              <a:picLocks noChangeAspect="1" noChangeArrowheads="1"/>
              <a:extLst>
                <a:ext uri="{84589F7E-364E-4C9E-8A38-B11213B215E9}">
                  <a14:cameraTool cellRange="'CALCULS Eaux usées'!$H$327:$O$331" spid="_x0000_s645504"/>
                </a:ext>
              </a:extLst>
            </xdr:cNvPicPr>
          </xdr:nvPicPr>
          <xdr:blipFill rotWithShape="1">
            <a:blip xmlns:r="http://schemas.openxmlformats.org/officeDocument/2006/relationships" r:embed="rId18"/>
            <a:srcRect l="11213" t="4211" r="10805" b="3684"/>
            <a:stretch>
              <a:fillRect/>
            </a:stretch>
          </xdr:blipFill>
          <xdr:spPr bwMode="auto">
            <a:xfrm>
              <a:off x="634998" y="20281900"/>
              <a:ext cx="4106280" cy="2139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114302</xdr:colOff>
          <xdr:row>47</xdr:row>
          <xdr:rowOff>209552</xdr:rowOff>
        </xdr:from>
        <xdr:to>
          <xdr:col>15</xdr:col>
          <xdr:colOff>2590800</xdr:colOff>
          <xdr:row>47</xdr:row>
          <xdr:rowOff>2657476</xdr:rowOff>
        </xdr:to>
        <xdr:pic>
          <xdr:nvPicPr>
            <xdr:cNvPr id="2" name="Image 1">
              <a:extLst>
                <a:ext uri="{FF2B5EF4-FFF2-40B4-BE49-F238E27FC236}">
                  <a16:creationId xmlns:a16="http://schemas.microsoft.com/office/drawing/2014/main" id="{00000000-0008-0000-0B00-000002000000}"/>
                </a:ext>
              </a:extLst>
            </xdr:cNvPr>
            <xdr:cNvPicPr>
              <a:picLocks noChangeAspect="1" noChangeArrowheads="1"/>
              <a:extLst>
                <a:ext uri="{84589F7E-364E-4C9E-8A38-B11213B215E9}">
                  <a14:cameraTool cellRange="$K$20:$O$33" spid="_x0000_s442255"/>
                </a:ext>
              </a:extLst>
            </xdr:cNvPicPr>
          </xdr:nvPicPr>
          <xdr:blipFill rotWithShape="1">
            <a:blip xmlns:r="http://schemas.openxmlformats.org/officeDocument/2006/relationships" r:embed="rId1"/>
            <a:srcRect l="12408" t="14107" r="10463" b="313"/>
            <a:stretch>
              <a:fillRect/>
            </a:stretch>
          </xdr:blipFill>
          <xdr:spPr bwMode="auto">
            <a:xfrm>
              <a:off x="12239627" y="11449052"/>
              <a:ext cx="2476498" cy="244792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15</xdr:col>
      <xdr:colOff>2333624</xdr:colOff>
      <xdr:row>47</xdr:row>
      <xdr:rowOff>85725</xdr:rowOff>
    </xdr:from>
    <xdr:to>
      <xdr:col>15</xdr:col>
      <xdr:colOff>4876799</xdr:colOff>
      <xdr:row>47</xdr:row>
      <xdr:rowOff>2724151</xdr:rowOff>
    </xdr:to>
    <xdr:graphicFrame macro="">
      <xdr:nvGraphicFramePr>
        <xdr:cNvPr id="3" name="Graphique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60</xdr:row>
      <xdr:rowOff>19049</xdr:rowOff>
    </xdr:from>
    <xdr:to>
      <xdr:col>15</xdr:col>
      <xdr:colOff>4362450</xdr:colOff>
      <xdr:row>61</xdr:row>
      <xdr:rowOff>0</xdr:rowOff>
    </xdr:to>
    <xdr:graphicFrame macro="">
      <xdr:nvGraphicFramePr>
        <xdr:cNvPr id="4" name="Graphique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19050</xdr:colOff>
      <xdr:row>61</xdr:row>
      <xdr:rowOff>28575</xdr:rowOff>
    </xdr:from>
    <xdr:to>
      <xdr:col>15</xdr:col>
      <xdr:colOff>4352926</xdr:colOff>
      <xdr:row>61</xdr:row>
      <xdr:rowOff>1343024</xdr:rowOff>
    </xdr:to>
    <xdr:graphicFrame macro="">
      <xdr:nvGraphicFramePr>
        <xdr:cNvPr id="5" name="Graphique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9525</xdr:colOff>
      <xdr:row>62</xdr:row>
      <xdr:rowOff>28574</xdr:rowOff>
    </xdr:from>
    <xdr:to>
      <xdr:col>15</xdr:col>
      <xdr:colOff>4362450</xdr:colOff>
      <xdr:row>62</xdr:row>
      <xdr:rowOff>1343023</xdr:rowOff>
    </xdr:to>
    <xdr:graphicFrame macro="">
      <xdr:nvGraphicFramePr>
        <xdr:cNvPr id="6" name="Graphique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63</xdr:row>
      <xdr:rowOff>9524</xdr:rowOff>
    </xdr:from>
    <xdr:to>
      <xdr:col>15</xdr:col>
      <xdr:colOff>4371976</xdr:colOff>
      <xdr:row>63</xdr:row>
      <xdr:rowOff>1343024</xdr:rowOff>
    </xdr:to>
    <xdr:graphicFrame macro="">
      <xdr:nvGraphicFramePr>
        <xdr:cNvPr id="7" name="Graphique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66674</xdr:colOff>
      <xdr:row>213</xdr:row>
      <xdr:rowOff>47624</xdr:rowOff>
    </xdr:from>
    <xdr:to>
      <xdr:col>15</xdr:col>
      <xdr:colOff>4933950</xdr:colOff>
      <xdr:row>213</xdr:row>
      <xdr:rowOff>2743199</xdr:rowOff>
    </xdr:to>
    <xdr:graphicFrame macro="">
      <xdr:nvGraphicFramePr>
        <xdr:cNvPr id="8" name="Graphique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52386</xdr:colOff>
      <xdr:row>250</xdr:row>
      <xdr:rowOff>28574</xdr:rowOff>
    </xdr:from>
    <xdr:to>
      <xdr:col>16</xdr:col>
      <xdr:colOff>1809750</xdr:colOff>
      <xdr:row>251</xdr:row>
      <xdr:rowOff>0</xdr:rowOff>
    </xdr:to>
    <xdr:graphicFrame macro="">
      <xdr:nvGraphicFramePr>
        <xdr:cNvPr id="9" name="Graphique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19050</xdr:colOff>
      <xdr:row>328</xdr:row>
      <xdr:rowOff>142875</xdr:rowOff>
    </xdr:from>
    <xdr:to>
      <xdr:col>13</xdr:col>
      <xdr:colOff>762000</xdr:colOff>
      <xdr:row>329</xdr:row>
      <xdr:rowOff>0</xdr:rowOff>
    </xdr:to>
    <xdr:graphicFrame macro="">
      <xdr:nvGraphicFramePr>
        <xdr:cNvPr id="10" name="Graphique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19050</xdr:colOff>
      <xdr:row>352</xdr:row>
      <xdr:rowOff>133350</xdr:rowOff>
    </xdr:from>
    <xdr:to>
      <xdr:col>13</xdr:col>
      <xdr:colOff>762000</xdr:colOff>
      <xdr:row>353</xdr:row>
      <xdr:rowOff>0</xdr:rowOff>
    </xdr:to>
    <xdr:graphicFrame macro="">
      <xdr:nvGraphicFramePr>
        <xdr:cNvPr id="11" name="Graphique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19050</xdr:colOff>
      <xdr:row>376</xdr:row>
      <xdr:rowOff>180975</xdr:rowOff>
    </xdr:from>
    <xdr:to>
      <xdr:col>13</xdr:col>
      <xdr:colOff>762000</xdr:colOff>
      <xdr:row>377</xdr:row>
      <xdr:rowOff>0</xdr:rowOff>
    </xdr:to>
    <xdr:graphicFrame macro="">
      <xdr:nvGraphicFramePr>
        <xdr:cNvPr id="12" name="Graphique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33336</xdr:colOff>
      <xdr:row>149</xdr:row>
      <xdr:rowOff>171449</xdr:rowOff>
    </xdr:from>
    <xdr:to>
      <xdr:col>30</xdr:col>
      <xdr:colOff>28575</xdr:colOff>
      <xdr:row>162</xdr:row>
      <xdr:rowOff>66674</xdr:rowOff>
    </xdr:to>
    <xdr:graphicFrame macro="">
      <xdr:nvGraphicFramePr>
        <xdr:cNvPr id="13" name="Graphique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3076575</xdr:colOff>
          <xdr:row>47</xdr:row>
          <xdr:rowOff>1200149</xdr:rowOff>
        </xdr:from>
        <xdr:to>
          <xdr:col>15</xdr:col>
          <xdr:colOff>4210050</xdr:colOff>
          <xdr:row>47</xdr:row>
          <xdr:rowOff>1595889</xdr:rowOff>
        </xdr:to>
        <xdr:pic>
          <xdr:nvPicPr>
            <xdr:cNvPr id="14" name="Image 13">
              <a:extLst>
                <a:ext uri="{FF2B5EF4-FFF2-40B4-BE49-F238E27FC236}">
                  <a16:creationId xmlns:a16="http://schemas.microsoft.com/office/drawing/2014/main" id="{00000000-0008-0000-0B00-00000E000000}"/>
                </a:ext>
              </a:extLst>
            </xdr:cNvPr>
            <xdr:cNvPicPr>
              <a:picLocks noChangeAspect="1" noChangeArrowheads="1"/>
              <a:extLst>
                <a:ext uri="{84589F7E-364E-4C9E-8A38-B11213B215E9}">
                  <a14:cameraTool cellRange="$E$28" spid="_x0000_s442256"/>
                </a:ext>
              </a:extLst>
            </xdr:cNvPicPr>
          </xdr:nvPicPr>
          <xdr:blipFill rotWithShape="1">
            <a:blip xmlns:r="http://schemas.openxmlformats.org/officeDocument/2006/relationships" r:embed="rId13"/>
            <a:srcRect l="11299" r="11299" b="7318"/>
            <a:stretch>
              <a:fillRect/>
            </a:stretch>
          </xdr:blipFill>
          <xdr:spPr bwMode="auto">
            <a:xfrm>
              <a:off x="15201900" y="12439649"/>
              <a:ext cx="1133475" cy="39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266701</xdr:colOff>
          <xdr:row>250</xdr:row>
          <xdr:rowOff>965300</xdr:rowOff>
        </xdr:from>
        <xdr:to>
          <xdr:col>16</xdr:col>
          <xdr:colOff>1706699</xdr:colOff>
          <xdr:row>250</xdr:row>
          <xdr:rowOff>1409700</xdr:rowOff>
        </xdr:to>
        <xdr:pic>
          <xdr:nvPicPr>
            <xdr:cNvPr id="15" name="Image 14">
              <a:extLst>
                <a:ext uri="{FF2B5EF4-FFF2-40B4-BE49-F238E27FC236}">
                  <a16:creationId xmlns:a16="http://schemas.microsoft.com/office/drawing/2014/main" id="{00000000-0008-0000-0B00-00000F000000}"/>
                </a:ext>
              </a:extLst>
            </xdr:cNvPr>
            <xdr:cNvPicPr>
              <a:picLocks noChangeAspect="1" noChangeArrowheads="1"/>
              <a:extLst>
                <a:ext uri="{84589F7E-364E-4C9E-8A38-B11213B215E9}">
                  <a14:cameraTool cellRange="$E$246:$P$249" spid="_x0000_s442257"/>
                </a:ext>
              </a:extLst>
            </xdr:cNvPicPr>
          </xdr:nvPicPr>
          <xdr:blipFill rotWithShape="1">
            <a:blip xmlns:r="http://schemas.openxmlformats.org/officeDocument/2006/relationships" r:embed="rId14"/>
            <a:srcRect l="3902" t="17778" r="35889" b="14445"/>
            <a:stretch>
              <a:fillRect/>
            </a:stretch>
          </xdr:blipFill>
          <xdr:spPr bwMode="auto">
            <a:xfrm>
              <a:off x="12392026" y="64011275"/>
              <a:ext cx="6392998" cy="4444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15</xdr:col>
      <xdr:colOff>0</xdr:colOff>
      <xdr:row>267</xdr:row>
      <xdr:rowOff>0</xdr:rowOff>
    </xdr:from>
    <xdr:to>
      <xdr:col>16</xdr:col>
      <xdr:colOff>1757364</xdr:colOff>
      <xdr:row>267</xdr:row>
      <xdr:rowOff>1476375</xdr:rowOff>
    </xdr:to>
    <xdr:graphicFrame macro="">
      <xdr:nvGraphicFramePr>
        <xdr:cNvPr id="16" name="Graphique 15">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190500</xdr:colOff>
          <xdr:row>267</xdr:row>
          <xdr:rowOff>942975</xdr:rowOff>
        </xdr:from>
        <xdr:to>
          <xdr:col>16</xdr:col>
          <xdr:colOff>1529779</xdr:colOff>
          <xdr:row>267</xdr:row>
          <xdr:rowOff>1400175</xdr:rowOff>
        </xdr:to>
        <xdr:pic>
          <xdr:nvPicPr>
            <xdr:cNvPr id="17" name="Image 16">
              <a:extLst>
                <a:ext uri="{FF2B5EF4-FFF2-40B4-BE49-F238E27FC236}">
                  <a16:creationId xmlns:a16="http://schemas.microsoft.com/office/drawing/2014/main" id="{00000000-0008-0000-0B00-000011000000}"/>
                </a:ext>
              </a:extLst>
            </xdr:cNvPr>
            <xdr:cNvPicPr>
              <a:picLocks noChangeAspect="1" noChangeArrowheads="1"/>
              <a:extLst>
                <a:ext uri="{84589F7E-364E-4C9E-8A38-B11213B215E9}">
                  <a14:cameraTool cellRange="$E$263:$P$266" spid="_x0000_s442258"/>
                </a:ext>
              </a:extLst>
            </xdr:cNvPicPr>
          </xdr:nvPicPr>
          <xdr:blipFill rotWithShape="1">
            <a:blip xmlns:r="http://schemas.openxmlformats.org/officeDocument/2006/relationships" r:embed="rId16"/>
            <a:srcRect l="4112" t="17777" r="35819" b="13334"/>
            <a:stretch>
              <a:fillRect/>
            </a:stretch>
          </xdr:blipFill>
          <xdr:spPr bwMode="auto">
            <a:xfrm>
              <a:off x="12315825" y="68713350"/>
              <a:ext cx="6292279" cy="4572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15</xdr:col>
      <xdr:colOff>1895475</xdr:colOff>
      <xdr:row>294</xdr:row>
      <xdr:rowOff>19049</xdr:rowOff>
    </xdr:from>
    <xdr:to>
      <xdr:col>15</xdr:col>
      <xdr:colOff>4848225</xdr:colOff>
      <xdr:row>294</xdr:row>
      <xdr:rowOff>2905124</xdr:rowOff>
    </xdr:to>
    <xdr:graphicFrame macro="">
      <xdr:nvGraphicFramePr>
        <xdr:cNvPr id="18" name="Graphique 17">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2762250</xdr:colOff>
          <xdr:row>294</xdr:row>
          <xdr:rowOff>1276350</xdr:rowOff>
        </xdr:from>
        <xdr:to>
          <xdr:col>15</xdr:col>
          <xdr:colOff>4000500</xdr:colOff>
          <xdr:row>294</xdr:row>
          <xdr:rowOff>1625855</xdr:rowOff>
        </xdr:to>
        <xdr:pic>
          <xdr:nvPicPr>
            <xdr:cNvPr id="19" name="Image 18">
              <a:extLst>
                <a:ext uri="{FF2B5EF4-FFF2-40B4-BE49-F238E27FC236}">
                  <a16:creationId xmlns:a16="http://schemas.microsoft.com/office/drawing/2014/main" id="{00000000-0008-0000-0B00-000013000000}"/>
                </a:ext>
              </a:extLst>
            </xdr:cNvPr>
            <xdr:cNvPicPr>
              <a:picLocks noChangeAspect="1" noChangeArrowheads="1"/>
              <a:extLst>
                <a:ext uri="{84589F7E-364E-4C9E-8A38-B11213B215E9}">
                  <a14:cameraTool cellRange="$L$293" spid="_x0000_s442259"/>
                </a:ext>
              </a:extLst>
            </xdr:cNvPicPr>
          </xdr:nvPicPr>
          <xdr:blipFill rotWithShape="1">
            <a:blip xmlns:r="http://schemas.openxmlformats.org/officeDocument/2006/relationships" r:embed="rId18"/>
            <a:srcRect l="19797" t="2855" r="18947" b="2701"/>
            <a:stretch>
              <a:fillRect/>
            </a:stretch>
          </xdr:blipFill>
          <xdr:spPr bwMode="auto">
            <a:xfrm>
              <a:off x="14887575" y="76409550"/>
              <a:ext cx="1238250" cy="34950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33</xdr:col>
          <xdr:colOff>85724</xdr:colOff>
          <xdr:row>14</xdr:row>
          <xdr:rowOff>171451</xdr:rowOff>
        </xdr:from>
        <xdr:to>
          <xdr:col>49</xdr:col>
          <xdr:colOff>133750</xdr:colOff>
          <xdr:row>17</xdr:row>
          <xdr:rowOff>28575</xdr:rowOff>
        </xdr:to>
        <xdr:pic>
          <xdr:nvPicPr>
            <xdr:cNvPr id="2" name="Image 1">
              <a:extLst>
                <a:ext uri="{FF2B5EF4-FFF2-40B4-BE49-F238E27FC236}">
                  <a16:creationId xmlns:a16="http://schemas.microsoft.com/office/drawing/2014/main" id="{00000000-0008-0000-0C00-000002000000}"/>
                </a:ext>
              </a:extLst>
            </xdr:cNvPr>
            <xdr:cNvPicPr>
              <a:picLocks noChangeAspect="1" noChangeArrowheads="1"/>
              <a:extLst>
                <a:ext uri="{84589F7E-364E-4C9E-8A38-B11213B215E9}">
                  <a14:cameraTool cellRange="'CALCULS Eaux pluviales'!$P$61" spid="_x0000_s657559"/>
                </a:ext>
              </a:extLst>
            </xdr:cNvPicPr>
          </xdr:nvPicPr>
          <xdr:blipFill rotWithShape="1">
            <a:blip xmlns:r="http://schemas.openxmlformats.org/officeDocument/2006/relationships" r:embed="rId1"/>
            <a:srcRect l="13151" t="4154" r="12770" b="3601"/>
            <a:stretch>
              <a:fillRect/>
            </a:stretch>
          </xdr:blipFill>
          <xdr:spPr bwMode="auto">
            <a:xfrm>
              <a:off x="6191249" y="2943226"/>
              <a:ext cx="3372251" cy="1209674"/>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19</xdr:row>
          <xdr:rowOff>26988</xdr:rowOff>
        </xdr:from>
        <xdr:to>
          <xdr:col>49</xdr:col>
          <xdr:colOff>152400</xdr:colOff>
          <xdr:row>20</xdr:row>
          <xdr:rowOff>895350</xdr:rowOff>
        </xdr:to>
        <xdr:pic>
          <xdr:nvPicPr>
            <xdr:cNvPr id="3" name="Image 2">
              <a:extLst>
                <a:ext uri="{FF2B5EF4-FFF2-40B4-BE49-F238E27FC236}">
                  <a16:creationId xmlns:a16="http://schemas.microsoft.com/office/drawing/2014/main" id="{00000000-0008-0000-0C00-000003000000}"/>
                </a:ext>
              </a:extLst>
            </xdr:cNvPr>
            <xdr:cNvPicPr>
              <a:picLocks noChangeAspect="1" noChangeArrowheads="1"/>
              <a:extLst>
                <a:ext uri="{84589F7E-364E-4C9E-8A38-B11213B215E9}">
                  <a14:cameraTool cellRange="'CALCULS Eaux pluviales'!$P$62" spid="_x0000_s657560"/>
                </a:ext>
              </a:extLst>
            </xdr:cNvPicPr>
          </xdr:nvPicPr>
          <xdr:blipFill rotWithShape="1">
            <a:blip xmlns:r="http://schemas.openxmlformats.org/officeDocument/2006/relationships" r:embed="rId2"/>
            <a:srcRect l="11871" t="5762" r="12897" b="2881"/>
            <a:stretch>
              <a:fillRect/>
            </a:stretch>
          </xdr:blipFill>
          <xdr:spPr bwMode="auto">
            <a:xfrm>
              <a:off x="6172200" y="4484688"/>
              <a:ext cx="3409950" cy="1096962"/>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76199</xdr:colOff>
          <xdr:row>14</xdr:row>
          <xdr:rowOff>180975</xdr:rowOff>
        </xdr:from>
        <xdr:to>
          <xdr:col>79</xdr:col>
          <xdr:colOff>133350</xdr:colOff>
          <xdr:row>17</xdr:row>
          <xdr:rowOff>47625</xdr:rowOff>
        </xdr:to>
        <xdr:pic>
          <xdr:nvPicPr>
            <xdr:cNvPr id="4" name="Image 3">
              <a:extLst>
                <a:ext uri="{FF2B5EF4-FFF2-40B4-BE49-F238E27FC236}">
                  <a16:creationId xmlns:a16="http://schemas.microsoft.com/office/drawing/2014/main" id="{00000000-0008-0000-0C00-000004000000}"/>
                </a:ext>
              </a:extLst>
            </xdr:cNvPr>
            <xdr:cNvPicPr>
              <a:picLocks noChangeAspect="1" noChangeArrowheads="1"/>
              <a:extLst>
                <a:ext uri="{84589F7E-364E-4C9E-8A38-B11213B215E9}">
                  <a14:cameraTool cellRange="'CALCULS Eaux pluviales'!$P$63" spid="_x0000_s657561"/>
                </a:ext>
              </a:extLst>
            </xdr:cNvPicPr>
          </xdr:nvPicPr>
          <xdr:blipFill rotWithShape="1">
            <a:blip xmlns:r="http://schemas.openxmlformats.org/officeDocument/2006/relationships" r:embed="rId3"/>
            <a:srcRect l="12187" t="4263" r="12687" b="2509"/>
            <a:stretch>
              <a:fillRect/>
            </a:stretch>
          </xdr:blipFill>
          <xdr:spPr bwMode="auto">
            <a:xfrm>
              <a:off x="10248899" y="2952750"/>
              <a:ext cx="3600451" cy="1219200"/>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74611</xdr:colOff>
          <xdr:row>19</xdr:row>
          <xdr:rowOff>9526</xdr:rowOff>
        </xdr:from>
        <xdr:to>
          <xdr:col>79</xdr:col>
          <xdr:colOff>123825</xdr:colOff>
          <xdr:row>20</xdr:row>
          <xdr:rowOff>914399</xdr:rowOff>
        </xdr:to>
        <xdr:pic>
          <xdr:nvPicPr>
            <xdr:cNvPr id="5" name="Image 4">
              <a:extLst>
                <a:ext uri="{FF2B5EF4-FFF2-40B4-BE49-F238E27FC236}">
                  <a16:creationId xmlns:a16="http://schemas.microsoft.com/office/drawing/2014/main" id="{00000000-0008-0000-0C00-000005000000}"/>
                </a:ext>
              </a:extLst>
            </xdr:cNvPr>
            <xdr:cNvPicPr>
              <a:picLocks noChangeAspect="1" noChangeArrowheads="1"/>
              <a:extLst>
                <a:ext uri="{84589F7E-364E-4C9E-8A38-B11213B215E9}">
                  <a14:cameraTool cellRange="'CALCULS Eaux pluviales'!$P$64" spid="_x0000_s657562"/>
                </a:ext>
              </a:extLst>
            </xdr:cNvPicPr>
          </xdr:nvPicPr>
          <xdr:blipFill rotWithShape="1">
            <a:blip xmlns:r="http://schemas.openxmlformats.org/officeDocument/2006/relationships" r:embed="rId4"/>
            <a:srcRect l="11391" t="3699" r="12665" b="4134"/>
            <a:stretch>
              <a:fillRect/>
            </a:stretch>
          </xdr:blipFill>
          <xdr:spPr bwMode="auto">
            <a:xfrm>
              <a:off x="10247311" y="4467226"/>
              <a:ext cx="3592514" cy="1133473"/>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55561</xdr:colOff>
          <xdr:row>47</xdr:row>
          <xdr:rowOff>1329</xdr:rowOff>
        </xdr:from>
        <xdr:to>
          <xdr:col>37</xdr:col>
          <xdr:colOff>166533</xdr:colOff>
          <xdr:row>48</xdr:row>
          <xdr:rowOff>38100</xdr:rowOff>
        </xdr:to>
        <xdr:pic>
          <xdr:nvPicPr>
            <xdr:cNvPr id="6" name="Image 5">
              <a:extLst>
                <a:ext uri="{FF2B5EF4-FFF2-40B4-BE49-F238E27FC236}">
                  <a16:creationId xmlns:a16="http://schemas.microsoft.com/office/drawing/2014/main" id="{00000000-0008-0000-0C00-000006000000}"/>
                </a:ext>
              </a:extLst>
            </xdr:cNvPr>
            <xdr:cNvPicPr>
              <a:picLocks noChangeAspect="1" noChangeArrowheads="1"/>
              <a:extLst>
                <a:ext uri="{84589F7E-364E-4C9E-8A38-B11213B215E9}">
                  <a14:cameraTool cellRange="'CALCULS Eaux pluviales'!$Q$150:$AE$167" spid="_x0000_s657563"/>
                </a:ext>
              </a:extLst>
            </xdr:cNvPicPr>
          </xdr:nvPicPr>
          <xdr:blipFill rotWithShape="1">
            <a:blip xmlns:r="http://schemas.openxmlformats.org/officeDocument/2006/relationships" r:embed="rId5"/>
            <a:srcRect l="2009" b="1581"/>
            <a:stretch>
              <a:fillRect/>
            </a:stretch>
          </xdr:blipFill>
          <xdr:spPr bwMode="auto">
            <a:xfrm>
              <a:off x="674686" y="10316904"/>
              <a:ext cx="6235547" cy="1817946"/>
            </a:xfrm>
            <a:prstGeom prst="rect">
              <a:avLst/>
            </a:prstGeom>
            <a:noFill/>
            <a:ln>
              <a:solidFill>
                <a:schemeClr val="tx2">
                  <a:lumMod val="60000"/>
                  <a:lumOff val="40000"/>
                </a:schemeClr>
              </a:solid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149474</xdr:colOff>
          <xdr:row>46</xdr:row>
          <xdr:rowOff>103189</xdr:rowOff>
        </xdr:from>
        <xdr:to>
          <xdr:col>80</xdr:col>
          <xdr:colOff>9525</xdr:colOff>
          <xdr:row>48</xdr:row>
          <xdr:rowOff>66675</xdr:rowOff>
        </xdr:to>
        <xdr:pic>
          <xdr:nvPicPr>
            <xdr:cNvPr id="7" name="Image 6">
              <a:extLst>
                <a:ext uri="{FF2B5EF4-FFF2-40B4-BE49-F238E27FC236}">
                  <a16:creationId xmlns:a16="http://schemas.microsoft.com/office/drawing/2014/main" id="{00000000-0008-0000-0C00-000007000000}"/>
                </a:ext>
              </a:extLst>
            </xdr:cNvPr>
            <xdr:cNvPicPr>
              <a:picLocks noChangeAspect="1" noChangeArrowheads="1"/>
              <a:extLst>
                <a:ext uri="{84589F7E-364E-4C9E-8A38-B11213B215E9}">
                  <a14:cameraTool cellRange="'CALCULS Eaux pluviales'!$Q$118:$AE$134" spid="_x0000_s657564"/>
                </a:ext>
              </a:extLst>
            </xdr:cNvPicPr>
          </xdr:nvPicPr>
          <xdr:blipFill rotWithShape="1">
            <a:blip xmlns:r="http://schemas.openxmlformats.org/officeDocument/2006/relationships" r:embed="rId6"/>
            <a:srcRect b="1905"/>
            <a:stretch>
              <a:fillRect/>
            </a:stretch>
          </xdr:blipFill>
          <xdr:spPr bwMode="auto">
            <a:xfrm>
              <a:off x="7588499" y="10304464"/>
              <a:ext cx="6356101" cy="1858961"/>
            </a:xfrm>
            <a:prstGeom prst="rect">
              <a:avLst/>
            </a:prstGeom>
            <a:noFill/>
            <a:ln>
              <a:solidFill>
                <a:schemeClr val="tx2">
                  <a:lumMod val="60000"/>
                  <a:lumOff val="40000"/>
                </a:schemeClr>
              </a:solid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121226</xdr:colOff>
          <xdr:row>56</xdr:row>
          <xdr:rowOff>88027</xdr:rowOff>
        </xdr:from>
        <xdr:to>
          <xdr:col>25</xdr:col>
          <xdr:colOff>190500</xdr:colOff>
          <xdr:row>70</xdr:row>
          <xdr:rowOff>171451</xdr:rowOff>
        </xdr:to>
        <xdr:pic>
          <xdr:nvPicPr>
            <xdr:cNvPr id="8" name="Image 7">
              <a:extLst>
                <a:ext uri="{FF2B5EF4-FFF2-40B4-BE49-F238E27FC236}">
                  <a16:creationId xmlns:a16="http://schemas.microsoft.com/office/drawing/2014/main" id="{00000000-0008-0000-0C00-000008000000}"/>
                </a:ext>
              </a:extLst>
            </xdr:cNvPr>
            <xdr:cNvPicPr>
              <a:picLocks noChangeAspect="1" noChangeArrowheads="1"/>
              <a:extLst>
                <a:ext uri="{84589F7E-364E-4C9E-8A38-B11213B215E9}">
                  <a14:cameraTool cellRange="'CALCULS Eaux pluviales'!$P$214" spid="_x0000_s657565"/>
                </a:ext>
              </a:extLst>
            </xdr:cNvPicPr>
          </xdr:nvPicPr>
          <xdr:blipFill rotWithShape="1">
            <a:blip xmlns:r="http://schemas.openxmlformats.org/officeDocument/2006/relationships" r:embed="rId7"/>
            <a:srcRect l="1386" t="2147" r="1091" b="5551"/>
            <a:stretch>
              <a:fillRect/>
            </a:stretch>
          </xdr:blipFill>
          <xdr:spPr bwMode="auto">
            <a:xfrm>
              <a:off x="607001" y="13623052"/>
              <a:ext cx="4688899" cy="2502774"/>
            </a:xfrm>
            <a:prstGeom prst="rect">
              <a:avLst/>
            </a:prstGeom>
            <a:noFill/>
            <a:ln w="9525">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11</xdr:row>
          <xdr:rowOff>239231</xdr:rowOff>
        </xdr:from>
        <xdr:to>
          <xdr:col>25</xdr:col>
          <xdr:colOff>57150</xdr:colOff>
          <xdr:row>20</xdr:row>
          <xdr:rowOff>104775</xdr:rowOff>
        </xdr:to>
        <xdr:pic>
          <xdr:nvPicPr>
            <xdr:cNvPr id="9" name="Image 8">
              <a:extLst>
                <a:ext uri="{FF2B5EF4-FFF2-40B4-BE49-F238E27FC236}">
                  <a16:creationId xmlns:a16="http://schemas.microsoft.com/office/drawing/2014/main" id="{00000000-0008-0000-0C00-000009000000}"/>
                </a:ext>
              </a:extLst>
            </xdr:cNvPr>
            <xdr:cNvPicPr>
              <a:picLocks noChangeAspect="1" noChangeArrowheads="1"/>
              <a:extLst>
                <a:ext uri="{84589F7E-364E-4C9E-8A38-B11213B215E9}">
                  <a14:cameraTool cellRange="'CALCULS Eaux pluviales'!$P$48:$Q$48" spid="_x0000_s657566"/>
                </a:ext>
              </a:extLst>
            </xdr:cNvPicPr>
          </xdr:nvPicPr>
          <xdr:blipFill rotWithShape="1">
            <a:blip xmlns:r="http://schemas.openxmlformats.org/officeDocument/2006/relationships" r:embed="rId8"/>
            <a:srcRect l="701" t="1609" r="27493" b="20512"/>
            <a:stretch>
              <a:fillRect/>
            </a:stretch>
          </xdr:blipFill>
          <xdr:spPr bwMode="auto">
            <a:xfrm>
              <a:off x="742950" y="2363306"/>
              <a:ext cx="4419600" cy="242776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104776</xdr:colOff>
          <xdr:row>20</xdr:row>
          <xdr:rowOff>119064</xdr:rowOff>
        </xdr:from>
        <xdr:to>
          <xdr:col>25</xdr:col>
          <xdr:colOff>35784</xdr:colOff>
          <xdr:row>21</xdr:row>
          <xdr:rowOff>57149</xdr:rowOff>
        </xdr:to>
        <xdr:pic>
          <xdr:nvPicPr>
            <xdr:cNvPr id="10" name="Image 9">
              <a:extLst>
                <a:ext uri="{FF2B5EF4-FFF2-40B4-BE49-F238E27FC236}">
                  <a16:creationId xmlns:a16="http://schemas.microsoft.com/office/drawing/2014/main" id="{00000000-0008-0000-0C00-00000A000000}"/>
                </a:ext>
              </a:extLst>
            </xdr:cNvPr>
            <xdr:cNvPicPr>
              <a:picLocks noChangeAspect="1" noChangeArrowheads="1"/>
              <a:extLst>
                <a:ext uri="{84589F7E-364E-4C9E-8A38-B11213B215E9}">
                  <a14:cameraTool cellRange="'CALCULS Eaux pluviales'!$D$50:$O$55" spid="_x0000_s657567"/>
                </a:ext>
              </a:extLst>
            </xdr:cNvPicPr>
          </xdr:nvPicPr>
          <xdr:blipFill rotWithShape="1">
            <a:blip xmlns:r="http://schemas.openxmlformats.org/officeDocument/2006/relationships" r:embed="rId9"/>
            <a:srcRect l="9735" r="21407" b="4975"/>
            <a:stretch>
              <a:fillRect/>
            </a:stretch>
          </xdr:blipFill>
          <xdr:spPr bwMode="auto">
            <a:xfrm>
              <a:off x="590551" y="4805364"/>
              <a:ext cx="4550633" cy="928685"/>
            </a:xfrm>
            <a:prstGeom prst="rect">
              <a:avLst/>
            </a:prstGeom>
            <a:noFill/>
            <a:ln>
              <a:solidFill>
                <a:schemeClr val="tx2">
                  <a:lumMod val="60000"/>
                  <a:lumOff val="40000"/>
                </a:schemeClr>
              </a:solid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104772</xdr:colOff>
          <xdr:row>19</xdr:row>
          <xdr:rowOff>114301</xdr:rowOff>
        </xdr:from>
        <xdr:to>
          <xdr:col>4</xdr:col>
          <xdr:colOff>219075</xdr:colOff>
          <xdr:row>20</xdr:row>
          <xdr:rowOff>114301</xdr:rowOff>
        </xdr:to>
        <xdr:pic>
          <xdr:nvPicPr>
            <xdr:cNvPr id="11" name="Image 10">
              <a:extLst>
                <a:ext uri="{FF2B5EF4-FFF2-40B4-BE49-F238E27FC236}">
                  <a16:creationId xmlns:a16="http://schemas.microsoft.com/office/drawing/2014/main" id="{00000000-0008-0000-0C00-00000B000000}"/>
                </a:ext>
              </a:extLst>
            </xdr:cNvPr>
            <xdr:cNvPicPr>
              <a:picLocks noChangeAspect="1" noChangeArrowheads="1"/>
              <a:extLst>
                <a:ext uri="{84589F7E-364E-4C9E-8A38-B11213B215E9}">
                  <a14:cameraTool cellRange="'CALCULS Eaux pluviales'!$E$49" spid="_x0000_s657568"/>
                </a:ext>
              </a:extLst>
            </xdr:cNvPicPr>
          </xdr:nvPicPr>
          <xdr:blipFill rotWithShape="1">
            <a:blip xmlns:r="http://schemas.openxmlformats.org/officeDocument/2006/relationships" r:embed="rId10"/>
            <a:srcRect t="20409" b="22448"/>
            <a:stretch>
              <a:fillRect/>
            </a:stretch>
          </xdr:blipFill>
          <xdr:spPr bwMode="auto">
            <a:xfrm>
              <a:off x="590547" y="4572001"/>
              <a:ext cx="1457328" cy="228600"/>
            </a:xfrm>
            <a:prstGeom prst="rect">
              <a:avLst/>
            </a:prstGeom>
            <a:noFill/>
            <a:ln>
              <a:solidFill>
                <a:schemeClr val="tx2">
                  <a:lumMod val="60000"/>
                  <a:lumOff val="40000"/>
                </a:schemeClr>
              </a:solid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69851</xdr:colOff>
          <xdr:row>80</xdr:row>
          <xdr:rowOff>7939</xdr:rowOff>
        </xdr:from>
        <xdr:to>
          <xdr:col>28</xdr:col>
          <xdr:colOff>9524</xdr:colOff>
          <xdr:row>88</xdr:row>
          <xdr:rowOff>76199</xdr:rowOff>
        </xdr:to>
        <xdr:pic>
          <xdr:nvPicPr>
            <xdr:cNvPr id="12" name="Image 11">
              <a:extLst>
                <a:ext uri="{FF2B5EF4-FFF2-40B4-BE49-F238E27FC236}">
                  <a16:creationId xmlns:a16="http://schemas.microsoft.com/office/drawing/2014/main" id="{00000000-0008-0000-0C00-00000C000000}"/>
                </a:ext>
              </a:extLst>
            </xdr:cNvPr>
            <xdr:cNvPicPr>
              <a:picLocks noChangeAspect="1" noChangeArrowheads="1"/>
              <a:extLst>
                <a:ext uri="{84589F7E-364E-4C9E-8A38-B11213B215E9}">
                  <a14:cameraTool cellRange="'CALCULS Eaux pluviales'!$P$251:$Q$251" spid="_x0000_s657569"/>
                </a:ext>
              </a:extLst>
            </xdr:cNvPicPr>
          </xdr:nvPicPr>
          <xdr:blipFill rotWithShape="1">
            <a:blip xmlns:r="http://schemas.openxmlformats.org/officeDocument/2006/relationships" r:embed="rId11"/>
            <a:srcRect l="3253" t="2714" r="2648" b="2823"/>
            <a:stretch>
              <a:fillRect/>
            </a:stretch>
          </xdr:blipFill>
          <xdr:spPr bwMode="auto">
            <a:xfrm>
              <a:off x="688976" y="17714914"/>
              <a:ext cx="4873623" cy="110648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50802</xdr:colOff>
          <xdr:row>80</xdr:row>
          <xdr:rowOff>19051</xdr:rowOff>
        </xdr:from>
        <xdr:to>
          <xdr:col>58</xdr:col>
          <xdr:colOff>0</xdr:colOff>
          <xdr:row>88</xdr:row>
          <xdr:rowOff>57150</xdr:rowOff>
        </xdr:to>
        <xdr:pic>
          <xdr:nvPicPr>
            <xdr:cNvPr id="13" name="Image 12">
              <a:extLst>
                <a:ext uri="{FF2B5EF4-FFF2-40B4-BE49-F238E27FC236}">
                  <a16:creationId xmlns:a16="http://schemas.microsoft.com/office/drawing/2014/main" id="{00000000-0008-0000-0C00-00000D000000}"/>
                </a:ext>
              </a:extLst>
            </xdr:cNvPr>
            <xdr:cNvPicPr>
              <a:picLocks noChangeAspect="1" noChangeArrowheads="1"/>
              <a:extLst>
                <a:ext uri="{84589F7E-364E-4C9E-8A38-B11213B215E9}">
                  <a14:cameraTool cellRange="'CALCULS Eaux pluviales'!$P$268:$Q$268" spid="_x0000_s657570"/>
                </a:ext>
              </a:extLst>
            </xdr:cNvPicPr>
          </xdr:nvPicPr>
          <xdr:blipFill rotWithShape="1">
            <a:blip xmlns:r="http://schemas.openxmlformats.org/officeDocument/2006/relationships" r:embed="rId12"/>
            <a:srcRect l="1597" t="1653" r="4290" b="2532"/>
            <a:stretch>
              <a:fillRect/>
            </a:stretch>
          </xdr:blipFill>
          <xdr:spPr bwMode="auto">
            <a:xfrm>
              <a:off x="5908677" y="17726026"/>
              <a:ext cx="4711698" cy="107632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80545</xdr:colOff>
          <xdr:row>78</xdr:row>
          <xdr:rowOff>39690</xdr:rowOff>
        </xdr:from>
        <xdr:to>
          <xdr:col>80</xdr:col>
          <xdr:colOff>76200</xdr:colOff>
          <xdr:row>88</xdr:row>
          <xdr:rowOff>100405</xdr:rowOff>
        </xdr:to>
        <xdr:pic>
          <xdr:nvPicPr>
            <xdr:cNvPr id="14" name="Image 13">
              <a:extLst>
                <a:ext uri="{FF2B5EF4-FFF2-40B4-BE49-F238E27FC236}">
                  <a16:creationId xmlns:a16="http://schemas.microsoft.com/office/drawing/2014/main" id="{00000000-0008-0000-0C00-00000E000000}"/>
                </a:ext>
              </a:extLst>
            </xdr:cNvPr>
            <xdr:cNvPicPr>
              <a:picLocks noChangeAspect="1" noChangeArrowheads="1"/>
              <a:extLst>
                <a:ext uri="{84589F7E-364E-4C9E-8A38-B11213B215E9}">
                  <a14:cameraTool cellRange="'CALCULS Eaux pluviales'!$Q$297:$AA$304" spid="_x0000_s657571"/>
                </a:ext>
              </a:extLst>
            </xdr:cNvPicPr>
          </xdr:nvPicPr>
          <xdr:blipFill rotWithShape="1">
            <a:blip xmlns:r="http://schemas.openxmlformats.org/officeDocument/2006/relationships" r:embed="rId13"/>
            <a:srcRect l="26588" t="12664" r="6284" b="4747"/>
            <a:stretch>
              <a:fillRect/>
            </a:stretch>
          </xdr:blipFill>
          <xdr:spPr bwMode="auto">
            <a:xfrm>
              <a:off x="11100970" y="17403765"/>
              <a:ext cx="2910305" cy="1441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28806</xdr:colOff>
          <xdr:row>67</xdr:row>
          <xdr:rowOff>31751</xdr:rowOff>
        </xdr:from>
        <xdr:to>
          <xdr:col>80</xdr:col>
          <xdr:colOff>173218</xdr:colOff>
          <xdr:row>77</xdr:row>
          <xdr:rowOff>200025</xdr:rowOff>
        </xdr:to>
        <xdr:pic>
          <xdr:nvPicPr>
            <xdr:cNvPr id="15" name="Image 14">
              <a:extLst>
                <a:ext uri="{FF2B5EF4-FFF2-40B4-BE49-F238E27FC236}">
                  <a16:creationId xmlns:a16="http://schemas.microsoft.com/office/drawing/2014/main" id="{00000000-0008-0000-0C00-00000F000000}"/>
                </a:ext>
              </a:extLst>
            </xdr:cNvPr>
            <xdr:cNvPicPr>
              <a:picLocks noChangeAspect="1" noChangeArrowheads="1"/>
              <a:extLst>
                <a:ext uri="{84589F7E-364E-4C9E-8A38-B11213B215E9}">
                  <a14:cameraTool cellRange="'CALCULS Eaux pluviales'!$E$279:$K$292" spid="_x0000_s657572"/>
                </a:ext>
              </a:extLst>
            </xdr:cNvPicPr>
          </xdr:nvPicPr>
          <xdr:blipFill rotWithShape="1">
            <a:blip xmlns:r="http://schemas.openxmlformats.org/officeDocument/2006/relationships" r:embed="rId14"/>
            <a:srcRect l="6115" t="4097" r="15386" b="4762"/>
            <a:stretch>
              <a:fillRect/>
            </a:stretch>
          </xdr:blipFill>
          <xdr:spPr bwMode="auto">
            <a:xfrm>
              <a:off x="11049231" y="15509876"/>
              <a:ext cx="3059062" cy="182562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46284</xdr:colOff>
          <xdr:row>56</xdr:row>
          <xdr:rowOff>238125</xdr:rowOff>
        </xdr:from>
        <xdr:to>
          <xdr:col>80</xdr:col>
          <xdr:colOff>158209</xdr:colOff>
          <xdr:row>68</xdr:row>
          <xdr:rowOff>85725</xdr:rowOff>
        </xdr:to>
        <xdr:pic>
          <xdr:nvPicPr>
            <xdr:cNvPr id="16" name="Image 15">
              <a:extLst>
                <a:ext uri="{FF2B5EF4-FFF2-40B4-BE49-F238E27FC236}">
                  <a16:creationId xmlns:a16="http://schemas.microsoft.com/office/drawing/2014/main" id="{00000000-0008-0000-0C00-000010000000}"/>
                </a:ext>
              </a:extLst>
            </xdr:cNvPr>
            <xdr:cNvPicPr>
              <a:picLocks noChangeAspect="1" noChangeArrowheads="1"/>
              <a:extLst>
                <a:ext uri="{84589F7E-364E-4C9E-8A38-B11213B215E9}">
                  <a14:cameraTool cellRange="'CALCULS Eaux pluviales'!$P$295" spid="_x0000_s657573"/>
                </a:ext>
              </a:extLst>
            </xdr:cNvPicPr>
          </xdr:nvPicPr>
          <xdr:blipFill rotWithShape="1">
            <a:blip xmlns:r="http://schemas.openxmlformats.org/officeDocument/2006/relationships" r:embed="rId15"/>
            <a:srcRect l="39090" t="1067" r="2755" b="4000"/>
            <a:stretch>
              <a:fillRect/>
            </a:stretch>
          </xdr:blipFill>
          <xdr:spPr bwMode="auto">
            <a:xfrm>
              <a:off x="12076359" y="13773150"/>
              <a:ext cx="2016925" cy="1905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55561</xdr:colOff>
          <xdr:row>98</xdr:row>
          <xdr:rowOff>55560</xdr:rowOff>
        </xdr:from>
        <xdr:to>
          <xdr:col>47</xdr:col>
          <xdr:colOff>114804</xdr:colOff>
          <xdr:row>99</xdr:row>
          <xdr:rowOff>76199</xdr:rowOff>
        </xdr:to>
        <xdr:pic>
          <xdr:nvPicPr>
            <xdr:cNvPr id="17" name="Image 16">
              <a:extLst>
                <a:ext uri="{FF2B5EF4-FFF2-40B4-BE49-F238E27FC236}">
                  <a16:creationId xmlns:a16="http://schemas.microsoft.com/office/drawing/2014/main" id="{00000000-0008-0000-0C00-000011000000}"/>
                </a:ext>
              </a:extLst>
            </xdr:cNvPr>
            <xdr:cNvPicPr>
              <a:picLocks noChangeAspect="1" noChangeArrowheads="1"/>
              <a:extLst>
                <a:ext uri="{84589F7E-364E-4C9E-8A38-B11213B215E9}">
                  <a14:cameraTool cellRange="'CALCULS Eaux pluviales'!$H$351:$O$355" spid="_x0000_s657574"/>
                </a:ext>
              </a:extLst>
            </xdr:cNvPicPr>
          </xdr:nvPicPr>
          <xdr:blipFill rotWithShape="1">
            <a:blip xmlns:r="http://schemas.openxmlformats.org/officeDocument/2006/relationships" r:embed="rId16"/>
            <a:srcRect l="10808" t="4991" r="10733" b="3287"/>
            <a:stretch>
              <a:fillRect/>
            </a:stretch>
          </xdr:blipFill>
          <xdr:spPr bwMode="auto">
            <a:xfrm>
              <a:off x="5160961" y="20305710"/>
              <a:ext cx="4135943" cy="213518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111127</xdr:colOff>
          <xdr:row>98</xdr:row>
          <xdr:rowOff>71437</xdr:rowOff>
        </xdr:from>
        <xdr:to>
          <xdr:col>80</xdr:col>
          <xdr:colOff>66675</xdr:colOff>
          <xdr:row>100</xdr:row>
          <xdr:rowOff>9525</xdr:rowOff>
        </xdr:to>
        <xdr:pic>
          <xdr:nvPicPr>
            <xdr:cNvPr id="18" name="Image 17">
              <a:extLst>
                <a:ext uri="{FF2B5EF4-FFF2-40B4-BE49-F238E27FC236}">
                  <a16:creationId xmlns:a16="http://schemas.microsoft.com/office/drawing/2014/main" id="{00000000-0008-0000-0C00-000012000000}"/>
                </a:ext>
              </a:extLst>
            </xdr:cNvPr>
            <xdr:cNvPicPr>
              <a:picLocks noChangeAspect="1" noChangeArrowheads="1"/>
              <a:extLst>
                <a:ext uri="{84589F7E-364E-4C9E-8A38-B11213B215E9}">
                  <a14:cameraTool cellRange="'CALCULS Eaux pluviales'!$H$375:$O$379" spid="_x0000_s657575"/>
                </a:ext>
              </a:extLst>
            </xdr:cNvPicPr>
          </xdr:nvPicPr>
          <xdr:blipFill rotWithShape="1">
            <a:blip xmlns:r="http://schemas.openxmlformats.org/officeDocument/2006/relationships" r:embed="rId17"/>
            <a:srcRect l="10815" t="5330" r="10560" b="3343"/>
            <a:stretch>
              <a:fillRect/>
            </a:stretch>
          </xdr:blipFill>
          <xdr:spPr bwMode="auto">
            <a:xfrm>
              <a:off x="9788527" y="20321587"/>
              <a:ext cx="4213223" cy="212883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15873</xdr:colOff>
          <xdr:row>98</xdr:row>
          <xdr:rowOff>31750</xdr:rowOff>
        </xdr:from>
        <xdr:to>
          <xdr:col>21</xdr:col>
          <xdr:colOff>111404</xdr:colOff>
          <xdr:row>100</xdr:row>
          <xdr:rowOff>0</xdr:rowOff>
        </xdr:to>
        <xdr:pic>
          <xdr:nvPicPr>
            <xdr:cNvPr id="19" name="Image 18">
              <a:extLst>
                <a:ext uri="{FF2B5EF4-FFF2-40B4-BE49-F238E27FC236}">
                  <a16:creationId xmlns:a16="http://schemas.microsoft.com/office/drawing/2014/main" id="{00000000-0008-0000-0C00-000013000000}"/>
                </a:ext>
              </a:extLst>
            </xdr:cNvPr>
            <xdr:cNvPicPr>
              <a:picLocks noChangeAspect="1" noChangeArrowheads="1"/>
              <a:extLst>
                <a:ext uri="{84589F7E-364E-4C9E-8A38-B11213B215E9}">
                  <a14:cameraTool cellRange="'CALCULS Eaux pluviales'!$H$327:$O$331" spid="_x0000_s657576"/>
                </a:ext>
              </a:extLst>
            </xdr:cNvPicPr>
          </xdr:nvPicPr>
          <xdr:blipFill rotWithShape="1">
            <a:blip xmlns:r="http://schemas.openxmlformats.org/officeDocument/2006/relationships" r:embed="rId18"/>
            <a:srcRect l="11213" t="4211" r="10805" b="3684"/>
            <a:stretch>
              <a:fillRect/>
            </a:stretch>
          </xdr:blipFill>
          <xdr:spPr bwMode="auto">
            <a:xfrm>
              <a:off x="634998" y="20281900"/>
              <a:ext cx="4086506" cy="21590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14</xdr:col>
      <xdr:colOff>0</xdr:colOff>
      <xdr:row>218</xdr:row>
      <xdr:rowOff>0</xdr:rowOff>
    </xdr:from>
    <xdr:to>
      <xdr:col>14</xdr:col>
      <xdr:colOff>5560219</xdr:colOff>
      <xdr:row>218</xdr:row>
      <xdr:rowOff>2771775</xdr:rowOff>
    </xdr:to>
    <xdr:graphicFrame macro="">
      <xdr:nvGraphicFramePr>
        <xdr:cNvPr id="8" name="Graphique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216</xdr:row>
      <xdr:rowOff>0</xdr:rowOff>
    </xdr:from>
    <xdr:to>
      <xdr:col>14</xdr:col>
      <xdr:colOff>5572125</xdr:colOff>
      <xdr:row>216</xdr:row>
      <xdr:rowOff>2726532</xdr:rowOff>
    </xdr:to>
    <xdr:graphicFrame macro="">
      <xdr:nvGraphicFramePr>
        <xdr:cNvPr id="13" name="Graphique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113109</xdr:colOff>
      <xdr:row>421</xdr:row>
      <xdr:rowOff>45244</xdr:rowOff>
    </xdr:from>
    <xdr:to>
      <xdr:col>14</xdr:col>
      <xdr:colOff>4321968</xdr:colOff>
      <xdr:row>421</xdr:row>
      <xdr:rowOff>2857500</xdr:rowOff>
    </xdr:to>
    <xdr:graphicFrame macro="">
      <xdr:nvGraphicFramePr>
        <xdr:cNvPr id="25" name="Graphique 24">
          <a:extLst>
            <a:ext uri="{FF2B5EF4-FFF2-40B4-BE49-F238E27FC236}">
              <a16:creationId xmlns:a16="http://schemas.microsoft.com/office/drawing/2014/main" id="{00000000-0008-0000-0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101203</xdr:colOff>
      <xdr:row>30</xdr:row>
      <xdr:rowOff>116681</xdr:rowOff>
    </xdr:from>
    <xdr:to>
      <xdr:col>14</xdr:col>
      <xdr:colOff>4191000</xdr:colOff>
      <xdr:row>30</xdr:row>
      <xdr:rowOff>3512343</xdr:rowOff>
    </xdr:to>
    <xdr:graphicFrame macro="">
      <xdr:nvGraphicFramePr>
        <xdr:cNvPr id="26" name="Graphique 25">
          <a:extLst>
            <a:ext uri="{FF2B5EF4-FFF2-40B4-BE49-F238E27FC236}">
              <a16:creationId xmlns:a16="http://schemas.microsoft.com/office/drawing/2014/main" id="{00000000-0008-0000-0D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136921</xdr:colOff>
      <xdr:row>125</xdr:row>
      <xdr:rowOff>271462</xdr:rowOff>
    </xdr:from>
    <xdr:to>
      <xdr:col>14</xdr:col>
      <xdr:colOff>5464969</xdr:colOff>
      <xdr:row>125</xdr:row>
      <xdr:rowOff>3857626</xdr:rowOff>
    </xdr:to>
    <xdr:graphicFrame macro="">
      <xdr:nvGraphicFramePr>
        <xdr:cNvPr id="27" name="Graphique 26">
          <a:extLst>
            <a:ext uri="{FF2B5EF4-FFF2-40B4-BE49-F238E27FC236}">
              <a16:creationId xmlns:a16="http://schemas.microsoft.com/office/drawing/2014/main" id="{00000000-0008-0000-0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1276351</xdr:colOff>
          <xdr:row>30</xdr:row>
          <xdr:rowOff>1619250</xdr:rowOff>
        </xdr:from>
        <xdr:to>
          <xdr:col>14</xdr:col>
          <xdr:colOff>2771775</xdr:colOff>
          <xdr:row>30</xdr:row>
          <xdr:rowOff>1933575</xdr:rowOff>
        </xdr:to>
        <xdr:pic>
          <xdr:nvPicPr>
            <xdr:cNvPr id="30" name="Image 29">
              <a:extLst>
                <a:ext uri="{FF2B5EF4-FFF2-40B4-BE49-F238E27FC236}">
                  <a16:creationId xmlns:a16="http://schemas.microsoft.com/office/drawing/2014/main" id="{00000000-0008-0000-0D00-00001E000000}"/>
                </a:ext>
              </a:extLst>
            </xdr:cNvPr>
            <xdr:cNvPicPr>
              <a:picLocks noChangeAspect="1" noChangeArrowheads="1"/>
              <a:extLst>
                <a:ext uri="{84589F7E-364E-4C9E-8A38-B11213B215E9}">
                  <a14:cameraTool cellRange="$D$27" spid="_x0000_s636613"/>
                </a:ext>
              </a:extLst>
            </xdr:cNvPicPr>
          </xdr:nvPicPr>
          <xdr:blipFill rotWithShape="1">
            <a:blip xmlns:r="http://schemas.openxmlformats.org/officeDocument/2006/relationships" r:embed="rId6"/>
            <a:srcRect l="7066" t="15322" r="8825" b="20940"/>
            <a:stretch>
              <a:fillRect/>
            </a:stretch>
          </xdr:blipFill>
          <xdr:spPr bwMode="auto">
            <a:xfrm>
              <a:off x="13668376" y="10039350"/>
              <a:ext cx="1495424" cy="3143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15</xdr:col>
      <xdr:colOff>1895475</xdr:colOff>
      <xdr:row>245</xdr:row>
      <xdr:rowOff>19049</xdr:rowOff>
    </xdr:from>
    <xdr:to>
      <xdr:col>15</xdr:col>
      <xdr:colOff>4848225</xdr:colOff>
      <xdr:row>245</xdr:row>
      <xdr:rowOff>2905124</xdr:rowOff>
    </xdr:to>
    <xdr:graphicFrame macro="">
      <xdr:nvGraphicFramePr>
        <xdr:cNvPr id="20" name="Graphique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16</xdr:col>
          <xdr:colOff>0</xdr:colOff>
          <xdr:row>245</xdr:row>
          <xdr:rowOff>1266825</xdr:rowOff>
        </xdr:from>
        <xdr:to>
          <xdr:col>17</xdr:col>
          <xdr:colOff>19050</xdr:colOff>
          <xdr:row>245</xdr:row>
          <xdr:rowOff>1457325</xdr:rowOff>
        </xdr:to>
        <xdr:pic>
          <xdr:nvPicPr>
            <xdr:cNvPr id="22" name="Image 21">
              <a:extLst>
                <a:ext uri="{FF2B5EF4-FFF2-40B4-BE49-F238E27FC236}">
                  <a16:creationId xmlns:a16="http://schemas.microsoft.com/office/drawing/2014/main" id="{00000000-0008-0000-0D00-000016000000}"/>
                </a:ext>
              </a:extLst>
            </xdr:cNvPr>
            <xdr:cNvPicPr>
              <a:picLocks noChangeAspect="1" noChangeArrowheads="1"/>
              <a:extLst>
                <a:ext uri="{84589F7E-364E-4C9E-8A38-B11213B215E9}">
                  <a14:cameraTool cellRange="#REF!" spid="_x0000_s636614"/>
                </a:ext>
              </a:extLst>
            </xdr:cNvPicPr>
          </xdr:nvPicPr>
          <xdr:blipFill rotWithShape="1">
            <a:blip xmlns:r="http://schemas.openxmlformats.org/officeDocument/2006/relationships" r:embed="rId8"/>
            <a:srcRect l="22267" t="5555" r="23888"/>
            <a:stretch>
              <a:fillRect/>
            </a:stretch>
          </xdr:blipFill>
          <xdr:spPr bwMode="auto">
            <a:xfrm>
              <a:off x="19802475" y="68780025"/>
              <a:ext cx="781050" cy="1905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14</xdr:col>
      <xdr:colOff>0</xdr:colOff>
      <xdr:row>245</xdr:row>
      <xdr:rowOff>0</xdr:rowOff>
    </xdr:from>
    <xdr:to>
      <xdr:col>14</xdr:col>
      <xdr:colOff>2952750</xdr:colOff>
      <xdr:row>245</xdr:row>
      <xdr:rowOff>2886075</xdr:rowOff>
    </xdr:to>
    <xdr:graphicFrame macro="">
      <xdr:nvGraphicFramePr>
        <xdr:cNvPr id="23" name="Graphique 22">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895608</xdr:colOff>
          <xdr:row>245</xdr:row>
          <xdr:rowOff>1276350</xdr:rowOff>
        </xdr:from>
        <xdr:to>
          <xdr:col>14</xdr:col>
          <xdr:colOff>2066926</xdr:colOff>
          <xdr:row>245</xdr:row>
          <xdr:rowOff>1609725</xdr:rowOff>
        </xdr:to>
        <xdr:pic>
          <xdr:nvPicPr>
            <xdr:cNvPr id="31" name="Image 30">
              <a:extLst>
                <a:ext uri="{FF2B5EF4-FFF2-40B4-BE49-F238E27FC236}">
                  <a16:creationId xmlns:a16="http://schemas.microsoft.com/office/drawing/2014/main" id="{00000000-0008-0000-0D00-00001F000000}"/>
                </a:ext>
              </a:extLst>
            </xdr:cNvPr>
            <xdr:cNvPicPr>
              <a:picLocks noChangeAspect="1" noChangeArrowheads="1"/>
              <a:extLst>
                <a:ext uri="{84589F7E-364E-4C9E-8A38-B11213B215E9}">
                  <a14:cameraTool cellRange="$L$240" spid="_x0000_s636615"/>
                </a:ext>
              </a:extLst>
            </xdr:cNvPicPr>
          </xdr:nvPicPr>
          <xdr:blipFill rotWithShape="1">
            <a:blip xmlns:r="http://schemas.openxmlformats.org/officeDocument/2006/relationships" r:embed="rId10"/>
            <a:srcRect l="25000" t="-1" r="25362" b="-2777"/>
            <a:stretch>
              <a:fillRect/>
            </a:stretch>
          </xdr:blipFill>
          <xdr:spPr bwMode="auto">
            <a:xfrm>
              <a:off x="13287633" y="69456300"/>
              <a:ext cx="1171318" cy="3333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8</xdr:col>
      <xdr:colOff>47625</xdr:colOff>
      <xdr:row>324</xdr:row>
      <xdr:rowOff>85725</xdr:rowOff>
    </xdr:from>
    <xdr:to>
      <xdr:col>10</xdr:col>
      <xdr:colOff>771525</xdr:colOff>
      <xdr:row>324</xdr:row>
      <xdr:rowOff>2143125</xdr:rowOff>
    </xdr:to>
    <xdr:graphicFrame macro="">
      <xdr:nvGraphicFramePr>
        <xdr:cNvPr id="32" name="Graphique 31">
          <a:extLst>
            <a:ext uri="{FF2B5EF4-FFF2-40B4-BE49-F238E27FC236}">
              <a16:creationId xmlns:a16="http://schemas.microsoft.com/office/drawing/2014/main" id="{00000000-0008-0000-0D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385763</xdr:colOff>
      <xdr:row>324</xdr:row>
      <xdr:rowOff>552450</xdr:rowOff>
    </xdr:from>
    <xdr:to>
      <xdr:col>12</xdr:col>
      <xdr:colOff>514351</xdr:colOff>
      <xdr:row>324</xdr:row>
      <xdr:rowOff>1352550</xdr:rowOff>
    </xdr:to>
    <xdr:graphicFrame macro="">
      <xdr:nvGraphicFramePr>
        <xdr:cNvPr id="3" name="Graphique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571499</xdr:colOff>
      <xdr:row>324</xdr:row>
      <xdr:rowOff>161925</xdr:rowOff>
    </xdr:from>
    <xdr:to>
      <xdr:col>11</xdr:col>
      <xdr:colOff>57150</xdr:colOff>
      <xdr:row>324</xdr:row>
      <xdr:rowOff>2152650</xdr:rowOff>
    </xdr:to>
    <xdr:sp macro="" textlink="">
      <xdr:nvSpPr>
        <xdr:cNvPr id="2" name="Accolade fermante 1">
          <a:extLst>
            <a:ext uri="{FF2B5EF4-FFF2-40B4-BE49-F238E27FC236}">
              <a16:creationId xmlns:a16="http://schemas.microsoft.com/office/drawing/2014/main" id="{00000000-0008-0000-0D00-000002000000}"/>
            </a:ext>
          </a:extLst>
        </xdr:cNvPr>
        <xdr:cNvSpPr/>
      </xdr:nvSpPr>
      <xdr:spPr>
        <a:xfrm>
          <a:off x="9563099" y="86410800"/>
          <a:ext cx="266701" cy="1990725"/>
        </a:xfrm>
        <a:prstGeom prst="rightBrace">
          <a:avLst>
            <a:gd name="adj1" fmla="val 37222"/>
            <a:gd name="adj2" fmla="val 26129"/>
          </a:avLst>
        </a:prstGeom>
        <a:ln>
          <a:solidFill>
            <a:srgbClr val="00206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mc:AlternateContent xmlns:mc="http://schemas.openxmlformats.org/markup-compatibility/2006">
    <mc:Choice xmlns:a14="http://schemas.microsoft.com/office/drawing/2010/main" Requires="a14">
      <xdr:twoCellAnchor editAs="oneCell">
        <xdr:from>
          <xdr:col>11</xdr:col>
          <xdr:colOff>276225</xdr:colOff>
          <xdr:row>324</xdr:row>
          <xdr:rowOff>257176</xdr:rowOff>
        </xdr:from>
        <xdr:to>
          <xdr:col>13</xdr:col>
          <xdr:colOff>257174</xdr:colOff>
          <xdr:row>324</xdr:row>
          <xdr:rowOff>476250</xdr:rowOff>
        </xdr:to>
        <xdr:pic>
          <xdr:nvPicPr>
            <xdr:cNvPr id="33" name="Image 32">
              <a:extLst>
                <a:ext uri="{FF2B5EF4-FFF2-40B4-BE49-F238E27FC236}">
                  <a16:creationId xmlns:a16="http://schemas.microsoft.com/office/drawing/2014/main" id="{00000000-0008-0000-0D00-000021000000}"/>
                </a:ext>
              </a:extLst>
            </xdr:cNvPr>
            <xdr:cNvPicPr>
              <a:picLocks noChangeAspect="1" noChangeArrowheads="1"/>
              <a:extLst>
                <a:ext uri="{84589F7E-364E-4C9E-8A38-B11213B215E9}">
                  <a14:cameraTool cellRange="$D$323:$E$323" spid="_x0000_s636616"/>
                </a:ext>
              </a:extLst>
            </xdr:cNvPicPr>
          </xdr:nvPicPr>
          <xdr:blipFill>
            <a:blip xmlns:r="http://schemas.openxmlformats.org/officeDocument/2006/relationships" r:embed="rId13"/>
            <a:srcRect/>
            <a:stretch>
              <a:fillRect/>
            </a:stretch>
          </xdr:blipFill>
          <xdr:spPr bwMode="auto">
            <a:xfrm>
              <a:off x="10048875" y="89220676"/>
              <a:ext cx="1543049" cy="219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552451</xdr:colOff>
          <xdr:row>327</xdr:row>
          <xdr:rowOff>76200</xdr:rowOff>
        </xdr:from>
        <xdr:to>
          <xdr:col>13</xdr:col>
          <xdr:colOff>886013</xdr:colOff>
          <xdr:row>329</xdr:row>
          <xdr:rowOff>200025</xdr:rowOff>
        </xdr:to>
        <xdr:pic>
          <xdr:nvPicPr>
            <xdr:cNvPr id="34" name="Image 33">
              <a:extLst>
                <a:ext uri="{FF2B5EF4-FFF2-40B4-BE49-F238E27FC236}">
                  <a16:creationId xmlns:a16="http://schemas.microsoft.com/office/drawing/2014/main" id="{00000000-0008-0000-0D00-000022000000}"/>
                </a:ext>
              </a:extLst>
            </xdr:cNvPr>
            <xdr:cNvPicPr>
              <a:picLocks noChangeAspect="1" noChangeArrowheads="1"/>
              <a:extLst>
                <a:ext uri="{84589F7E-364E-4C9E-8A38-B11213B215E9}">
                  <a14:cameraTool cellRange="$H$319:$H$320" spid="_x0000_s636617"/>
                </a:ext>
              </a:extLst>
            </xdr:cNvPicPr>
          </xdr:nvPicPr>
          <xdr:blipFill rotWithShape="1">
            <a:blip xmlns:r="http://schemas.openxmlformats.org/officeDocument/2006/relationships" r:embed="rId14"/>
            <a:srcRect l="26506" r="27710"/>
            <a:stretch>
              <a:fillRect/>
            </a:stretch>
          </xdr:blipFill>
          <xdr:spPr bwMode="auto">
            <a:xfrm>
              <a:off x="11887201" y="88953975"/>
              <a:ext cx="333562" cy="4476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8</xdr:col>
      <xdr:colOff>76200</xdr:colOff>
      <xdr:row>356</xdr:row>
      <xdr:rowOff>123825</xdr:rowOff>
    </xdr:from>
    <xdr:to>
      <xdr:col>11</xdr:col>
      <xdr:colOff>19050</xdr:colOff>
      <xdr:row>357</xdr:row>
      <xdr:rowOff>19050</xdr:rowOff>
    </xdr:to>
    <xdr:graphicFrame macro="">
      <xdr:nvGraphicFramePr>
        <xdr:cNvPr id="35" name="Graphique 34">
          <a:extLst>
            <a:ext uri="{FF2B5EF4-FFF2-40B4-BE49-F238E27FC236}">
              <a16:creationId xmlns:a16="http://schemas.microsoft.com/office/drawing/2014/main" id="{00000000-0008-0000-0D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571499</xdr:colOff>
      <xdr:row>356</xdr:row>
      <xdr:rowOff>161925</xdr:rowOff>
    </xdr:from>
    <xdr:to>
      <xdr:col>11</xdr:col>
      <xdr:colOff>57150</xdr:colOff>
      <xdr:row>356</xdr:row>
      <xdr:rowOff>2152650</xdr:rowOff>
    </xdr:to>
    <xdr:sp macro="" textlink="">
      <xdr:nvSpPr>
        <xdr:cNvPr id="37" name="Accolade fermante 36">
          <a:extLst>
            <a:ext uri="{FF2B5EF4-FFF2-40B4-BE49-F238E27FC236}">
              <a16:creationId xmlns:a16="http://schemas.microsoft.com/office/drawing/2014/main" id="{00000000-0008-0000-0D00-000025000000}"/>
            </a:ext>
          </a:extLst>
        </xdr:cNvPr>
        <xdr:cNvSpPr/>
      </xdr:nvSpPr>
      <xdr:spPr>
        <a:xfrm>
          <a:off x="9563099" y="86506050"/>
          <a:ext cx="266701" cy="1990725"/>
        </a:xfrm>
        <a:prstGeom prst="rightBrace">
          <a:avLst>
            <a:gd name="adj1" fmla="val 37222"/>
            <a:gd name="adj2" fmla="val 26129"/>
          </a:avLst>
        </a:prstGeom>
        <a:ln>
          <a:solidFill>
            <a:srgbClr val="00206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mc:AlternateContent xmlns:mc="http://schemas.openxmlformats.org/markup-compatibility/2006">
    <mc:Choice xmlns:a14="http://schemas.microsoft.com/office/drawing/2010/main" Requires="a14">
      <xdr:twoCellAnchor editAs="oneCell">
        <xdr:from>
          <xdr:col>13</xdr:col>
          <xdr:colOff>571500</xdr:colOff>
          <xdr:row>359</xdr:row>
          <xdr:rowOff>57151</xdr:rowOff>
        </xdr:from>
        <xdr:to>
          <xdr:col>13</xdr:col>
          <xdr:colOff>860986</xdr:colOff>
          <xdr:row>362</xdr:row>
          <xdr:rowOff>1</xdr:rowOff>
        </xdr:to>
        <xdr:pic>
          <xdr:nvPicPr>
            <xdr:cNvPr id="42" name="Image 41">
              <a:extLst>
                <a:ext uri="{FF2B5EF4-FFF2-40B4-BE49-F238E27FC236}">
                  <a16:creationId xmlns:a16="http://schemas.microsoft.com/office/drawing/2014/main" id="{00000000-0008-0000-0D00-00002A000000}"/>
                </a:ext>
              </a:extLst>
            </xdr:cNvPr>
            <xdr:cNvPicPr>
              <a:picLocks noChangeAspect="1" noChangeArrowheads="1"/>
              <a:extLst>
                <a:ext uri="{84589F7E-364E-4C9E-8A38-B11213B215E9}">
                  <a14:cameraTool cellRange="$H$351:$H$352" spid="_x0000_s636618"/>
                </a:ext>
              </a:extLst>
            </xdr:cNvPicPr>
          </xdr:nvPicPr>
          <xdr:blipFill rotWithShape="1">
            <a:blip xmlns:r="http://schemas.openxmlformats.org/officeDocument/2006/relationships" r:embed="rId14"/>
            <a:srcRect l="30120" r="32530"/>
            <a:stretch>
              <a:fillRect/>
            </a:stretch>
          </xdr:blipFill>
          <xdr:spPr bwMode="auto">
            <a:xfrm>
              <a:off x="11906250" y="97450276"/>
              <a:ext cx="289486" cy="4762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8</xdr:col>
      <xdr:colOff>47625</xdr:colOff>
      <xdr:row>387</xdr:row>
      <xdr:rowOff>85725</xdr:rowOff>
    </xdr:from>
    <xdr:to>
      <xdr:col>10</xdr:col>
      <xdr:colOff>771525</xdr:colOff>
      <xdr:row>387</xdr:row>
      <xdr:rowOff>2143125</xdr:rowOff>
    </xdr:to>
    <xdr:graphicFrame macro="">
      <xdr:nvGraphicFramePr>
        <xdr:cNvPr id="28" name="Graphique 27">
          <a:extLst>
            <a:ext uri="{FF2B5EF4-FFF2-40B4-BE49-F238E27FC236}">
              <a16:creationId xmlns:a16="http://schemas.microsoft.com/office/drawing/2014/main" id="{00000000-0008-0000-0D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571499</xdr:colOff>
      <xdr:row>387</xdr:row>
      <xdr:rowOff>161925</xdr:rowOff>
    </xdr:from>
    <xdr:to>
      <xdr:col>11</xdr:col>
      <xdr:colOff>57150</xdr:colOff>
      <xdr:row>387</xdr:row>
      <xdr:rowOff>2152650</xdr:rowOff>
    </xdr:to>
    <xdr:sp macro="" textlink="">
      <xdr:nvSpPr>
        <xdr:cNvPr id="38" name="Accolade fermante 37">
          <a:extLst>
            <a:ext uri="{FF2B5EF4-FFF2-40B4-BE49-F238E27FC236}">
              <a16:creationId xmlns:a16="http://schemas.microsoft.com/office/drawing/2014/main" id="{00000000-0008-0000-0D00-000026000000}"/>
            </a:ext>
          </a:extLst>
        </xdr:cNvPr>
        <xdr:cNvSpPr/>
      </xdr:nvSpPr>
      <xdr:spPr>
        <a:xfrm>
          <a:off x="9563099" y="95021400"/>
          <a:ext cx="266701" cy="1990725"/>
        </a:xfrm>
        <a:prstGeom prst="rightBrace">
          <a:avLst>
            <a:gd name="adj1" fmla="val 37222"/>
            <a:gd name="adj2" fmla="val 26129"/>
          </a:avLst>
        </a:prstGeom>
        <a:ln>
          <a:solidFill>
            <a:srgbClr val="00206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mc:AlternateContent xmlns:mc="http://schemas.openxmlformats.org/markup-compatibility/2006">
    <mc:Choice xmlns:a14="http://schemas.microsoft.com/office/drawing/2010/main" Requires="a14">
      <xdr:twoCellAnchor editAs="oneCell">
        <xdr:from>
          <xdr:col>11</xdr:col>
          <xdr:colOff>152401</xdr:colOff>
          <xdr:row>356</xdr:row>
          <xdr:rowOff>266700</xdr:rowOff>
        </xdr:from>
        <xdr:to>
          <xdr:col>13</xdr:col>
          <xdr:colOff>152401</xdr:colOff>
          <xdr:row>356</xdr:row>
          <xdr:rowOff>476250</xdr:rowOff>
        </xdr:to>
        <xdr:pic>
          <xdr:nvPicPr>
            <xdr:cNvPr id="45" name="Image 44">
              <a:extLst>
                <a:ext uri="{FF2B5EF4-FFF2-40B4-BE49-F238E27FC236}">
                  <a16:creationId xmlns:a16="http://schemas.microsoft.com/office/drawing/2014/main" id="{00000000-0008-0000-0D00-00002D000000}"/>
                </a:ext>
              </a:extLst>
            </xdr:cNvPr>
            <xdr:cNvPicPr>
              <a:picLocks noChangeAspect="1" noChangeArrowheads="1"/>
              <a:extLst>
                <a:ext uri="{84589F7E-364E-4C9E-8A38-B11213B215E9}">
                  <a14:cameraTool cellRange="$D$355:$E$355" spid="_x0000_s636619"/>
                </a:ext>
              </a:extLst>
            </xdr:cNvPicPr>
          </xdr:nvPicPr>
          <xdr:blipFill>
            <a:blip xmlns:r="http://schemas.openxmlformats.org/officeDocument/2006/relationships" r:embed="rId13"/>
            <a:srcRect/>
            <a:stretch>
              <a:fillRect/>
            </a:stretch>
          </xdr:blipFill>
          <xdr:spPr bwMode="auto">
            <a:xfrm>
              <a:off x="9925051" y="97726500"/>
              <a:ext cx="156210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387</xdr:row>
          <xdr:rowOff>276226</xdr:rowOff>
        </xdr:from>
        <xdr:to>
          <xdr:col>13</xdr:col>
          <xdr:colOff>191861</xdr:colOff>
          <xdr:row>387</xdr:row>
          <xdr:rowOff>485776</xdr:rowOff>
        </xdr:to>
        <xdr:pic>
          <xdr:nvPicPr>
            <xdr:cNvPr id="46" name="Image 45">
              <a:extLst>
                <a:ext uri="{FF2B5EF4-FFF2-40B4-BE49-F238E27FC236}">
                  <a16:creationId xmlns:a16="http://schemas.microsoft.com/office/drawing/2014/main" id="{00000000-0008-0000-0D00-00002E000000}"/>
                </a:ext>
              </a:extLst>
            </xdr:cNvPr>
            <xdr:cNvPicPr>
              <a:picLocks noChangeAspect="1" noChangeArrowheads="1"/>
              <a:extLst>
                <a:ext uri="{84589F7E-364E-4C9E-8A38-B11213B215E9}">
                  <a14:cameraTool cellRange="$D$386:$E$386" spid="_x0000_s636620"/>
                </a:ext>
              </a:extLst>
            </xdr:cNvPicPr>
          </xdr:nvPicPr>
          <xdr:blipFill>
            <a:blip xmlns:r="http://schemas.openxmlformats.org/officeDocument/2006/relationships" r:embed="rId17"/>
            <a:srcRect/>
            <a:stretch>
              <a:fillRect/>
            </a:stretch>
          </xdr:blipFill>
          <xdr:spPr bwMode="auto">
            <a:xfrm>
              <a:off x="10001250" y="105965626"/>
              <a:ext cx="1525361"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638175</xdr:colOff>
          <xdr:row>390</xdr:row>
          <xdr:rowOff>76200</xdr:rowOff>
        </xdr:from>
        <xdr:to>
          <xdr:col>13</xdr:col>
          <xdr:colOff>919069</xdr:colOff>
          <xdr:row>392</xdr:row>
          <xdr:rowOff>200025</xdr:rowOff>
        </xdr:to>
        <xdr:pic>
          <xdr:nvPicPr>
            <xdr:cNvPr id="47" name="Image 46">
              <a:extLst>
                <a:ext uri="{FF2B5EF4-FFF2-40B4-BE49-F238E27FC236}">
                  <a16:creationId xmlns:a16="http://schemas.microsoft.com/office/drawing/2014/main" id="{00000000-0008-0000-0D00-00002F000000}"/>
                </a:ext>
              </a:extLst>
            </xdr:cNvPr>
            <xdr:cNvPicPr>
              <a:picLocks noChangeAspect="1" noChangeArrowheads="1"/>
              <a:extLst>
                <a:ext uri="{84589F7E-364E-4C9E-8A38-B11213B215E9}">
                  <a14:cameraTool cellRange="$H$382:$H$383" spid="_x0000_s636621"/>
                </a:ext>
              </a:extLst>
            </xdr:cNvPicPr>
          </xdr:nvPicPr>
          <xdr:blipFill rotWithShape="1">
            <a:blip xmlns:r="http://schemas.openxmlformats.org/officeDocument/2006/relationships" r:embed="rId14"/>
            <a:srcRect l="30121" r="31325"/>
            <a:stretch>
              <a:fillRect/>
            </a:stretch>
          </xdr:blipFill>
          <xdr:spPr bwMode="auto">
            <a:xfrm>
              <a:off x="11972925" y="105698925"/>
              <a:ext cx="280894" cy="4476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623920</xdr:colOff>
          <xdr:row>125</xdr:row>
          <xdr:rowOff>3448049</xdr:rowOff>
        </xdr:from>
        <xdr:to>
          <xdr:col>14</xdr:col>
          <xdr:colOff>2047876</xdr:colOff>
          <xdr:row>125</xdr:row>
          <xdr:rowOff>3876674</xdr:rowOff>
        </xdr:to>
        <xdr:pic>
          <xdr:nvPicPr>
            <xdr:cNvPr id="49" name="Image 48">
              <a:extLst>
                <a:ext uri="{FF2B5EF4-FFF2-40B4-BE49-F238E27FC236}">
                  <a16:creationId xmlns:a16="http://schemas.microsoft.com/office/drawing/2014/main" id="{00000000-0008-0000-0D00-000031000000}"/>
                </a:ext>
              </a:extLst>
            </xdr:cNvPr>
            <xdr:cNvPicPr>
              <a:picLocks noChangeAspect="1" noChangeArrowheads="1"/>
              <a:extLst>
                <a:ext uri="{84589F7E-364E-4C9E-8A38-B11213B215E9}">
                  <a14:cameraTool cellRange="$E$124:$F$125" spid="_x0000_s636622"/>
                </a:ext>
              </a:extLst>
            </xdr:cNvPicPr>
          </xdr:nvPicPr>
          <xdr:blipFill>
            <a:blip xmlns:r="http://schemas.openxmlformats.org/officeDocument/2006/relationships" r:embed="rId18"/>
            <a:srcRect/>
            <a:stretch>
              <a:fillRect/>
            </a:stretch>
          </xdr:blipFill>
          <xdr:spPr bwMode="auto">
            <a:xfrm>
              <a:off x="13015945" y="37337999"/>
              <a:ext cx="1423956" cy="4286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2143126</xdr:colOff>
          <xdr:row>125</xdr:row>
          <xdr:rowOff>3448051</xdr:rowOff>
        </xdr:from>
        <xdr:to>
          <xdr:col>14</xdr:col>
          <xdr:colOff>3552825</xdr:colOff>
          <xdr:row>125</xdr:row>
          <xdr:rowOff>3883776</xdr:rowOff>
        </xdr:to>
        <xdr:pic>
          <xdr:nvPicPr>
            <xdr:cNvPr id="51" name="Image 50">
              <a:extLst>
                <a:ext uri="{FF2B5EF4-FFF2-40B4-BE49-F238E27FC236}">
                  <a16:creationId xmlns:a16="http://schemas.microsoft.com/office/drawing/2014/main" id="{00000000-0008-0000-0D00-000033000000}"/>
                </a:ext>
              </a:extLst>
            </xdr:cNvPr>
            <xdr:cNvPicPr>
              <a:picLocks noChangeAspect="1" noChangeArrowheads="1"/>
              <a:extLst>
                <a:ext uri="{84589F7E-364E-4C9E-8A38-B11213B215E9}">
                  <a14:cameraTool cellRange="$H$124:$I$125" spid="_x0000_s636623"/>
                </a:ext>
              </a:extLst>
            </xdr:cNvPicPr>
          </xdr:nvPicPr>
          <xdr:blipFill>
            <a:blip xmlns:r="http://schemas.openxmlformats.org/officeDocument/2006/relationships" r:embed="rId19"/>
            <a:srcRect/>
            <a:stretch>
              <a:fillRect/>
            </a:stretch>
          </xdr:blipFill>
          <xdr:spPr bwMode="auto">
            <a:xfrm>
              <a:off x="14535151" y="37338001"/>
              <a:ext cx="1409699" cy="4357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3657600</xdr:colOff>
          <xdr:row>125</xdr:row>
          <xdr:rowOff>3448050</xdr:rowOff>
        </xdr:from>
        <xdr:to>
          <xdr:col>14</xdr:col>
          <xdr:colOff>5076825</xdr:colOff>
          <xdr:row>125</xdr:row>
          <xdr:rowOff>3886719</xdr:rowOff>
        </xdr:to>
        <xdr:pic>
          <xdr:nvPicPr>
            <xdr:cNvPr id="52" name="Image 51">
              <a:extLst>
                <a:ext uri="{FF2B5EF4-FFF2-40B4-BE49-F238E27FC236}">
                  <a16:creationId xmlns:a16="http://schemas.microsoft.com/office/drawing/2014/main" id="{00000000-0008-0000-0D00-000034000000}"/>
                </a:ext>
              </a:extLst>
            </xdr:cNvPr>
            <xdr:cNvPicPr>
              <a:picLocks noChangeAspect="1" noChangeArrowheads="1"/>
              <a:extLst>
                <a:ext uri="{84589F7E-364E-4C9E-8A38-B11213B215E9}">
                  <a14:cameraTool cellRange="$K$124:$L$125" spid="_x0000_s636624"/>
                </a:ext>
              </a:extLst>
            </xdr:cNvPicPr>
          </xdr:nvPicPr>
          <xdr:blipFill>
            <a:blip xmlns:r="http://schemas.openxmlformats.org/officeDocument/2006/relationships" r:embed="rId20"/>
            <a:srcRect/>
            <a:stretch>
              <a:fillRect/>
            </a:stretch>
          </xdr:blipFill>
          <xdr:spPr bwMode="auto">
            <a:xfrm>
              <a:off x="16049625" y="37338000"/>
              <a:ext cx="1419225" cy="43866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14</xdr:col>
      <xdr:colOff>4614862</xdr:colOff>
      <xdr:row>218</xdr:row>
      <xdr:rowOff>1047751</xdr:rowOff>
    </xdr:from>
    <xdr:to>
      <xdr:col>14</xdr:col>
      <xdr:colOff>5438775</xdr:colOff>
      <xdr:row>218</xdr:row>
      <xdr:rowOff>1838325</xdr:rowOff>
    </xdr:to>
    <xdr:graphicFrame macro="">
      <xdr:nvGraphicFramePr>
        <xdr:cNvPr id="4" name="Graphique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4552950</xdr:colOff>
      <xdr:row>218</xdr:row>
      <xdr:rowOff>571500</xdr:rowOff>
    </xdr:from>
    <xdr:to>
      <xdr:col>14</xdr:col>
      <xdr:colOff>5495925</xdr:colOff>
      <xdr:row>218</xdr:row>
      <xdr:rowOff>1952624</xdr:rowOff>
    </xdr:to>
    <xdr:sp macro="" textlink="">
      <xdr:nvSpPr>
        <xdr:cNvPr id="5" name="Rectangle 4">
          <a:extLst>
            <a:ext uri="{FF2B5EF4-FFF2-40B4-BE49-F238E27FC236}">
              <a16:creationId xmlns:a16="http://schemas.microsoft.com/office/drawing/2014/main" id="{00000000-0008-0000-0D00-000005000000}"/>
            </a:ext>
          </a:extLst>
        </xdr:cNvPr>
        <xdr:cNvSpPr/>
      </xdr:nvSpPr>
      <xdr:spPr>
        <a:xfrm>
          <a:off x="16944975" y="59636025"/>
          <a:ext cx="942975" cy="1381124"/>
        </a:xfrm>
        <a:prstGeom prst="rect">
          <a:avLst/>
        </a:prstGeom>
        <a:noFill/>
        <a:ln>
          <a:solidFill>
            <a:schemeClr val="tx2">
              <a:lumMod val="60000"/>
              <a:lumOff val="40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8</xdr:col>
      <xdr:colOff>571500</xdr:colOff>
      <xdr:row>202</xdr:row>
      <xdr:rowOff>104775</xdr:rowOff>
    </xdr:from>
    <xdr:to>
      <xdr:col>8</xdr:col>
      <xdr:colOff>742950</xdr:colOff>
      <xdr:row>202</xdr:row>
      <xdr:rowOff>104775</xdr:rowOff>
    </xdr:to>
    <xdr:cxnSp macro="">
      <xdr:nvCxnSpPr>
        <xdr:cNvPr id="7" name="Connecteur droit 6">
          <a:extLst>
            <a:ext uri="{FF2B5EF4-FFF2-40B4-BE49-F238E27FC236}">
              <a16:creationId xmlns:a16="http://schemas.microsoft.com/office/drawing/2014/main" id="{00000000-0008-0000-0D00-000007000000}"/>
            </a:ext>
          </a:extLst>
        </xdr:cNvPr>
        <xdr:cNvCxnSpPr/>
      </xdr:nvCxnSpPr>
      <xdr:spPr>
        <a:xfrm>
          <a:off x="8001000" y="53663850"/>
          <a:ext cx="171450" cy="0"/>
        </a:xfrm>
        <a:prstGeom prst="line">
          <a:avLst/>
        </a:prstGeom>
        <a:ln w="19050">
          <a:solidFill>
            <a:schemeClr val="tx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14</xdr:col>
          <xdr:colOff>4591050</xdr:colOff>
          <xdr:row>218</xdr:row>
          <xdr:rowOff>638175</xdr:rowOff>
        </xdr:from>
        <xdr:to>
          <xdr:col>14</xdr:col>
          <xdr:colOff>5486400</xdr:colOff>
          <xdr:row>218</xdr:row>
          <xdr:rowOff>1019175</xdr:rowOff>
        </xdr:to>
        <xdr:pic>
          <xdr:nvPicPr>
            <xdr:cNvPr id="39" name="Image 38">
              <a:extLst>
                <a:ext uri="{FF2B5EF4-FFF2-40B4-BE49-F238E27FC236}">
                  <a16:creationId xmlns:a16="http://schemas.microsoft.com/office/drawing/2014/main" id="{00000000-0008-0000-0D00-000027000000}"/>
                </a:ext>
              </a:extLst>
            </xdr:cNvPr>
            <xdr:cNvPicPr>
              <a:picLocks noChangeAspect="1" noChangeArrowheads="1"/>
              <a:extLst>
                <a:ext uri="{84589F7E-364E-4C9E-8A38-B11213B215E9}">
                  <a14:cameraTool cellRange="$I$203:$K$204" spid="_x0000_s636625"/>
                </a:ext>
              </a:extLst>
            </xdr:cNvPicPr>
          </xdr:nvPicPr>
          <xdr:blipFill rotWithShape="1">
            <a:blip xmlns:r="http://schemas.openxmlformats.org/officeDocument/2006/relationships" r:embed="rId22"/>
            <a:srcRect l="25398" r="30769" b="2439"/>
            <a:stretch>
              <a:fillRect/>
            </a:stretch>
          </xdr:blipFill>
          <xdr:spPr bwMode="auto">
            <a:xfrm>
              <a:off x="16983075" y="59702700"/>
              <a:ext cx="895350" cy="3810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14</xdr:col>
      <xdr:colOff>4633912</xdr:colOff>
      <xdr:row>216</xdr:row>
      <xdr:rowOff>895351</xdr:rowOff>
    </xdr:from>
    <xdr:to>
      <xdr:col>14</xdr:col>
      <xdr:colOff>5457825</xdr:colOff>
      <xdr:row>216</xdr:row>
      <xdr:rowOff>1685925</xdr:rowOff>
    </xdr:to>
    <xdr:graphicFrame macro="">
      <xdr:nvGraphicFramePr>
        <xdr:cNvPr id="40" name="Graphique 39">
          <a:extLst>
            <a:ext uri="{FF2B5EF4-FFF2-40B4-BE49-F238E27FC236}">
              <a16:creationId xmlns:a16="http://schemas.microsoft.com/office/drawing/2014/main" id="{00000000-0008-0000-0D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4572000</xdr:colOff>
      <xdr:row>216</xdr:row>
      <xdr:rowOff>419100</xdr:rowOff>
    </xdr:from>
    <xdr:to>
      <xdr:col>14</xdr:col>
      <xdr:colOff>5534025</xdr:colOff>
      <xdr:row>216</xdr:row>
      <xdr:rowOff>1800224</xdr:rowOff>
    </xdr:to>
    <xdr:sp macro="" textlink="">
      <xdr:nvSpPr>
        <xdr:cNvPr id="43" name="Rectangle 42">
          <a:extLst>
            <a:ext uri="{FF2B5EF4-FFF2-40B4-BE49-F238E27FC236}">
              <a16:creationId xmlns:a16="http://schemas.microsoft.com/office/drawing/2014/main" id="{00000000-0008-0000-0D00-00002B000000}"/>
            </a:ext>
          </a:extLst>
        </xdr:cNvPr>
        <xdr:cNvSpPr/>
      </xdr:nvSpPr>
      <xdr:spPr>
        <a:xfrm>
          <a:off x="16964025" y="56368950"/>
          <a:ext cx="962025" cy="1381124"/>
        </a:xfrm>
        <a:prstGeom prst="rect">
          <a:avLst/>
        </a:prstGeom>
        <a:noFill/>
        <a:ln>
          <a:solidFill>
            <a:schemeClr val="tx2">
              <a:lumMod val="60000"/>
              <a:lumOff val="40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mc:AlternateContent xmlns:mc="http://schemas.openxmlformats.org/markup-compatibility/2006">
    <mc:Choice xmlns:a14="http://schemas.microsoft.com/office/drawing/2010/main" Requires="a14">
      <xdr:twoCellAnchor editAs="oneCell">
        <xdr:from>
          <xdr:col>14</xdr:col>
          <xdr:colOff>4610100</xdr:colOff>
          <xdr:row>216</xdr:row>
          <xdr:rowOff>485775</xdr:rowOff>
        </xdr:from>
        <xdr:to>
          <xdr:col>14</xdr:col>
          <xdr:colOff>5514975</xdr:colOff>
          <xdr:row>216</xdr:row>
          <xdr:rowOff>866775</xdr:rowOff>
        </xdr:to>
        <xdr:pic>
          <xdr:nvPicPr>
            <xdr:cNvPr id="44" name="Image 43">
              <a:extLst>
                <a:ext uri="{FF2B5EF4-FFF2-40B4-BE49-F238E27FC236}">
                  <a16:creationId xmlns:a16="http://schemas.microsoft.com/office/drawing/2014/main" id="{00000000-0008-0000-0D00-00002C000000}"/>
                </a:ext>
              </a:extLst>
            </xdr:cNvPr>
            <xdr:cNvPicPr>
              <a:picLocks noChangeAspect="1" noChangeArrowheads="1"/>
              <a:extLst>
                <a:ext uri="{84589F7E-364E-4C9E-8A38-B11213B215E9}">
                  <a14:cameraTool cellRange="$I$203:$K$204" spid="_x0000_s636626"/>
                </a:ext>
              </a:extLst>
            </xdr:cNvPicPr>
          </xdr:nvPicPr>
          <xdr:blipFill rotWithShape="1">
            <a:blip xmlns:r="http://schemas.openxmlformats.org/officeDocument/2006/relationships" r:embed="rId22"/>
            <a:srcRect l="25398" r="30769" b="2439"/>
            <a:stretch>
              <a:fillRect/>
            </a:stretch>
          </xdr:blipFill>
          <xdr:spPr bwMode="auto">
            <a:xfrm>
              <a:off x="17002125" y="56435625"/>
              <a:ext cx="904875" cy="381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1771650</xdr:colOff>
          <xdr:row>421</xdr:row>
          <xdr:rowOff>161925</xdr:rowOff>
        </xdr:from>
        <xdr:to>
          <xdr:col>14</xdr:col>
          <xdr:colOff>5038725</xdr:colOff>
          <xdr:row>421</xdr:row>
          <xdr:rowOff>1751312</xdr:rowOff>
        </xdr:to>
        <xdr:pic>
          <xdr:nvPicPr>
            <xdr:cNvPr id="50" name="Image 49">
              <a:extLst>
                <a:ext uri="{FF2B5EF4-FFF2-40B4-BE49-F238E27FC236}">
                  <a16:creationId xmlns:a16="http://schemas.microsoft.com/office/drawing/2014/main" id="{00000000-0008-0000-0D00-000032000000}"/>
                </a:ext>
              </a:extLst>
            </xdr:cNvPr>
            <xdr:cNvPicPr>
              <a:picLocks noChangeAspect="1" noChangeArrowheads="1"/>
              <a:extLst>
                <a:ext uri="{84589F7E-364E-4C9E-8A38-B11213B215E9}">
                  <a14:cameraTool cellRange="$N$416:$O$421" spid="_x0000_s636627"/>
                </a:ext>
              </a:extLst>
            </xdr:cNvPicPr>
          </xdr:nvPicPr>
          <xdr:blipFill rotWithShape="1">
            <a:blip xmlns:r="http://schemas.openxmlformats.org/officeDocument/2006/relationships" r:embed="rId24"/>
            <a:srcRect l="12177" r="35697" b="3804"/>
            <a:stretch>
              <a:fillRect/>
            </a:stretch>
          </xdr:blipFill>
          <xdr:spPr bwMode="auto">
            <a:xfrm>
              <a:off x="14163675" y="115662075"/>
              <a:ext cx="3267075" cy="1589387"/>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12</xdr:col>
      <xdr:colOff>523875</xdr:colOff>
      <xdr:row>324</xdr:row>
      <xdr:rowOff>571500</xdr:rowOff>
    </xdr:from>
    <xdr:to>
      <xdr:col>13</xdr:col>
      <xdr:colOff>943841</xdr:colOff>
      <xdr:row>324</xdr:row>
      <xdr:rowOff>1285875</xdr:rowOff>
    </xdr:to>
    <xdr:pic>
      <xdr:nvPicPr>
        <xdr:cNvPr id="6" name="Image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25"/>
        <a:srcRect b="50972"/>
        <a:stretch/>
      </xdr:blipFill>
      <xdr:spPr>
        <a:xfrm>
          <a:off x="11077575" y="89535000"/>
          <a:ext cx="1201016" cy="714375"/>
        </a:xfrm>
        <a:prstGeom prst="rect">
          <a:avLst/>
        </a:prstGeom>
      </xdr:spPr>
    </xdr:pic>
    <xdr:clientData/>
  </xdr:twoCellAnchor>
  <xdr:twoCellAnchor>
    <xdr:from>
      <xdr:col>12</xdr:col>
      <xdr:colOff>409575</xdr:colOff>
      <xdr:row>324</xdr:row>
      <xdr:rowOff>1400175</xdr:rowOff>
    </xdr:from>
    <xdr:to>
      <xdr:col>13</xdr:col>
      <xdr:colOff>538163</xdr:colOff>
      <xdr:row>325</xdr:row>
      <xdr:rowOff>38100</xdr:rowOff>
    </xdr:to>
    <xdr:graphicFrame macro="">
      <xdr:nvGraphicFramePr>
        <xdr:cNvPr id="53" name="Graphique 52">
          <a:extLst>
            <a:ext uri="{FF2B5EF4-FFF2-40B4-BE49-F238E27FC236}">
              <a16:creationId xmlns:a16="http://schemas.microsoft.com/office/drawing/2014/main" id="{00000000-0008-0000-0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11</xdr:col>
      <xdr:colOff>57150</xdr:colOff>
      <xdr:row>324</xdr:row>
      <xdr:rowOff>1476375</xdr:rowOff>
    </xdr:from>
    <xdr:to>
      <xdr:col>12</xdr:col>
      <xdr:colOff>438150</xdr:colOff>
      <xdr:row>325</xdr:row>
      <xdr:rowOff>0</xdr:rowOff>
    </xdr:to>
    <xdr:pic>
      <xdr:nvPicPr>
        <xdr:cNvPr id="54" name="Image 53">
          <a:extLst>
            <a:ext uri="{FF2B5EF4-FFF2-40B4-BE49-F238E27FC236}">
              <a16:creationId xmlns:a16="http://schemas.microsoft.com/office/drawing/2014/main" id="{00000000-0008-0000-0D00-000036000000}"/>
            </a:ext>
          </a:extLst>
        </xdr:cNvPr>
        <xdr:cNvPicPr>
          <a:picLocks noChangeAspect="1"/>
        </xdr:cNvPicPr>
      </xdr:nvPicPr>
      <xdr:blipFill rotWithShape="1">
        <a:blip xmlns:r="http://schemas.openxmlformats.org/officeDocument/2006/relationships" r:embed="rId25"/>
        <a:srcRect t="51641" r="3245" b="1292"/>
        <a:stretch/>
      </xdr:blipFill>
      <xdr:spPr>
        <a:xfrm>
          <a:off x="9829800" y="90439875"/>
          <a:ext cx="1162050" cy="685800"/>
        </a:xfrm>
        <a:prstGeom prst="rect">
          <a:avLst/>
        </a:prstGeom>
      </xdr:spPr>
    </xdr:pic>
    <xdr:clientData/>
  </xdr:twoCellAnchor>
  <xdr:twoCellAnchor editAs="oneCell">
    <xdr:from>
      <xdr:col>12</xdr:col>
      <xdr:colOff>695325</xdr:colOff>
      <xdr:row>356</xdr:row>
      <xdr:rowOff>600075</xdr:rowOff>
    </xdr:from>
    <xdr:to>
      <xdr:col>14</xdr:col>
      <xdr:colOff>58016</xdr:colOff>
      <xdr:row>356</xdr:row>
      <xdr:rowOff>1314450</xdr:rowOff>
    </xdr:to>
    <xdr:pic>
      <xdr:nvPicPr>
        <xdr:cNvPr id="55" name="Image 54">
          <a:extLst>
            <a:ext uri="{FF2B5EF4-FFF2-40B4-BE49-F238E27FC236}">
              <a16:creationId xmlns:a16="http://schemas.microsoft.com/office/drawing/2014/main" id="{00000000-0008-0000-0D00-000037000000}"/>
            </a:ext>
          </a:extLst>
        </xdr:cNvPr>
        <xdr:cNvPicPr>
          <a:picLocks noChangeAspect="1"/>
        </xdr:cNvPicPr>
      </xdr:nvPicPr>
      <xdr:blipFill rotWithShape="1">
        <a:blip xmlns:r="http://schemas.openxmlformats.org/officeDocument/2006/relationships" r:embed="rId25"/>
        <a:srcRect b="50972"/>
        <a:stretch/>
      </xdr:blipFill>
      <xdr:spPr>
        <a:xfrm>
          <a:off x="11249025" y="98059875"/>
          <a:ext cx="1201016" cy="714375"/>
        </a:xfrm>
        <a:prstGeom prst="rect">
          <a:avLst/>
        </a:prstGeom>
      </xdr:spPr>
    </xdr:pic>
    <xdr:clientData/>
  </xdr:twoCellAnchor>
  <xdr:twoCellAnchor editAs="oneCell">
    <xdr:from>
      <xdr:col>13</xdr:col>
      <xdr:colOff>28575</xdr:colOff>
      <xdr:row>387</xdr:row>
      <xdr:rowOff>600075</xdr:rowOff>
    </xdr:from>
    <xdr:to>
      <xdr:col>14</xdr:col>
      <xdr:colOff>172316</xdr:colOff>
      <xdr:row>387</xdr:row>
      <xdr:rowOff>1314450</xdr:rowOff>
    </xdr:to>
    <xdr:pic>
      <xdr:nvPicPr>
        <xdr:cNvPr id="56" name="Image 55">
          <a:extLst>
            <a:ext uri="{FF2B5EF4-FFF2-40B4-BE49-F238E27FC236}">
              <a16:creationId xmlns:a16="http://schemas.microsoft.com/office/drawing/2014/main" id="{00000000-0008-0000-0D00-000038000000}"/>
            </a:ext>
          </a:extLst>
        </xdr:cNvPr>
        <xdr:cNvPicPr>
          <a:picLocks noChangeAspect="1"/>
        </xdr:cNvPicPr>
      </xdr:nvPicPr>
      <xdr:blipFill rotWithShape="1">
        <a:blip xmlns:r="http://schemas.openxmlformats.org/officeDocument/2006/relationships" r:embed="rId25"/>
        <a:srcRect b="50972"/>
        <a:stretch/>
      </xdr:blipFill>
      <xdr:spPr>
        <a:xfrm>
          <a:off x="11363325" y="106289475"/>
          <a:ext cx="1201016" cy="714375"/>
        </a:xfrm>
        <a:prstGeom prst="rect">
          <a:avLst/>
        </a:prstGeom>
      </xdr:spPr>
    </xdr:pic>
    <xdr:clientData/>
  </xdr:twoCellAnchor>
  <xdr:twoCellAnchor editAs="oneCell">
    <xdr:from>
      <xdr:col>11</xdr:col>
      <xdr:colOff>257175</xdr:colOff>
      <xdr:row>356</xdr:row>
      <xdr:rowOff>1485900</xdr:rowOff>
    </xdr:from>
    <xdr:to>
      <xdr:col>12</xdr:col>
      <xdr:colOff>638175</xdr:colOff>
      <xdr:row>357</xdr:row>
      <xdr:rowOff>9525</xdr:rowOff>
    </xdr:to>
    <xdr:pic>
      <xdr:nvPicPr>
        <xdr:cNvPr id="57" name="Image 56">
          <a:extLst>
            <a:ext uri="{FF2B5EF4-FFF2-40B4-BE49-F238E27FC236}">
              <a16:creationId xmlns:a16="http://schemas.microsoft.com/office/drawing/2014/main" id="{00000000-0008-0000-0D00-000039000000}"/>
            </a:ext>
          </a:extLst>
        </xdr:cNvPr>
        <xdr:cNvPicPr>
          <a:picLocks noChangeAspect="1"/>
        </xdr:cNvPicPr>
      </xdr:nvPicPr>
      <xdr:blipFill rotWithShape="1">
        <a:blip xmlns:r="http://schemas.openxmlformats.org/officeDocument/2006/relationships" r:embed="rId25"/>
        <a:srcRect t="51641" r="3245" b="1292"/>
        <a:stretch/>
      </xdr:blipFill>
      <xdr:spPr>
        <a:xfrm>
          <a:off x="10029825" y="98945700"/>
          <a:ext cx="1162050" cy="685800"/>
        </a:xfrm>
        <a:prstGeom prst="rect">
          <a:avLst/>
        </a:prstGeom>
      </xdr:spPr>
    </xdr:pic>
    <xdr:clientData/>
  </xdr:twoCellAnchor>
  <xdr:twoCellAnchor editAs="oneCell">
    <xdr:from>
      <xdr:col>11</xdr:col>
      <xdr:colOff>238125</xdr:colOff>
      <xdr:row>387</xdr:row>
      <xdr:rowOff>1428750</xdr:rowOff>
    </xdr:from>
    <xdr:to>
      <xdr:col>12</xdr:col>
      <xdr:colOff>619125</xdr:colOff>
      <xdr:row>387</xdr:row>
      <xdr:rowOff>2114550</xdr:rowOff>
    </xdr:to>
    <xdr:pic>
      <xdr:nvPicPr>
        <xdr:cNvPr id="58" name="Image 57">
          <a:extLst>
            <a:ext uri="{FF2B5EF4-FFF2-40B4-BE49-F238E27FC236}">
              <a16:creationId xmlns:a16="http://schemas.microsoft.com/office/drawing/2014/main" id="{00000000-0008-0000-0D00-00003A000000}"/>
            </a:ext>
          </a:extLst>
        </xdr:cNvPr>
        <xdr:cNvPicPr>
          <a:picLocks noChangeAspect="1"/>
        </xdr:cNvPicPr>
      </xdr:nvPicPr>
      <xdr:blipFill rotWithShape="1">
        <a:blip xmlns:r="http://schemas.openxmlformats.org/officeDocument/2006/relationships" r:embed="rId25"/>
        <a:srcRect t="51641" r="3245" b="1292"/>
        <a:stretch/>
      </xdr:blipFill>
      <xdr:spPr>
        <a:xfrm>
          <a:off x="10010775" y="107118150"/>
          <a:ext cx="1162050" cy="685800"/>
        </a:xfrm>
        <a:prstGeom prst="rect">
          <a:avLst/>
        </a:prstGeom>
      </xdr:spPr>
    </xdr:pic>
    <xdr:clientData/>
  </xdr:twoCellAnchor>
  <xdr:twoCellAnchor>
    <xdr:from>
      <xdr:col>11</xdr:col>
      <xdr:colOff>542925</xdr:colOff>
      <xdr:row>356</xdr:row>
      <xdr:rowOff>561975</xdr:rowOff>
    </xdr:from>
    <xdr:to>
      <xdr:col>12</xdr:col>
      <xdr:colOff>671513</xdr:colOff>
      <xdr:row>356</xdr:row>
      <xdr:rowOff>1362075</xdr:rowOff>
    </xdr:to>
    <xdr:graphicFrame macro="">
      <xdr:nvGraphicFramePr>
        <xdr:cNvPr id="59" name="Graphique 58">
          <a:extLst>
            <a:ext uri="{FF2B5EF4-FFF2-40B4-BE49-F238E27FC236}">
              <a16:creationId xmlns:a16="http://schemas.microsoft.com/office/drawing/2014/main" id="{00000000-0008-0000-0D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685800</xdr:colOff>
      <xdr:row>356</xdr:row>
      <xdr:rowOff>1428750</xdr:rowOff>
    </xdr:from>
    <xdr:to>
      <xdr:col>13</xdr:col>
      <xdr:colOff>814388</xdr:colOff>
      <xdr:row>357</xdr:row>
      <xdr:rowOff>66675</xdr:rowOff>
    </xdr:to>
    <xdr:graphicFrame macro="">
      <xdr:nvGraphicFramePr>
        <xdr:cNvPr id="60" name="Graphique 59">
          <a:extLst>
            <a:ext uri="{FF2B5EF4-FFF2-40B4-BE49-F238E27FC236}">
              <a16:creationId xmlns:a16="http://schemas.microsoft.com/office/drawing/2014/main" id="{00000000-0008-0000-0D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685800</xdr:colOff>
      <xdr:row>387</xdr:row>
      <xdr:rowOff>561975</xdr:rowOff>
    </xdr:from>
    <xdr:to>
      <xdr:col>13</xdr:col>
      <xdr:colOff>33338</xdr:colOff>
      <xdr:row>387</xdr:row>
      <xdr:rowOff>1362075</xdr:rowOff>
    </xdr:to>
    <xdr:graphicFrame macro="">
      <xdr:nvGraphicFramePr>
        <xdr:cNvPr id="61" name="Graphique 60">
          <a:extLst>
            <a:ext uri="{FF2B5EF4-FFF2-40B4-BE49-F238E27FC236}">
              <a16:creationId xmlns:a16="http://schemas.microsoft.com/office/drawing/2014/main" id="{00000000-0008-0000-0D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12</xdr:col>
      <xdr:colOff>628650</xdr:colOff>
      <xdr:row>387</xdr:row>
      <xdr:rowOff>1390650</xdr:rowOff>
    </xdr:from>
    <xdr:to>
      <xdr:col>13</xdr:col>
      <xdr:colOff>757238</xdr:colOff>
      <xdr:row>388</xdr:row>
      <xdr:rowOff>28575</xdr:rowOff>
    </xdr:to>
    <xdr:graphicFrame macro="">
      <xdr:nvGraphicFramePr>
        <xdr:cNvPr id="62" name="Graphique 61">
          <a:extLst>
            <a:ext uri="{FF2B5EF4-FFF2-40B4-BE49-F238E27FC236}">
              <a16:creationId xmlns:a16="http://schemas.microsoft.com/office/drawing/2014/main" id="{00000000-0008-0000-0D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371475</xdr:colOff>
          <xdr:row>216</xdr:row>
          <xdr:rowOff>2409826</xdr:rowOff>
        </xdr:from>
        <xdr:to>
          <xdr:col>14</xdr:col>
          <xdr:colOff>3543300</xdr:colOff>
          <xdr:row>216</xdr:row>
          <xdr:rowOff>2714626</xdr:rowOff>
        </xdr:to>
        <xdr:pic>
          <xdr:nvPicPr>
            <xdr:cNvPr id="64" name="Image 63">
              <a:extLst>
                <a:ext uri="{FF2B5EF4-FFF2-40B4-BE49-F238E27FC236}">
                  <a16:creationId xmlns:a16="http://schemas.microsoft.com/office/drawing/2014/main" id="{00000000-0008-0000-0D00-000040000000}"/>
                </a:ext>
              </a:extLst>
            </xdr:cNvPr>
            <xdr:cNvPicPr>
              <a:picLocks noChangeAspect="1" noChangeArrowheads="1"/>
              <a:extLst>
                <a:ext uri="{84589F7E-364E-4C9E-8A38-B11213B215E9}">
                  <a14:cameraTool cellRange="$F$208:$N$210" spid="_x0000_s636628"/>
                </a:ext>
              </a:extLst>
            </xdr:cNvPicPr>
          </xdr:nvPicPr>
          <xdr:blipFill rotWithShape="1">
            <a:blip xmlns:r="http://schemas.openxmlformats.org/officeDocument/2006/relationships" r:embed="rId31"/>
            <a:srcRect l="6510" t="5808" r="41293" b="23998"/>
            <a:stretch>
              <a:fillRect/>
            </a:stretch>
          </xdr:blipFill>
          <xdr:spPr bwMode="auto">
            <a:xfrm>
              <a:off x="12763500" y="59150251"/>
              <a:ext cx="3171825"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3781425</xdr:colOff>
          <xdr:row>216</xdr:row>
          <xdr:rowOff>2419350</xdr:rowOff>
        </xdr:from>
        <xdr:to>
          <xdr:col>14</xdr:col>
          <xdr:colOff>5391149</xdr:colOff>
          <xdr:row>216</xdr:row>
          <xdr:rowOff>2714625</xdr:rowOff>
        </xdr:to>
        <xdr:pic>
          <xdr:nvPicPr>
            <xdr:cNvPr id="65" name="Image 64">
              <a:extLst>
                <a:ext uri="{FF2B5EF4-FFF2-40B4-BE49-F238E27FC236}">
                  <a16:creationId xmlns:a16="http://schemas.microsoft.com/office/drawing/2014/main" id="{00000000-0008-0000-0D00-000041000000}"/>
                </a:ext>
              </a:extLst>
            </xdr:cNvPr>
            <xdr:cNvPicPr>
              <a:picLocks noChangeAspect="1" noChangeArrowheads="1"/>
              <a:extLst>
                <a:ext uri="{84589F7E-364E-4C9E-8A38-B11213B215E9}">
                  <a14:cameraTool cellRange="$F$208:$N$210" spid="_x0000_s636629"/>
                </a:ext>
              </a:extLst>
            </xdr:cNvPicPr>
          </xdr:nvPicPr>
          <xdr:blipFill rotWithShape="1">
            <a:blip xmlns:r="http://schemas.openxmlformats.org/officeDocument/2006/relationships" r:embed="rId32"/>
            <a:srcRect l="69994" t="8001" r="3516" b="23999"/>
            <a:stretch>
              <a:fillRect/>
            </a:stretch>
          </xdr:blipFill>
          <xdr:spPr bwMode="auto">
            <a:xfrm>
              <a:off x="16173450" y="59159775"/>
              <a:ext cx="1609724" cy="295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123824</xdr:colOff>
          <xdr:row>218</xdr:row>
          <xdr:rowOff>2438401</xdr:rowOff>
        </xdr:from>
        <xdr:to>
          <xdr:col>14</xdr:col>
          <xdr:colOff>5534025</xdr:colOff>
          <xdr:row>218</xdr:row>
          <xdr:rowOff>2760759</xdr:rowOff>
        </xdr:to>
        <xdr:pic>
          <xdr:nvPicPr>
            <xdr:cNvPr id="66" name="Image 65">
              <a:extLst>
                <a:ext uri="{FF2B5EF4-FFF2-40B4-BE49-F238E27FC236}">
                  <a16:creationId xmlns:a16="http://schemas.microsoft.com/office/drawing/2014/main" id="{00000000-0008-0000-0D00-000042000000}"/>
                </a:ext>
              </a:extLst>
            </xdr:cNvPr>
            <xdr:cNvPicPr>
              <a:picLocks noChangeAspect="1" noChangeArrowheads="1"/>
              <a:extLst>
                <a:ext uri="{84589F7E-364E-4C9E-8A38-B11213B215E9}">
                  <a14:cameraTool cellRange="$F$210:$N$212" spid="_x0000_s636630"/>
                </a:ext>
              </a:extLst>
            </xdr:cNvPicPr>
          </xdr:nvPicPr>
          <xdr:blipFill rotWithShape="1">
            <a:blip xmlns:r="http://schemas.openxmlformats.org/officeDocument/2006/relationships" r:embed="rId33"/>
            <a:srcRect l="7162" t="22951" r="2344" b="18032"/>
            <a:stretch>
              <a:fillRect/>
            </a:stretch>
          </xdr:blipFill>
          <xdr:spPr bwMode="auto">
            <a:xfrm>
              <a:off x="12515849" y="62293501"/>
              <a:ext cx="5410201" cy="32235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2">
            <a:lumMod val="40000"/>
            <a:lumOff val="60000"/>
          </a:schemeClr>
        </a:solidFill>
        <a:ln>
          <a:noFill/>
        </a:ln>
      </a:spPr>
      <a:bodyPr vertOverflow="clip" horzOverflow="clip" rtlCol="0" anchor="ctr"/>
      <a:lstStyle>
        <a:defPPr algn="ctr">
          <a:defRPr sz="1050" i="1">
            <a:solidFill>
              <a:schemeClr val="bg1">
                <a:lumMod val="50000"/>
              </a:schemeClr>
            </a:solidFill>
          </a:defRPr>
        </a:defPPr>
      </a:lstStyle>
      <a:style>
        <a:lnRef idx="0">
          <a:scrgbClr r="0" g="0" b="0"/>
        </a:lnRef>
        <a:fillRef idx="0">
          <a:scrgbClr r="0" g="0" b="0"/>
        </a:fillRef>
        <a:effectRef idx="0">
          <a:scrgbClr r="0" g="0" b="0"/>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fr.surveymonkey.com/r/PGA-Eau"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pageSetUpPr fitToPage="1"/>
  </sheetPr>
  <dimension ref="A1:R188"/>
  <sheetViews>
    <sheetView showGridLines="0" tabSelected="1" zoomScaleNormal="100" workbookViewId="0"/>
  </sheetViews>
  <sheetFormatPr baseColWidth="10" defaultRowHeight="15" x14ac:dyDescent="0.25"/>
  <cols>
    <col min="1" max="1" width="1.5703125" style="28" customWidth="1"/>
    <col min="2" max="2" width="5.5703125" style="28" customWidth="1"/>
    <col min="3" max="3" width="5.85546875" style="28" customWidth="1"/>
    <col min="4" max="4" width="9.42578125" style="28" customWidth="1"/>
    <col min="5" max="5" width="25.5703125" style="28" customWidth="1"/>
    <col min="6" max="6" width="5.140625" style="28" customWidth="1"/>
    <col min="7" max="9" width="13.85546875" style="28" customWidth="1"/>
    <col min="10" max="10" width="44.42578125" style="28" customWidth="1"/>
    <col min="11" max="11" width="13.85546875" style="28" customWidth="1"/>
    <col min="12" max="12" width="15.140625" style="28" customWidth="1"/>
    <col min="13" max="13" width="1.7109375" style="28" customWidth="1"/>
    <col min="14" max="14" width="3.7109375" style="28" customWidth="1"/>
    <col min="15" max="16" width="19.42578125" style="28" customWidth="1"/>
    <col min="17" max="17" width="6.42578125" style="28" customWidth="1"/>
    <col min="18" max="18" width="1.7109375" style="28" customWidth="1"/>
    <col min="19" max="16384" width="11.42578125" style="28"/>
  </cols>
  <sheetData>
    <row r="1" spans="1:17" ht="6.75" customHeight="1" thickBot="1" x14ac:dyDescent="0.3"/>
    <row r="2" spans="1:17" ht="14.45" customHeight="1" x14ac:dyDescent="0.25">
      <c r="A2" s="1229"/>
      <c r="B2" s="2738" t="s">
        <v>1718</v>
      </c>
      <c r="C2" s="2739"/>
      <c r="D2" s="2739"/>
      <c r="E2" s="2739"/>
      <c r="F2" s="2739"/>
      <c r="G2" s="2739"/>
      <c r="H2" s="2739"/>
      <c r="I2" s="2739"/>
      <c r="J2" s="2739"/>
      <c r="K2" s="2739"/>
      <c r="L2" s="2739"/>
      <c r="M2" s="2739"/>
      <c r="N2" s="2739"/>
      <c r="O2" s="2739"/>
      <c r="P2" s="2739"/>
      <c r="Q2" s="2740"/>
    </row>
    <row r="3" spans="1:17" ht="12.6" customHeight="1" x14ac:dyDescent="0.25">
      <c r="A3" s="1229"/>
      <c r="B3" s="2741"/>
      <c r="C3" s="2742"/>
      <c r="D3" s="2742"/>
      <c r="E3" s="2742"/>
      <c r="F3" s="2742"/>
      <c r="G3" s="2742"/>
      <c r="H3" s="2742"/>
      <c r="I3" s="2742"/>
      <c r="J3" s="2742"/>
      <c r="K3" s="2742"/>
      <c r="L3" s="2742"/>
      <c r="M3" s="2742"/>
      <c r="N3" s="2742"/>
      <c r="O3" s="2742"/>
      <c r="P3" s="2742"/>
      <c r="Q3" s="2743"/>
    </row>
    <row r="4" spans="1:17" ht="14.45" customHeight="1" x14ac:dyDescent="0.25">
      <c r="A4" s="1229"/>
      <c r="B4" s="2741"/>
      <c r="C4" s="2742"/>
      <c r="D4" s="2742"/>
      <c r="E4" s="2742"/>
      <c r="F4" s="2742"/>
      <c r="G4" s="2742"/>
      <c r="H4" s="2742"/>
      <c r="I4" s="2742"/>
      <c r="J4" s="2742"/>
      <c r="K4" s="2742"/>
      <c r="L4" s="2742"/>
      <c r="M4" s="2742"/>
      <c r="N4" s="2742"/>
      <c r="O4" s="2742"/>
      <c r="P4" s="2742"/>
      <c r="Q4" s="2743"/>
    </row>
    <row r="5" spans="1:17" ht="20.25" customHeight="1" thickBot="1" x14ac:dyDescent="0.3">
      <c r="A5" s="1229"/>
      <c r="B5" s="2744"/>
      <c r="C5" s="2745"/>
      <c r="D5" s="2745"/>
      <c r="E5" s="2745"/>
      <c r="F5" s="2745"/>
      <c r="G5" s="2745"/>
      <c r="H5" s="2745"/>
      <c r="I5" s="2745"/>
      <c r="J5" s="2745"/>
      <c r="K5" s="2745"/>
      <c r="L5" s="2745"/>
      <c r="M5" s="2745"/>
      <c r="N5" s="2745"/>
      <c r="O5" s="2745"/>
      <c r="P5" s="2745"/>
      <c r="Q5" s="2746"/>
    </row>
    <row r="6" spans="1:17" ht="29.25" customHeight="1" x14ac:dyDescent="0.25">
      <c r="B6" s="976"/>
      <c r="D6" s="1230" t="s">
        <v>2148</v>
      </c>
      <c r="G6" s="1216"/>
      <c r="N6" s="606"/>
      <c r="O6" s="606"/>
      <c r="P6" s="606"/>
      <c r="Q6" s="606"/>
    </row>
    <row r="7" spans="1:17" ht="12.75" customHeight="1" x14ac:dyDescent="0.25">
      <c r="A7" s="1229"/>
      <c r="B7" s="1231"/>
      <c r="C7" s="1231"/>
      <c r="D7" s="979"/>
      <c r="F7" s="1231"/>
      <c r="G7" s="1231"/>
      <c r="H7" s="1231"/>
      <c r="I7" s="1231"/>
      <c r="J7" s="1231"/>
      <c r="K7" s="1231"/>
      <c r="L7" s="1231"/>
      <c r="M7" s="1231"/>
      <c r="N7" s="1231"/>
      <c r="O7" s="1231"/>
      <c r="P7" s="1231"/>
      <c r="Q7" s="1231"/>
    </row>
    <row r="8" spans="1:17" ht="35.25" customHeight="1" x14ac:dyDescent="0.25">
      <c r="A8" s="1229"/>
      <c r="B8" s="1231"/>
      <c r="C8" s="1231"/>
      <c r="D8" s="1231"/>
      <c r="E8" s="1231"/>
      <c r="F8" s="1231"/>
      <c r="G8" s="1231"/>
      <c r="H8" s="1231"/>
      <c r="I8" s="1231"/>
      <c r="J8" s="1231"/>
      <c r="K8" s="1231"/>
      <c r="L8" s="1231"/>
      <c r="M8" s="1231"/>
      <c r="N8" s="1231"/>
      <c r="O8" s="1231"/>
      <c r="P8" s="1231"/>
      <c r="Q8" s="1231"/>
    </row>
    <row r="9" spans="1:17" ht="35.25" customHeight="1" x14ac:dyDescent="0.25">
      <c r="A9" s="1229"/>
      <c r="B9" s="1231"/>
      <c r="C9" s="1231"/>
      <c r="D9" s="1231"/>
      <c r="E9" s="1231"/>
      <c r="F9" s="1231"/>
      <c r="G9" s="1231"/>
      <c r="H9" s="1231"/>
      <c r="I9" s="1231"/>
      <c r="J9" s="1231"/>
      <c r="K9" s="1231"/>
      <c r="L9" s="1231"/>
      <c r="M9" s="1231"/>
      <c r="N9" s="1231"/>
      <c r="O9" s="1231"/>
      <c r="P9" s="1231"/>
      <c r="Q9" s="1231"/>
    </row>
    <row r="10" spans="1:17" ht="35.25" customHeight="1" x14ac:dyDescent="0.25">
      <c r="A10" s="1229"/>
      <c r="B10" s="1231"/>
      <c r="C10" s="1231"/>
      <c r="D10" s="1231"/>
      <c r="E10" s="1231"/>
      <c r="F10" s="1231"/>
      <c r="G10" s="1231"/>
      <c r="H10" s="1231"/>
      <c r="I10" s="1231"/>
      <c r="J10" s="1231"/>
      <c r="K10" s="1231"/>
      <c r="L10" s="1231"/>
      <c r="M10" s="1231"/>
      <c r="N10" s="1231"/>
      <c r="O10" s="1231"/>
      <c r="P10" s="1231"/>
      <c r="Q10" s="1231"/>
    </row>
    <row r="11" spans="1:17" ht="35.25" customHeight="1" x14ac:dyDescent="0.25">
      <c r="A11" s="1229"/>
      <c r="B11" s="1231"/>
      <c r="C11" s="1231"/>
      <c r="D11" s="1231"/>
      <c r="E11" s="1231"/>
      <c r="F11" s="1231"/>
      <c r="G11" s="1231"/>
      <c r="H11" s="1231"/>
      <c r="I11" s="1231"/>
      <c r="J11" s="1231"/>
      <c r="K11" s="1231"/>
      <c r="L11" s="1231"/>
      <c r="M11" s="1231"/>
      <c r="N11" s="1231"/>
      <c r="O11" s="1231"/>
      <c r="P11" s="1231"/>
      <c r="Q11" s="1231"/>
    </row>
    <row r="12" spans="1:17" ht="16.5" customHeight="1" x14ac:dyDescent="0.25">
      <c r="B12" s="2747" t="s">
        <v>1719</v>
      </c>
      <c r="C12" s="2747"/>
      <c r="D12" s="2747"/>
      <c r="E12" s="2747"/>
      <c r="F12" s="2747"/>
      <c r="G12" s="2747"/>
      <c r="H12" s="2747"/>
      <c r="I12" s="2747"/>
      <c r="J12" s="2747"/>
      <c r="K12" s="2747"/>
      <c r="L12" s="2747"/>
      <c r="M12" s="2747"/>
      <c r="N12" s="2747"/>
      <c r="O12" s="2747"/>
      <c r="P12" s="2747"/>
      <c r="Q12" s="2747"/>
    </row>
    <row r="13" spans="1:17" ht="16.5" customHeight="1" x14ac:dyDescent="0.25">
      <c r="B13" s="2747"/>
      <c r="C13" s="2747"/>
      <c r="D13" s="2747"/>
      <c r="E13" s="2747"/>
      <c r="F13" s="2747"/>
      <c r="G13" s="2747"/>
      <c r="H13" s="2747"/>
      <c r="I13" s="2747"/>
      <c r="J13" s="2747"/>
      <c r="K13" s="2747"/>
      <c r="L13" s="2747"/>
      <c r="M13" s="2747"/>
      <c r="N13" s="2747"/>
      <c r="O13" s="2747"/>
      <c r="P13" s="2747"/>
      <c r="Q13" s="2747"/>
    </row>
    <row r="14" spans="1:17" ht="14.45" customHeight="1" thickBot="1" x14ac:dyDescent="0.3">
      <c r="B14" s="1232"/>
      <c r="C14" s="1232"/>
      <c r="D14" s="1232"/>
      <c r="E14" s="1232"/>
      <c r="F14" s="1232"/>
      <c r="G14" s="1232"/>
      <c r="H14" s="1232"/>
      <c r="I14" s="1232"/>
      <c r="J14" s="1232"/>
      <c r="K14" s="1232"/>
      <c r="L14" s="1232"/>
      <c r="M14" s="1232"/>
      <c r="N14" s="1232"/>
      <c r="O14" s="1232"/>
      <c r="P14" s="1232"/>
      <c r="Q14" s="1232"/>
    </row>
    <row r="15" spans="1:17" ht="14.45" customHeight="1" x14ac:dyDescent="0.25">
      <c r="B15" s="2748" t="s">
        <v>2147</v>
      </c>
      <c r="C15" s="2749"/>
      <c r="D15" s="2749"/>
      <c r="E15" s="2749"/>
      <c r="F15" s="2749"/>
      <c r="G15" s="2749"/>
      <c r="H15" s="2749"/>
      <c r="I15" s="2749"/>
      <c r="J15" s="2749"/>
      <c r="K15" s="2749"/>
      <c r="L15" s="2749"/>
      <c r="M15" s="2749"/>
      <c r="N15" s="2749"/>
      <c r="O15" s="2749"/>
      <c r="P15" s="2749"/>
      <c r="Q15" s="2750"/>
    </row>
    <row r="16" spans="1:17" ht="14.45" customHeight="1" x14ac:dyDescent="0.25">
      <c r="B16" s="2751"/>
      <c r="C16" s="2752"/>
      <c r="D16" s="2752"/>
      <c r="E16" s="2752"/>
      <c r="F16" s="2752"/>
      <c r="G16" s="2752"/>
      <c r="H16" s="2752"/>
      <c r="I16" s="2752"/>
      <c r="J16" s="2752"/>
      <c r="K16" s="2752"/>
      <c r="L16" s="2752"/>
      <c r="M16" s="2752"/>
      <c r="N16" s="2752"/>
      <c r="O16" s="2752"/>
      <c r="P16" s="2752"/>
      <c r="Q16" s="2753"/>
    </row>
    <row r="17" spans="1:18" ht="14.45" customHeight="1" x14ac:dyDescent="0.25">
      <c r="B17" s="2751"/>
      <c r="C17" s="2752"/>
      <c r="D17" s="2752"/>
      <c r="E17" s="2752"/>
      <c r="F17" s="2752"/>
      <c r="G17" s="2752"/>
      <c r="H17" s="2752"/>
      <c r="I17" s="2752"/>
      <c r="J17" s="2752"/>
      <c r="K17" s="2752"/>
      <c r="L17" s="2752"/>
      <c r="M17" s="2752"/>
      <c r="N17" s="2752"/>
      <c r="O17" s="2752"/>
      <c r="P17" s="2752"/>
      <c r="Q17" s="2753"/>
    </row>
    <row r="18" spans="1:18" ht="14.45" customHeight="1" x14ac:dyDescent="0.25">
      <c r="B18" s="2751"/>
      <c r="C18" s="2752"/>
      <c r="D18" s="2752"/>
      <c r="E18" s="2752"/>
      <c r="F18" s="2752"/>
      <c r="G18" s="2752"/>
      <c r="H18" s="2752"/>
      <c r="I18" s="2752"/>
      <c r="J18" s="2752"/>
      <c r="K18" s="2752"/>
      <c r="L18" s="2752"/>
      <c r="M18" s="2752"/>
      <c r="N18" s="2752"/>
      <c r="O18" s="2752"/>
      <c r="P18" s="2752"/>
      <c r="Q18" s="2753"/>
    </row>
    <row r="19" spans="1:18" ht="14.45" customHeight="1" x14ac:dyDescent="0.25">
      <c r="A19" s="1048"/>
      <c r="B19" s="2751"/>
      <c r="C19" s="2752"/>
      <c r="D19" s="2752"/>
      <c r="E19" s="2752"/>
      <c r="F19" s="2752"/>
      <c r="G19" s="2752"/>
      <c r="H19" s="2752"/>
      <c r="I19" s="2752"/>
      <c r="J19" s="2752"/>
      <c r="K19" s="2752"/>
      <c r="L19" s="2752"/>
      <c r="M19" s="2752"/>
      <c r="N19" s="2752"/>
      <c r="O19" s="2752"/>
      <c r="P19" s="2752"/>
      <c r="Q19" s="2753"/>
      <c r="R19" s="1048"/>
    </row>
    <row r="20" spans="1:18" ht="19.5" customHeight="1" thickBot="1" x14ac:dyDescent="0.3">
      <c r="A20" s="1048"/>
      <c r="B20" s="2754"/>
      <c r="C20" s="2755"/>
      <c r="D20" s="2755"/>
      <c r="E20" s="2755"/>
      <c r="F20" s="2755"/>
      <c r="G20" s="2755"/>
      <c r="H20" s="2755"/>
      <c r="I20" s="2755"/>
      <c r="J20" s="2755"/>
      <c r="K20" s="2755"/>
      <c r="L20" s="2755"/>
      <c r="M20" s="2755"/>
      <c r="N20" s="2755"/>
      <c r="O20" s="2755"/>
      <c r="P20" s="2755"/>
      <c r="Q20" s="2756"/>
      <c r="R20" s="1048"/>
    </row>
    <row r="21" spans="1:18" ht="14.45" customHeight="1" x14ac:dyDescent="0.25">
      <c r="A21" s="1048"/>
      <c r="B21" s="1233"/>
      <c r="C21" s="1233"/>
      <c r="D21" s="1233"/>
      <c r="E21" s="1233"/>
      <c r="F21" s="1233"/>
      <c r="G21" s="1233"/>
      <c r="H21" s="1233"/>
      <c r="I21" s="1233"/>
      <c r="J21" s="1233"/>
      <c r="K21" s="1233"/>
      <c r="L21" s="1233"/>
      <c r="M21" s="1233"/>
      <c r="N21" s="1233"/>
      <c r="O21" s="1233"/>
      <c r="P21" s="1233"/>
      <c r="Q21" s="1233"/>
      <c r="R21" s="1048"/>
    </row>
    <row r="22" spans="1:18" ht="14.45" customHeight="1" x14ac:dyDescent="0.25">
      <c r="A22" s="1048"/>
      <c r="B22" s="1233"/>
      <c r="C22" s="1233"/>
      <c r="D22" s="1233"/>
      <c r="E22" s="1233"/>
      <c r="F22" s="1233"/>
      <c r="G22" s="1233"/>
      <c r="H22" s="1233"/>
      <c r="I22" s="1233"/>
      <c r="J22" s="1233"/>
      <c r="K22" s="1233"/>
      <c r="L22" s="1233"/>
      <c r="M22" s="1233"/>
      <c r="N22" s="1233"/>
      <c r="O22" s="1233"/>
      <c r="P22" s="1233"/>
      <c r="Q22" s="1233"/>
      <c r="R22" s="1048"/>
    </row>
    <row r="23" spans="1:18" ht="16.5" customHeight="1" x14ac:dyDescent="0.25">
      <c r="A23" s="1048"/>
      <c r="B23" s="2747" t="s">
        <v>1720</v>
      </c>
      <c r="C23" s="2747"/>
      <c r="D23" s="2747"/>
      <c r="E23" s="2747"/>
      <c r="F23" s="2747"/>
      <c r="G23" s="2747"/>
      <c r="H23" s="2747"/>
      <c r="I23" s="2747"/>
      <c r="J23" s="2747"/>
      <c r="K23" s="2747"/>
      <c r="L23" s="2747"/>
      <c r="M23" s="2747"/>
      <c r="N23" s="2747"/>
      <c r="O23" s="2747"/>
      <c r="P23" s="2747"/>
      <c r="Q23" s="2747"/>
      <c r="R23" s="1048"/>
    </row>
    <row r="24" spans="1:18" ht="16.5" customHeight="1" x14ac:dyDescent="0.25">
      <c r="A24" s="1048"/>
      <c r="B24" s="2747"/>
      <c r="C24" s="2747"/>
      <c r="D24" s="2747"/>
      <c r="E24" s="2747"/>
      <c r="F24" s="2747"/>
      <c r="G24" s="2747"/>
      <c r="H24" s="2747"/>
      <c r="I24" s="2747"/>
      <c r="J24" s="2747"/>
      <c r="K24" s="2747"/>
      <c r="L24" s="2747"/>
      <c r="M24" s="2747"/>
      <c r="N24" s="2747"/>
      <c r="O24" s="2747"/>
      <c r="P24" s="2747"/>
      <c r="Q24" s="2747"/>
      <c r="R24" s="1048"/>
    </row>
    <row r="25" spans="1:18" ht="14.45" customHeight="1" thickBot="1" x14ac:dyDescent="0.3">
      <c r="A25" s="1048"/>
      <c r="B25" s="1048"/>
      <c r="C25" s="1048"/>
      <c r="D25" s="1048"/>
      <c r="E25" s="1048"/>
      <c r="F25" s="1048"/>
      <c r="G25" s="1048"/>
      <c r="H25" s="1048"/>
      <c r="I25" s="1048"/>
      <c r="J25" s="1048"/>
      <c r="K25" s="1048"/>
      <c r="L25" s="1048"/>
      <c r="M25" s="1048"/>
      <c r="N25" s="1048"/>
      <c r="O25" s="1048"/>
      <c r="P25" s="1048"/>
      <c r="Q25" s="1048"/>
      <c r="R25" s="1048"/>
    </row>
    <row r="26" spans="1:18" ht="21.75" customHeight="1" thickBot="1" x14ac:dyDescent="0.3">
      <c r="A26" s="1048"/>
      <c r="B26" s="1234"/>
      <c r="C26" s="1235"/>
      <c r="D26" s="1235"/>
      <c r="E26" s="1235"/>
      <c r="F26" s="1235"/>
      <c r="G26" s="1235"/>
      <c r="H26" s="1235"/>
      <c r="I26" s="1235"/>
      <c r="J26" s="1235"/>
      <c r="K26" s="1235"/>
      <c r="L26" s="1235"/>
      <c r="M26" s="1235"/>
      <c r="N26" s="1235"/>
      <c r="O26" s="1235"/>
      <c r="P26" s="1235"/>
      <c r="Q26" s="1236"/>
      <c r="R26" s="1048"/>
    </row>
    <row r="27" spans="1:18" ht="14.45" customHeight="1" x14ac:dyDescent="0.25">
      <c r="A27" s="1048"/>
      <c r="B27" s="1237"/>
      <c r="C27" s="2783" t="s">
        <v>1721</v>
      </c>
      <c r="D27" s="2758"/>
      <c r="E27" s="2758"/>
      <c r="F27" s="2758"/>
      <c r="G27" s="2757" t="s">
        <v>1722</v>
      </c>
      <c r="H27" s="2758"/>
      <c r="I27" s="2758"/>
      <c r="J27" s="2758"/>
      <c r="K27" s="2758"/>
      <c r="L27" s="2758"/>
      <c r="M27" s="2759"/>
      <c r="N27" s="2766" t="s">
        <v>1723</v>
      </c>
      <c r="O27" s="2767"/>
      <c r="P27" s="2772" t="s">
        <v>293</v>
      </c>
      <c r="Q27" s="802"/>
      <c r="R27" s="1048"/>
    </row>
    <row r="28" spans="1:18" ht="14.45" customHeight="1" x14ac:dyDescent="0.25">
      <c r="A28" s="1048"/>
      <c r="B28" s="1238"/>
      <c r="C28" s="2784"/>
      <c r="D28" s="2761"/>
      <c r="E28" s="2761"/>
      <c r="F28" s="2761"/>
      <c r="G28" s="2760"/>
      <c r="H28" s="2761"/>
      <c r="I28" s="2761"/>
      <c r="J28" s="2761"/>
      <c r="K28" s="2761"/>
      <c r="L28" s="2761"/>
      <c r="M28" s="2762"/>
      <c r="N28" s="2768"/>
      <c r="O28" s="2769"/>
      <c r="P28" s="2773"/>
      <c r="Q28" s="802"/>
      <c r="R28" s="1048"/>
    </row>
    <row r="29" spans="1:18" ht="15" customHeight="1" thickBot="1" x14ac:dyDescent="0.3">
      <c r="A29" s="1048"/>
      <c r="B29" s="1238"/>
      <c r="C29" s="2785"/>
      <c r="D29" s="2764"/>
      <c r="E29" s="2764"/>
      <c r="F29" s="2764"/>
      <c r="G29" s="2763"/>
      <c r="H29" s="2764"/>
      <c r="I29" s="2764"/>
      <c r="J29" s="2764"/>
      <c r="K29" s="2764"/>
      <c r="L29" s="2764"/>
      <c r="M29" s="2765"/>
      <c r="N29" s="2770"/>
      <c r="O29" s="2771"/>
      <c r="P29" s="2774"/>
      <c r="Q29" s="802"/>
      <c r="R29" s="1048"/>
    </row>
    <row r="30" spans="1:18" ht="6" customHeight="1" x14ac:dyDescent="0.25">
      <c r="A30" s="1048"/>
      <c r="B30" s="1239"/>
      <c r="C30" s="1240"/>
      <c r="D30" s="1241"/>
      <c r="E30" s="2775" t="s">
        <v>1724</v>
      </c>
      <c r="F30" s="2776"/>
      <c r="G30" s="288"/>
      <c r="H30" s="1242"/>
      <c r="I30" s="1242"/>
      <c r="J30" s="1242"/>
      <c r="K30" s="1242"/>
      <c r="L30" s="1242"/>
      <c r="M30" s="1243"/>
      <c r="N30" s="1244"/>
      <c r="O30" s="1243"/>
      <c r="P30" s="1245"/>
      <c r="Q30" s="802"/>
      <c r="R30" s="1048"/>
    </row>
    <row r="31" spans="1:18" ht="17.25" customHeight="1" x14ac:dyDescent="0.25">
      <c r="A31" s="1048"/>
      <c r="B31" s="1239"/>
      <c r="C31" s="1246"/>
      <c r="D31" s="52"/>
      <c r="E31" s="2777"/>
      <c r="F31" s="2778"/>
      <c r="G31" s="2779" t="s">
        <v>1725</v>
      </c>
      <c r="H31" s="2780"/>
      <c r="I31" s="2780"/>
      <c r="J31" s="2780"/>
      <c r="K31" s="2780"/>
      <c r="L31" s="2780"/>
      <c r="M31" s="1247"/>
      <c r="N31" s="2779" t="s">
        <v>1726</v>
      </c>
      <c r="O31" s="2781"/>
      <c r="P31" s="2782" t="s">
        <v>1727</v>
      </c>
      <c r="Q31" s="802"/>
      <c r="R31" s="1048"/>
    </row>
    <row r="32" spans="1:18" ht="17.25" customHeight="1" x14ac:dyDescent="0.25">
      <c r="A32" s="1048"/>
      <c r="B32" s="1239"/>
      <c r="C32" s="1246"/>
      <c r="D32" s="52"/>
      <c r="E32" s="2778"/>
      <c r="F32" s="2778"/>
      <c r="G32" s="2779"/>
      <c r="H32" s="2780"/>
      <c r="I32" s="2780"/>
      <c r="J32" s="2780"/>
      <c r="K32" s="2780"/>
      <c r="L32" s="2780"/>
      <c r="M32" s="1247"/>
      <c r="N32" s="2779"/>
      <c r="O32" s="2781"/>
      <c r="P32" s="2782"/>
      <c r="Q32" s="802"/>
      <c r="R32" s="1048"/>
    </row>
    <row r="33" spans="1:18" ht="17.25" customHeight="1" x14ac:dyDescent="0.25">
      <c r="A33" s="1048"/>
      <c r="B33" s="1239"/>
      <c r="C33" s="1246"/>
      <c r="D33" s="52"/>
      <c r="E33" s="2778"/>
      <c r="F33" s="2778"/>
      <c r="G33" s="2779"/>
      <c r="H33" s="2780"/>
      <c r="I33" s="2780"/>
      <c r="J33" s="2780"/>
      <c r="K33" s="2780"/>
      <c r="L33" s="2780"/>
      <c r="M33" s="1247"/>
      <c r="N33" s="2779"/>
      <c r="O33" s="2781"/>
      <c r="P33" s="2782"/>
      <c r="Q33" s="802"/>
      <c r="R33" s="1048"/>
    </row>
    <row r="34" spans="1:18" ht="17.25" customHeight="1" x14ac:dyDescent="0.25">
      <c r="A34" s="1048"/>
      <c r="B34" s="1239"/>
      <c r="C34" s="1246"/>
      <c r="D34" s="52"/>
      <c r="E34" s="2778"/>
      <c r="F34" s="2778"/>
      <c r="G34" s="2779"/>
      <c r="H34" s="2780"/>
      <c r="I34" s="2780"/>
      <c r="J34" s="2780"/>
      <c r="K34" s="2780"/>
      <c r="L34" s="2780"/>
      <c r="M34" s="1247"/>
      <c r="N34" s="2779"/>
      <c r="O34" s="2781"/>
      <c r="P34" s="2782"/>
      <c r="Q34" s="802"/>
      <c r="R34" s="1048"/>
    </row>
    <row r="35" spans="1:18" ht="6" customHeight="1" x14ac:dyDescent="0.25">
      <c r="A35" s="1048"/>
      <c r="B35" s="1239"/>
      <c r="C35" s="1248"/>
      <c r="D35" s="1249"/>
      <c r="E35" s="2793" t="s">
        <v>1728</v>
      </c>
      <c r="F35" s="2793"/>
      <c r="G35" s="1250"/>
      <c r="H35" s="1251"/>
      <c r="I35" s="1251"/>
      <c r="J35" s="1251"/>
      <c r="K35" s="1251"/>
      <c r="L35" s="1251"/>
      <c r="M35" s="1252"/>
      <c r="N35" s="1253"/>
      <c r="O35" s="1254"/>
      <c r="P35" s="1255"/>
      <c r="Q35" s="802"/>
      <c r="R35" s="1048"/>
    </row>
    <row r="36" spans="1:18" ht="16.5" customHeight="1" x14ac:dyDescent="0.25">
      <c r="A36" s="1048"/>
      <c r="B36" s="1239"/>
      <c r="C36" s="1246"/>
      <c r="D36" s="52"/>
      <c r="E36" s="2786"/>
      <c r="F36" s="2786"/>
      <c r="G36" s="2779" t="s">
        <v>1729</v>
      </c>
      <c r="H36" s="2780"/>
      <c r="I36" s="2780"/>
      <c r="J36" s="2780"/>
      <c r="K36" s="2780"/>
      <c r="L36" s="2780"/>
      <c r="M36" s="1247"/>
      <c r="N36" s="2779" t="s">
        <v>1730</v>
      </c>
      <c r="O36" s="2781"/>
      <c r="P36" s="2782" t="s">
        <v>1731</v>
      </c>
      <c r="Q36" s="802"/>
      <c r="R36" s="1048"/>
    </row>
    <row r="37" spans="1:18" ht="16.5" customHeight="1" x14ac:dyDescent="0.25">
      <c r="A37" s="1048"/>
      <c r="B37" s="1239"/>
      <c r="C37" s="1246"/>
      <c r="D37" s="52"/>
      <c r="E37" s="2786"/>
      <c r="F37" s="2786"/>
      <c r="G37" s="2779"/>
      <c r="H37" s="2780"/>
      <c r="I37" s="2780"/>
      <c r="J37" s="2780"/>
      <c r="K37" s="2780"/>
      <c r="L37" s="2780"/>
      <c r="M37" s="1247"/>
      <c r="N37" s="2779"/>
      <c r="O37" s="2781"/>
      <c r="P37" s="2782"/>
      <c r="Q37" s="802"/>
      <c r="R37" s="1048"/>
    </row>
    <row r="38" spans="1:18" ht="16.5" customHeight="1" x14ac:dyDescent="0.25">
      <c r="A38" s="1048"/>
      <c r="B38" s="1239"/>
      <c r="C38" s="1246"/>
      <c r="D38" s="52"/>
      <c r="E38" s="2786"/>
      <c r="F38" s="2786"/>
      <c r="G38" s="2779"/>
      <c r="H38" s="2780"/>
      <c r="I38" s="2780"/>
      <c r="J38" s="2780"/>
      <c r="K38" s="2780"/>
      <c r="L38" s="2780"/>
      <c r="M38" s="1247"/>
      <c r="N38" s="2779"/>
      <c r="O38" s="2781"/>
      <c r="P38" s="2782"/>
      <c r="Q38" s="802"/>
      <c r="R38" s="1048"/>
    </row>
    <row r="39" spans="1:18" ht="16.5" customHeight="1" x14ac:dyDescent="0.25">
      <c r="A39" s="1048"/>
      <c r="B39" s="1239"/>
      <c r="C39" s="1256"/>
      <c r="D39" s="1257"/>
      <c r="E39" s="2794"/>
      <c r="F39" s="2794"/>
      <c r="G39" s="2795"/>
      <c r="H39" s="2796"/>
      <c r="I39" s="2796"/>
      <c r="J39" s="2796"/>
      <c r="K39" s="2796"/>
      <c r="L39" s="2796"/>
      <c r="M39" s="1258"/>
      <c r="N39" s="2795"/>
      <c r="O39" s="2797"/>
      <c r="P39" s="2798"/>
      <c r="Q39" s="802"/>
      <c r="R39" s="1048"/>
    </row>
    <row r="40" spans="1:18" ht="6" customHeight="1" x14ac:dyDescent="0.25">
      <c r="A40" s="1048"/>
      <c r="B40" s="1239"/>
      <c r="C40" s="1248"/>
      <c r="D40" s="1249"/>
      <c r="E40" s="2793" t="s">
        <v>1732</v>
      </c>
      <c r="F40" s="2793"/>
      <c r="G40" s="1250"/>
      <c r="H40" s="1251"/>
      <c r="I40" s="1251"/>
      <c r="J40" s="1251"/>
      <c r="K40" s="1251"/>
      <c r="L40" s="1251"/>
      <c r="M40" s="1252"/>
      <c r="N40" s="1253"/>
      <c r="O40" s="1254"/>
      <c r="P40" s="1255"/>
      <c r="Q40" s="802"/>
      <c r="R40" s="1048"/>
    </row>
    <row r="41" spans="1:18" ht="16.5" customHeight="1" x14ac:dyDescent="0.25">
      <c r="A41" s="1048"/>
      <c r="B41" s="1239"/>
      <c r="C41" s="1246"/>
      <c r="D41" s="52"/>
      <c r="E41" s="2786"/>
      <c r="F41" s="2786"/>
      <c r="G41" s="2779" t="s">
        <v>1842</v>
      </c>
      <c r="H41" s="2780"/>
      <c r="I41" s="2780"/>
      <c r="J41" s="2780"/>
      <c r="K41" s="2780"/>
      <c r="L41" s="2780"/>
      <c r="M41" s="1247"/>
      <c r="N41" s="2779" t="s">
        <v>1730</v>
      </c>
      <c r="O41" s="2781"/>
      <c r="P41" s="2782" t="s">
        <v>1733</v>
      </c>
      <c r="Q41" s="802"/>
      <c r="R41" s="1048"/>
    </row>
    <row r="42" spans="1:18" ht="16.5" customHeight="1" x14ac:dyDescent="0.25">
      <c r="A42" s="1048"/>
      <c r="B42" s="1239"/>
      <c r="C42" s="1246"/>
      <c r="D42" s="52"/>
      <c r="E42" s="2786"/>
      <c r="F42" s="2786"/>
      <c r="G42" s="2779"/>
      <c r="H42" s="2780"/>
      <c r="I42" s="2780"/>
      <c r="J42" s="2780"/>
      <c r="K42" s="2780"/>
      <c r="L42" s="2780"/>
      <c r="M42" s="1247"/>
      <c r="N42" s="2779"/>
      <c r="O42" s="2781"/>
      <c r="P42" s="2782"/>
      <c r="Q42" s="802"/>
      <c r="R42" s="1048"/>
    </row>
    <row r="43" spans="1:18" ht="16.5" customHeight="1" x14ac:dyDescent="0.25">
      <c r="A43" s="1048"/>
      <c r="B43" s="1239"/>
      <c r="C43" s="1246"/>
      <c r="D43" s="52"/>
      <c r="E43" s="2786"/>
      <c r="F43" s="2786"/>
      <c r="G43" s="2779"/>
      <c r="H43" s="2780"/>
      <c r="I43" s="2780"/>
      <c r="J43" s="2780"/>
      <c r="K43" s="2780"/>
      <c r="L43" s="2780"/>
      <c r="M43" s="1247"/>
      <c r="N43" s="2779"/>
      <c r="O43" s="2781"/>
      <c r="P43" s="2782"/>
      <c r="Q43" s="802"/>
      <c r="R43" s="1048"/>
    </row>
    <row r="44" spans="1:18" ht="16.5" customHeight="1" x14ac:dyDescent="0.25">
      <c r="A44" s="1048"/>
      <c r="B44" s="1239"/>
      <c r="C44" s="1256"/>
      <c r="D44" s="1257"/>
      <c r="E44" s="2794"/>
      <c r="F44" s="2794"/>
      <c r="G44" s="2795"/>
      <c r="H44" s="2796"/>
      <c r="I44" s="2796"/>
      <c r="J44" s="2796"/>
      <c r="K44" s="2796"/>
      <c r="L44" s="2796"/>
      <c r="M44" s="1258"/>
      <c r="N44" s="2795"/>
      <c r="O44" s="2797"/>
      <c r="P44" s="2798"/>
      <c r="Q44" s="802"/>
      <c r="R44" s="1048"/>
    </row>
    <row r="45" spans="1:18" ht="6" customHeight="1" x14ac:dyDescent="0.25">
      <c r="A45" s="1048"/>
      <c r="B45" s="1239"/>
      <c r="C45" s="1246"/>
      <c r="D45" s="52"/>
      <c r="E45" s="2786" t="s">
        <v>1734</v>
      </c>
      <c r="F45" s="2786"/>
      <c r="G45" s="288"/>
      <c r="H45" s="1259"/>
      <c r="I45" s="1259"/>
      <c r="J45" s="1259"/>
      <c r="K45" s="1259"/>
      <c r="L45" s="1259"/>
      <c r="M45" s="1247"/>
      <c r="N45" s="1260"/>
      <c r="O45" s="1261"/>
      <c r="P45" s="1262"/>
      <c r="Q45" s="802"/>
      <c r="R45" s="1048"/>
    </row>
    <row r="46" spans="1:18" ht="16.5" customHeight="1" x14ac:dyDescent="0.25">
      <c r="A46" s="1048"/>
      <c r="B46" s="1239"/>
      <c r="C46" s="1246"/>
      <c r="D46" s="52"/>
      <c r="E46" s="2786"/>
      <c r="F46" s="2786"/>
      <c r="G46" s="2779" t="s">
        <v>1735</v>
      </c>
      <c r="H46" s="2780"/>
      <c r="I46" s="2780"/>
      <c r="J46" s="2780"/>
      <c r="K46" s="2780"/>
      <c r="L46" s="2780"/>
      <c r="M46" s="1247"/>
      <c r="N46" s="2779" t="s">
        <v>1726</v>
      </c>
      <c r="O46" s="2781"/>
      <c r="P46" s="2791" t="s">
        <v>1843</v>
      </c>
      <c r="Q46" s="802"/>
      <c r="R46" s="1048"/>
    </row>
    <row r="47" spans="1:18" ht="16.5" customHeight="1" x14ac:dyDescent="0.25">
      <c r="A47" s="1048"/>
      <c r="B47" s="1239"/>
      <c r="C47" s="1246"/>
      <c r="D47" s="52"/>
      <c r="E47" s="2786"/>
      <c r="F47" s="2786"/>
      <c r="G47" s="2779"/>
      <c r="H47" s="2780"/>
      <c r="I47" s="2780"/>
      <c r="J47" s="2780"/>
      <c r="K47" s="2780"/>
      <c r="L47" s="2780"/>
      <c r="M47" s="1247"/>
      <c r="N47" s="2779"/>
      <c r="O47" s="2781"/>
      <c r="P47" s="2791"/>
      <c r="Q47" s="802"/>
      <c r="R47" s="1048"/>
    </row>
    <row r="48" spans="1:18" ht="16.5" customHeight="1" x14ac:dyDescent="0.25">
      <c r="A48" s="1048"/>
      <c r="B48" s="1239"/>
      <c r="C48" s="1246"/>
      <c r="D48" s="52"/>
      <c r="E48" s="2786"/>
      <c r="F48" s="2786"/>
      <c r="G48" s="2779"/>
      <c r="H48" s="2780"/>
      <c r="I48" s="2780"/>
      <c r="J48" s="2780"/>
      <c r="K48" s="2780"/>
      <c r="L48" s="2780"/>
      <c r="M48" s="1247"/>
      <c r="N48" s="2779"/>
      <c r="O48" s="2781"/>
      <c r="P48" s="2791"/>
      <c r="Q48" s="802"/>
      <c r="R48" s="1048"/>
    </row>
    <row r="49" spans="1:18" ht="16.5" customHeight="1" thickBot="1" x14ac:dyDescent="0.3">
      <c r="A49" s="1048"/>
      <c r="B49" s="1239"/>
      <c r="C49" s="1263"/>
      <c r="D49" s="1264"/>
      <c r="E49" s="2787"/>
      <c r="F49" s="2787"/>
      <c r="G49" s="2788"/>
      <c r="H49" s="2789"/>
      <c r="I49" s="2789"/>
      <c r="J49" s="2789"/>
      <c r="K49" s="2789"/>
      <c r="L49" s="2789"/>
      <c r="M49" s="1265"/>
      <c r="N49" s="2788"/>
      <c r="O49" s="2790"/>
      <c r="P49" s="2792"/>
      <c r="Q49" s="802"/>
      <c r="R49" s="1048"/>
    </row>
    <row r="50" spans="1:18" ht="27" customHeight="1" thickBot="1" x14ac:dyDescent="0.3">
      <c r="A50" s="1048"/>
      <c r="B50" s="1266"/>
      <c r="C50" s="1267"/>
      <c r="D50" s="1267"/>
      <c r="E50" s="1268"/>
      <c r="F50" s="1268"/>
      <c r="G50" s="1269"/>
      <c r="H50" s="1269"/>
      <c r="I50" s="1269"/>
      <c r="J50" s="1269"/>
      <c r="K50" s="1269"/>
      <c r="L50" s="1269"/>
      <c r="M50" s="1270"/>
      <c r="N50" s="1269"/>
      <c r="O50" s="1269"/>
      <c r="P50" s="1269"/>
      <c r="Q50" s="811"/>
      <c r="R50" s="1048"/>
    </row>
    <row r="51" spans="1:18" ht="10.5" customHeight="1" x14ac:dyDescent="0.25">
      <c r="A51" s="1048"/>
      <c r="B51" s="1048"/>
      <c r="C51" s="1048"/>
      <c r="D51" s="1048"/>
      <c r="E51" s="1048"/>
      <c r="F51" s="1048"/>
      <c r="G51" s="1048"/>
      <c r="H51" s="1048"/>
      <c r="I51" s="1048"/>
      <c r="J51" s="1048"/>
      <c r="K51" s="1048"/>
      <c r="L51" s="1048"/>
      <c r="M51" s="1048"/>
      <c r="N51" s="1048"/>
      <c r="O51" s="1048"/>
      <c r="P51" s="1048"/>
      <c r="Q51" s="1048"/>
      <c r="R51" s="1048"/>
    </row>
    <row r="52" spans="1:18" x14ac:dyDescent="0.25">
      <c r="A52" s="1048"/>
      <c r="B52" s="1048"/>
      <c r="C52" s="1048"/>
      <c r="D52" s="1048"/>
      <c r="E52" s="1048"/>
      <c r="F52" s="1048"/>
      <c r="G52" s="1048"/>
      <c r="H52" s="1048"/>
      <c r="I52" s="1048"/>
      <c r="J52" s="1048"/>
      <c r="K52" s="1048"/>
      <c r="L52" s="1048"/>
      <c r="M52" s="1048"/>
      <c r="N52" s="1048"/>
      <c r="O52" s="1048"/>
      <c r="P52" s="1048"/>
      <c r="Q52" s="1048"/>
      <c r="R52" s="1048"/>
    </row>
    <row r="53" spans="1:18" x14ac:dyDescent="0.25">
      <c r="A53" s="1048"/>
      <c r="B53" s="1048"/>
      <c r="C53" s="1048"/>
      <c r="D53" s="1048"/>
      <c r="E53" s="1048"/>
      <c r="F53" s="1048"/>
      <c r="G53" s="1048"/>
      <c r="H53" s="1048"/>
      <c r="I53" s="1048"/>
      <c r="J53" s="1048"/>
      <c r="K53" s="1048"/>
      <c r="L53" s="1048"/>
      <c r="M53" s="1048"/>
      <c r="N53" s="1048"/>
      <c r="O53" s="1048"/>
      <c r="P53" s="1048"/>
      <c r="Q53" s="1048"/>
      <c r="R53" s="1048"/>
    </row>
    <row r="54" spans="1:18" x14ac:dyDescent="0.25">
      <c r="A54" s="1048"/>
      <c r="B54" s="1048"/>
      <c r="C54" s="1048"/>
      <c r="D54" s="1048"/>
      <c r="E54" s="1048"/>
      <c r="F54" s="1048"/>
      <c r="G54" s="1048"/>
      <c r="H54" s="1048"/>
      <c r="I54" s="1048"/>
      <c r="J54" s="1048"/>
      <c r="K54" s="1048"/>
      <c r="L54" s="1048"/>
      <c r="M54" s="1048"/>
      <c r="N54" s="1048"/>
      <c r="O54" s="1048"/>
      <c r="P54" s="1048"/>
      <c r="Q54" s="1048"/>
      <c r="R54" s="1048"/>
    </row>
    <row r="55" spans="1:18" x14ac:dyDescent="0.25">
      <c r="A55" s="1048"/>
      <c r="B55" s="1048"/>
      <c r="C55" s="1048"/>
      <c r="D55" s="1048"/>
      <c r="E55" s="1048"/>
      <c r="F55" s="1048"/>
      <c r="G55" s="1048"/>
      <c r="H55" s="1048"/>
      <c r="I55" s="1048"/>
      <c r="J55" s="1048"/>
      <c r="K55" s="1048"/>
      <c r="L55" s="1048"/>
      <c r="M55" s="1048"/>
      <c r="N55" s="1048"/>
      <c r="O55" s="1048"/>
      <c r="P55" s="1048"/>
      <c r="Q55" s="1048"/>
      <c r="R55" s="1048"/>
    </row>
    <row r="56" spans="1:18" x14ac:dyDescent="0.25">
      <c r="A56" s="1048"/>
      <c r="B56" s="1048"/>
      <c r="C56" s="1048"/>
      <c r="D56" s="1048"/>
      <c r="E56" s="1048"/>
      <c r="F56" s="1048"/>
      <c r="G56" s="1048"/>
      <c r="H56" s="1048"/>
      <c r="I56" s="1048"/>
      <c r="J56" s="1048"/>
      <c r="K56" s="1048"/>
      <c r="L56" s="1048"/>
      <c r="M56" s="1048"/>
      <c r="N56" s="1048"/>
      <c r="O56" s="1048"/>
      <c r="P56" s="1048"/>
      <c r="Q56" s="1048"/>
      <c r="R56" s="1048"/>
    </row>
    <row r="57" spans="1:18" x14ac:dyDescent="0.25">
      <c r="A57" s="1048"/>
      <c r="B57" s="1048"/>
      <c r="C57" s="1048"/>
      <c r="D57" s="1048"/>
      <c r="E57" s="1048"/>
      <c r="F57" s="1048"/>
      <c r="G57" s="1048"/>
      <c r="H57" s="1048"/>
      <c r="I57" s="1048"/>
      <c r="J57" s="1048"/>
      <c r="K57" s="1048"/>
      <c r="L57" s="1048"/>
      <c r="M57" s="1048"/>
      <c r="N57" s="1048"/>
      <c r="O57" s="1048"/>
      <c r="P57" s="1048"/>
      <c r="Q57" s="1048"/>
      <c r="R57" s="1048"/>
    </row>
    <row r="58" spans="1:18" x14ac:dyDescent="0.25">
      <c r="A58" s="1048"/>
      <c r="B58" s="1048"/>
      <c r="C58" s="1048"/>
      <c r="D58" s="1048"/>
      <c r="E58" s="1048"/>
      <c r="F58" s="1048"/>
      <c r="G58" s="1048"/>
      <c r="H58" s="1048"/>
      <c r="I58" s="1048"/>
      <c r="J58" s="1048"/>
      <c r="K58" s="1048"/>
      <c r="L58" s="1048"/>
      <c r="M58" s="1048"/>
      <c r="N58" s="1048"/>
      <c r="O58" s="1048"/>
      <c r="P58" s="1048"/>
      <c r="Q58" s="1048"/>
      <c r="R58" s="1048"/>
    </row>
    <row r="59" spans="1:18" x14ac:dyDescent="0.25">
      <c r="A59" s="1048"/>
      <c r="B59" s="1048"/>
      <c r="C59" s="1048"/>
      <c r="D59" s="1048"/>
      <c r="E59" s="1048"/>
      <c r="F59" s="1048"/>
      <c r="G59" s="1048"/>
      <c r="H59" s="1048"/>
      <c r="I59" s="1048"/>
      <c r="J59" s="1048"/>
      <c r="K59" s="1048"/>
      <c r="L59" s="1048"/>
      <c r="M59" s="1048"/>
      <c r="N59" s="1048"/>
      <c r="O59" s="1048"/>
      <c r="P59" s="1048"/>
      <c r="Q59" s="1048"/>
      <c r="R59" s="1048"/>
    </row>
    <row r="60" spans="1:18" x14ac:dyDescent="0.25">
      <c r="A60" s="1048"/>
      <c r="B60" s="1048"/>
      <c r="C60" s="1048"/>
      <c r="D60" s="1048"/>
      <c r="E60" s="1048"/>
      <c r="F60" s="1048"/>
      <c r="G60" s="1048"/>
      <c r="H60" s="1048"/>
      <c r="I60" s="1048"/>
      <c r="J60" s="1048"/>
      <c r="K60" s="1048"/>
      <c r="L60" s="1048"/>
      <c r="M60" s="1048"/>
      <c r="N60" s="1048"/>
      <c r="O60" s="1048"/>
      <c r="P60" s="1048"/>
      <c r="Q60" s="1048"/>
      <c r="R60" s="1048"/>
    </row>
    <row r="61" spans="1:18" x14ac:dyDescent="0.25">
      <c r="A61" s="1048"/>
      <c r="B61" s="1048"/>
      <c r="C61" s="1048"/>
      <c r="D61" s="1048"/>
      <c r="E61" s="1048"/>
      <c r="F61" s="1048"/>
      <c r="G61" s="1048"/>
      <c r="H61" s="1048"/>
      <c r="I61" s="1048"/>
      <c r="J61" s="1048"/>
      <c r="K61" s="1048"/>
      <c r="L61" s="1048"/>
      <c r="M61" s="1048"/>
      <c r="N61" s="1048"/>
      <c r="O61" s="1048"/>
      <c r="P61" s="1048"/>
      <c r="Q61" s="1048"/>
      <c r="R61" s="1048"/>
    </row>
    <row r="62" spans="1:18" x14ac:dyDescent="0.25">
      <c r="A62" s="1048"/>
      <c r="B62" s="1048"/>
      <c r="C62" s="1048"/>
      <c r="D62" s="1048"/>
      <c r="E62" s="1048"/>
      <c r="F62" s="1048"/>
      <c r="G62" s="1048"/>
      <c r="H62" s="1048"/>
      <c r="I62" s="1048"/>
      <c r="J62" s="1048"/>
      <c r="K62" s="1048"/>
      <c r="L62" s="1048"/>
      <c r="M62" s="1048"/>
      <c r="N62" s="1048"/>
      <c r="O62" s="1048"/>
      <c r="P62" s="1048"/>
      <c r="Q62" s="1048"/>
      <c r="R62" s="1048"/>
    </row>
    <row r="63" spans="1:18" x14ac:dyDescent="0.25">
      <c r="A63" s="1048"/>
      <c r="B63" s="1048"/>
      <c r="C63" s="1048"/>
      <c r="D63" s="1048"/>
      <c r="E63" s="1048"/>
      <c r="F63" s="1048"/>
      <c r="G63" s="1048"/>
      <c r="H63" s="1048"/>
      <c r="I63" s="1048"/>
      <c r="J63" s="1048"/>
      <c r="K63" s="1048"/>
      <c r="L63" s="1048"/>
      <c r="M63" s="1048"/>
      <c r="N63" s="1048"/>
      <c r="O63" s="1048"/>
      <c r="P63" s="1048"/>
      <c r="Q63" s="1048"/>
      <c r="R63" s="1048"/>
    </row>
    <row r="64" spans="1:18" x14ac:dyDescent="0.25">
      <c r="A64" s="1048"/>
      <c r="B64" s="1048"/>
      <c r="C64" s="1048"/>
      <c r="D64" s="1048"/>
      <c r="E64" s="1048"/>
      <c r="F64" s="1048"/>
      <c r="G64" s="1048"/>
      <c r="H64" s="1048"/>
      <c r="I64" s="1048"/>
      <c r="J64" s="1048"/>
      <c r="K64" s="1048"/>
      <c r="L64" s="1048"/>
      <c r="M64" s="1048"/>
      <c r="N64" s="1048"/>
      <c r="O64" s="1048"/>
      <c r="P64" s="1048"/>
      <c r="Q64" s="1048"/>
      <c r="R64" s="1048"/>
    </row>
    <row r="65" spans="1:18" x14ac:dyDescent="0.25">
      <c r="A65" s="1048"/>
      <c r="B65" s="1048"/>
      <c r="C65" s="1048"/>
      <c r="D65" s="1048"/>
      <c r="E65" s="1048"/>
      <c r="F65" s="1048"/>
      <c r="G65" s="1048"/>
      <c r="H65" s="1048"/>
      <c r="I65" s="1048"/>
      <c r="J65" s="1048"/>
      <c r="K65" s="1048"/>
      <c r="L65" s="1048"/>
      <c r="M65" s="1048"/>
      <c r="N65" s="1048"/>
      <c r="O65" s="1048"/>
      <c r="P65" s="1048"/>
      <c r="Q65" s="1048"/>
      <c r="R65" s="1048"/>
    </row>
    <row r="66" spans="1:18" x14ac:dyDescent="0.25">
      <c r="A66" s="1048"/>
      <c r="B66" s="1048"/>
      <c r="C66" s="1048"/>
      <c r="D66" s="1048"/>
      <c r="E66" s="1048"/>
      <c r="F66" s="1048"/>
      <c r="G66" s="1048"/>
      <c r="H66" s="1048"/>
      <c r="I66" s="1048"/>
      <c r="J66" s="1048"/>
      <c r="K66" s="1048"/>
      <c r="L66" s="1048"/>
      <c r="M66" s="1048"/>
      <c r="N66" s="1048"/>
      <c r="O66" s="1048"/>
      <c r="P66" s="1048"/>
      <c r="Q66" s="1048"/>
      <c r="R66" s="1048"/>
    </row>
    <row r="67" spans="1:18" x14ac:dyDescent="0.25">
      <c r="A67" s="1048"/>
      <c r="B67" s="1048"/>
      <c r="C67" s="1048"/>
      <c r="D67" s="1048"/>
      <c r="E67" s="1048"/>
      <c r="F67" s="1048"/>
      <c r="G67" s="1048"/>
      <c r="H67" s="1048"/>
      <c r="I67" s="1048"/>
      <c r="J67" s="1048"/>
      <c r="K67" s="1048"/>
      <c r="L67" s="1048"/>
      <c r="M67" s="1048"/>
      <c r="N67" s="1048"/>
      <c r="O67" s="1048"/>
      <c r="P67" s="1048"/>
      <c r="Q67" s="1048"/>
      <c r="R67" s="1048"/>
    </row>
    <row r="68" spans="1:18" x14ac:dyDescent="0.25">
      <c r="A68" s="1048"/>
      <c r="B68" s="1048"/>
      <c r="C68" s="1048"/>
      <c r="D68" s="1048"/>
      <c r="E68" s="1048"/>
      <c r="F68" s="1048"/>
      <c r="G68" s="1048"/>
      <c r="H68" s="1048"/>
      <c r="I68" s="1048"/>
      <c r="J68" s="1048"/>
      <c r="K68" s="1048"/>
      <c r="L68" s="1048"/>
      <c r="M68" s="1048"/>
      <c r="N68" s="1048"/>
      <c r="O68" s="1048"/>
      <c r="P68" s="1048"/>
      <c r="Q68" s="1048"/>
      <c r="R68" s="1048"/>
    </row>
    <row r="69" spans="1:18" x14ac:dyDescent="0.25">
      <c r="A69" s="1048"/>
      <c r="B69" s="1048"/>
      <c r="C69" s="1048"/>
      <c r="D69" s="1048"/>
      <c r="E69" s="1048"/>
      <c r="F69" s="1048"/>
      <c r="G69" s="1048"/>
      <c r="H69" s="1048"/>
      <c r="I69" s="1048"/>
      <c r="J69" s="1048"/>
      <c r="K69" s="1048"/>
      <c r="L69" s="1048"/>
      <c r="M69" s="1048"/>
      <c r="N69" s="1048"/>
      <c r="O69" s="1048"/>
      <c r="P69" s="1048"/>
      <c r="Q69" s="1048"/>
      <c r="R69" s="1048"/>
    </row>
    <row r="70" spans="1:18" x14ac:dyDescent="0.25">
      <c r="A70" s="1048"/>
      <c r="B70" s="1048"/>
      <c r="C70" s="1048"/>
      <c r="D70" s="1048"/>
      <c r="E70" s="1048"/>
      <c r="F70" s="1048"/>
      <c r="G70" s="1048"/>
      <c r="H70" s="1048"/>
      <c r="I70" s="1048"/>
      <c r="J70" s="1048"/>
      <c r="K70" s="1048"/>
      <c r="L70" s="1048"/>
      <c r="M70" s="1048"/>
      <c r="N70" s="1048"/>
      <c r="O70" s="1048"/>
      <c r="P70" s="1048"/>
      <c r="Q70" s="1048"/>
      <c r="R70" s="1048"/>
    </row>
    <row r="71" spans="1:18" x14ac:dyDescent="0.25">
      <c r="A71" s="1048"/>
      <c r="B71" s="1048"/>
      <c r="C71" s="1048"/>
      <c r="D71" s="1048"/>
      <c r="E71" s="1048"/>
      <c r="F71" s="1048"/>
      <c r="G71" s="1048"/>
      <c r="H71" s="1048"/>
      <c r="I71" s="1048"/>
      <c r="J71" s="1048"/>
      <c r="K71" s="1048"/>
      <c r="L71" s="1048"/>
      <c r="M71" s="1048"/>
      <c r="N71" s="1048"/>
      <c r="O71" s="1048"/>
      <c r="P71" s="1048"/>
      <c r="Q71" s="1048"/>
      <c r="R71" s="1048"/>
    </row>
    <row r="72" spans="1:18" x14ac:dyDescent="0.25">
      <c r="A72" s="1048"/>
      <c r="B72" s="1048"/>
      <c r="C72" s="1048"/>
      <c r="D72" s="1048"/>
      <c r="E72" s="1048"/>
      <c r="F72" s="1048"/>
      <c r="G72" s="1048"/>
      <c r="H72" s="1048"/>
      <c r="I72" s="1048"/>
      <c r="J72" s="1048"/>
      <c r="K72" s="1048"/>
      <c r="L72" s="1048"/>
      <c r="M72" s="1048"/>
      <c r="N72" s="1048"/>
      <c r="O72" s="1048"/>
      <c r="P72" s="1048"/>
      <c r="Q72" s="1048"/>
      <c r="R72" s="1048"/>
    </row>
    <row r="73" spans="1:18" x14ac:dyDescent="0.25">
      <c r="A73" s="1048"/>
      <c r="B73" s="1048"/>
      <c r="C73" s="1048"/>
      <c r="D73" s="1048"/>
      <c r="E73" s="1048"/>
      <c r="F73" s="1048"/>
      <c r="G73" s="1048"/>
      <c r="H73" s="1048"/>
      <c r="I73" s="1048"/>
      <c r="J73" s="1048"/>
      <c r="K73" s="1048"/>
      <c r="L73" s="1048"/>
      <c r="M73" s="1048"/>
      <c r="N73" s="1048"/>
      <c r="O73" s="1048"/>
      <c r="P73" s="1048"/>
      <c r="Q73" s="1048"/>
      <c r="R73" s="1048"/>
    </row>
    <row r="74" spans="1:18" x14ac:dyDescent="0.25">
      <c r="A74" s="1048"/>
      <c r="B74" s="1048"/>
      <c r="C74" s="1048"/>
      <c r="D74" s="1048"/>
      <c r="E74" s="1048"/>
      <c r="F74" s="1048"/>
      <c r="G74" s="1048"/>
      <c r="H74" s="1048"/>
      <c r="I74" s="1048"/>
      <c r="J74" s="1048"/>
      <c r="K74" s="1048"/>
      <c r="L74" s="1048"/>
      <c r="M74" s="1048"/>
      <c r="N74" s="1048"/>
      <c r="O74" s="1048"/>
      <c r="P74" s="1048"/>
      <c r="Q74" s="1048"/>
      <c r="R74" s="1048"/>
    </row>
    <row r="75" spans="1:18" x14ac:dyDescent="0.25">
      <c r="A75" s="1048"/>
      <c r="B75" s="1048"/>
      <c r="C75" s="1048"/>
      <c r="D75" s="1048"/>
      <c r="E75" s="1048"/>
      <c r="F75" s="1048"/>
      <c r="G75" s="1048"/>
      <c r="H75" s="1048"/>
      <c r="I75" s="1048"/>
      <c r="J75" s="1048"/>
      <c r="K75" s="1048"/>
      <c r="L75" s="1048"/>
      <c r="M75" s="1048"/>
      <c r="N75" s="1048"/>
      <c r="O75" s="1048"/>
      <c r="P75" s="1048"/>
      <c r="Q75" s="1048"/>
      <c r="R75" s="1048"/>
    </row>
    <row r="76" spans="1:18" x14ac:dyDescent="0.25">
      <c r="A76" s="1048"/>
      <c r="B76" s="1048"/>
      <c r="C76" s="1048"/>
      <c r="D76" s="1048"/>
      <c r="E76" s="1048"/>
      <c r="F76" s="1048"/>
      <c r="G76" s="1048"/>
      <c r="H76" s="1048"/>
      <c r="I76" s="1048"/>
      <c r="J76" s="1048"/>
      <c r="K76" s="1048"/>
      <c r="L76" s="1048"/>
      <c r="M76" s="1048"/>
      <c r="N76" s="1048"/>
      <c r="O76" s="1048"/>
      <c r="P76" s="1048"/>
      <c r="Q76" s="1048"/>
      <c r="R76" s="1048"/>
    </row>
    <row r="77" spans="1:18" x14ac:dyDescent="0.25">
      <c r="A77" s="1048"/>
      <c r="B77" s="1048"/>
      <c r="C77" s="1048"/>
      <c r="D77" s="1048"/>
      <c r="E77" s="1048"/>
      <c r="F77" s="1048"/>
      <c r="G77" s="1048"/>
      <c r="H77" s="1048"/>
      <c r="I77" s="1048"/>
      <c r="J77" s="1048"/>
      <c r="K77" s="1048"/>
      <c r="L77" s="1048"/>
      <c r="M77" s="1048"/>
      <c r="N77" s="1048"/>
      <c r="O77" s="1048"/>
      <c r="P77" s="1048"/>
      <c r="Q77" s="1048"/>
      <c r="R77" s="1048"/>
    </row>
    <row r="78" spans="1:18" x14ac:dyDescent="0.25">
      <c r="A78" s="1048"/>
      <c r="B78" s="1048"/>
      <c r="C78" s="1048"/>
      <c r="D78" s="1048"/>
      <c r="E78" s="1048"/>
      <c r="F78" s="1048"/>
      <c r="G78" s="1048"/>
      <c r="H78" s="1048"/>
      <c r="I78" s="1048"/>
      <c r="J78" s="1048"/>
      <c r="K78" s="1048"/>
      <c r="L78" s="1048"/>
      <c r="M78" s="1048"/>
      <c r="N78" s="1048"/>
      <c r="O78" s="1048"/>
      <c r="P78" s="1048"/>
      <c r="Q78" s="1048"/>
      <c r="R78" s="1048"/>
    </row>
    <row r="79" spans="1:18" x14ac:dyDescent="0.25">
      <c r="A79" s="1048"/>
      <c r="B79" s="1048"/>
      <c r="C79" s="1048"/>
      <c r="D79" s="1048"/>
      <c r="E79" s="1048"/>
      <c r="F79" s="1048"/>
      <c r="G79" s="1048"/>
      <c r="H79" s="1048"/>
      <c r="I79" s="1048"/>
      <c r="J79" s="1048"/>
      <c r="K79" s="1048"/>
      <c r="L79" s="1048"/>
      <c r="M79" s="1048"/>
      <c r="N79" s="1048"/>
      <c r="O79" s="1048"/>
      <c r="P79" s="1048"/>
      <c r="Q79" s="1048"/>
      <c r="R79" s="1048"/>
    </row>
    <row r="80" spans="1:18" x14ac:dyDescent="0.25">
      <c r="A80" s="1048"/>
      <c r="B80" s="1048"/>
      <c r="C80" s="1048"/>
      <c r="D80" s="1048"/>
      <c r="E80" s="1048"/>
      <c r="F80" s="1048"/>
      <c r="G80" s="1048"/>
      <c r="H80" s="1048"/>
      <c r="I80" s="1048"/>
      <c r="J80" s="1048"/>
      <c r="K80" s="1048"/>
      <c r="L80" s="1048"/>
      <c r="M80" s="1048"/>
      <c r="N80" s="1048"/>
      <c r="O80" s="1048"/>
      <c r="P80" s="1048"/>
      <c r="Q80" s="1048"/>
      <c r="R80" s="1048"/>
    </row>
    <row r="81" spans="1:18" x14ac:dyDescent="0.25">
      <c r="A81" s="1048"/>
      <c r="B81" s="1048"/>
      <c r="C81" s="1048"/>
      <c r="D81" s="1048"/>
      <c r="E81" s="1048"/>
      <c r="F81" s="1048"/>
      <c r="G81" s="1048"/>
      <c r="H81" s="1048"/>
      <c r="I81" s="1048"/>
      <c r="J81" s="1048"/>
      <c r="K81" s="1048"/>
      <c r="L81" s="1048"/>
      <c r="M81" s="1048"/>
      <c r="N81" s="1048"/>
      <c r="O81" s="1048"/>
      <c r="P81" s="1048"/>
      <c r="Q81" s="1048"/>
      <c r="R81" s="1048"/>
    </row>
    <row r="82" spans="1:18" x14ac:dyDescent="0.25">
      <c r="A82" s="1048"/>
      <c r="B82" s="1048"/>
      <c r="C82" s="1048"/>
      <c r="D82" s="1048"/>
      <c r="E82" s="1048"/>
      <c r="F82" s="1048"/>
      <c r="G82" s="1048"/>
      <c r="H82" s="1048"/>
      <c r="I82" s="1048"/>
      <c r="J82" s="1048"/>
      <c r="K82" s="1048"/>
      <c r="L82" s="1048"/>
      <c r="M82" s="1048"/>
      <c r="N82" s="1048"/>
      <c r="O82" s="1048"/>
      <c r="P82" s="1048"/>
      <c r="Q82" s="1048"/>
      <c r="R82" s="1048"/>
    </row>
    <row r="83" spans="1:18" x14ac:dyDescent="0.25">
      <c r="A83" s="1048"/>
      <c r="B83" s="1048"/>
      <c r="C83" s="1048"/>
      <c r="D83" s="1048"/>
      <c r="E83" s="1048"/>
      <c r="F83" s="1048"/>
      <c r="G83" s="1048"/>
      <c r="H83" s="1048"/>
      <c r="I83" s="1048"/>
      <c r="J83" s="1048"/>
      <c r="K83" s="1048"/>
      <c r="L83" s="1048"/>
      <c r="M83" s="1048"/>
      <c r="N83" s="1048"/>
      <c r="O83" s="1048"/>
      <c r="P83" s="1048"/>
      <c r="Q83" s="1048"/>
      <c r="R83" s="1048"/>
    </row>
    <row r="84" spans="1:18" x14ac:dyDescent="0.25">
      <c r="A84" s="1048"/>
      <c r="B84" s="1048"/>
      <c r="C84" s="1048"/>
      <c r="D84" s="1048"/>
      <c r="E84" s="1048"/>
      <c r="F84" s="1048"/>
      <c r="G84" s="1048"/>
      <c r="H84" s="1048"/>
      <c r="I84" s="1048"/>
      <c r="J84" s="1048"/>
      <c r="K84" s="1048"/>
      <c r="L84" s="1048"/>
      <c r="M84" s="1048"/>
      <c r="N84" s="1048"/>
      <c r="O84" s="1048"/>
      <c r="P84" s="1048"/>
      <c r="Q84" s="1048"/>
      <c r="R84" s="1048"/>
    </row>
    <row r="85" spans="1:18" x14ac:dyDescent="0.25">
      <c r="A85" s="1048"/>
      <c r="B85" s="1048"/>
      <c r="C85" s="1048"/>
      <c r="D85" s="1048"/>
      <c r="E85" s="1048"/>
      <c r="F85" s="1048"/>
      <c r="G85" s="1048"/>
      <c r="H85" s="1048"/>
      <c r="I85" s="1048"/>
      <c r="J85" s="1048"/>
      <c r="K85" s="1048"/>
      <c r="L85" s="1048"/>
      <c r="M85" s="1048"/>
      <c r="N85" s="1048"/>
      <c r="O85" s="1048"/>
      <c r="P85" s="1048"/>
      <c r="Q85" s="1048"/>
      <c r="R85" s="1048"/>
    </row>
    <row r="86" spans="1:18" x14ac:dyDescent="0.25">
      <c r="A86" s="1048"/>
      <c r="B86" s="1048"/>
      <c r="C86" s="1048"/>
      <c r="D86" s="1048"/>
      <c r="E86" s="1048"/>
      <c r="F86" s="1048"/>
      <c r="G86" s="1048"/>
      <c r="H86" s="1048"/>
      <c r="I86" s="1048"/>
      <c r="J86" s="1048"/>
      <c r="K86" s="1048"/>
      <c r="L86" s="1048"/>
      <c r="M86" s="1048"/>
      <c r="N86" s="1048"/>
      <c r="O86" s="1048"/>
      <c r="P86" s="1048"/>
      <c r="Q86" s="1048"/>
      <c r="R86" s="1048"/>
    </row>
    <row r="87" spans="1:18" x14ac:dyDescent="0.25">
      <c r="A87" s="1048"/>
      <c r="B87" s="1048"/>
      <c r="C87" s="1048"/>
      <c r="D87" s="1048"/>
      <c r="E87" s="1048"/>
      <c r="F87" s="1048"/>
      <c r="G87" s="1048"/>
      <c r="H87" s="1048"/>
      <c r="I87" s="1048"/>
      <c r="J87" s="1048"/>
      <c r="K87" s="1048"/>
      <c r="L87" s="1048"/>
      <c r="M87" s="1048"/>
      <c r="N87" s="1048"/>
      <c r="O87" s="1048"/>
      <c r="P87" s="1048"/>
      <c r="Q87" s="1048"/>
      <c r="R87" s="1048"/>
    </row>
    <row r="88" spans="1:18" x14ac:dyDescent="0.25">
      <c r="A88" s="1048"/>
      <c r="B88" s="1048"/>
      <c r="C88" s="1048"/>
      <c r="D88" s="1048"/>
      <c r="E88" s="1048"/>
      <c r="F88" s="1048"/>
      <c r="G88" s="1048"/>
      <c r="H88" s="1048"/>
      <c r="I88" s="1048"/>
      <c r="J88" s="1048"/>
      <c r="K88" s="1048"/>
      <c r="L88" s="1048"/>
      <c r="M88" s="1048"/>
      <c r="N88" s="1048"/>
      <c r="O88" s="1048"/>
      <c r="P88" s="1048"/>
      <c r="Q88" s="1048"/>
      <c r="R88" s="1048"/>
    </row>
    <row r="89" spans="1:18" x14ac:dyDescent="0.25">
      <c r="A89" s="1048"/>
      <c r="B89" s="1048"/>
      <c r="C89" s="1048"/>
      <c r="D89" s="1048"/>
      <c r="E89" s="1048"/>
      <c r="F89" s="1048"/>
      <c r="G89" s="1048"/>
      <c r="H89" s="1048"/>
      <c r="I89" s="1048"/>
      <c r="J89" s="1048"/>
      <c r="K89" s="1048"/>
      <c r="L89" s="1048"/>
      <c r="M89" s="1048"/>
      <c r="N89" s="1048"/>
      <c r="O89" s="1048"/>
      <c r="P89" s="1048"/>
      <c r="Q89" s="1048"/>
      <c r="R89" s="1048"/>
    </row>
    <row r="90" spans="1:18" x14ac:dyDescent="0.25">
      <c r="A90" s="1048"/>
      <c r="B90" s="1048"/>
      <c r="C90" s="1048"/>
      <c r="D90" s="1048"/>
      <c r="E90" s="1048"/>
      <c r="F90" s="1048"/>
      <c r="G90" s="1048"/>
      <c r="H90" s="1048"/>
      <c r="I90" s="1048"/>
      <c r="J90" s="1048"/>
      <c r="K90" s="1048"/>
      <c r="L90" s="1048"/>
      <c r="M90" s="1048"/>
      <c r="N90" s="1048"/>
      <c r="O90" s="1048"/>
      <c r="P90" s="1048"/>
      <c r="Q90" s="1048"/>
      <c r="R90" s="1048"/>
    </row>
    <row r="91" spans="1:18" x14ac:dyDescent="0.25">
      <c r="A91" s="1048"/>
      <c r="B91" s="1048"/>
      <c r="C91" s="1048"/>
      <c r="D91" s="1048"/>
      <c r="E91" s="1048"/>
      <c r="F91" s="1048"/>
      <c r="G91" s="1048"/>
      <c r="H91" s="1048"/>
      <c r="I91" s="1048"/>
      <c r="J91" s="1048"/>
      <c r="K91" s="1048"/>
      <c r="L91" s="1048"/>
      <c r="M91" s="1048"/>
      <c r="N91" s="1048"/>
      <c r="O91" s="1048"/>
      <c r="P91" s="1048"/>
      <c r="Q91" s="1048"/>
      <c r="R91" s="1048"/>
    </row>
    <row r="92" spans="1:18" x14ac:dyDescent="0.25">
      <c r="A92" s="1048"/>
      <c r="B92" s="1048"/>
      <c r="C92" s="1048"/>
      <c r="D92" s="1048"/>
      <c r="E92" s="1048"/>
      <c r="F92" s="1048"/>
      <c r="G92" s="1048"/>
      <c r="H92" s="1048"/>
      <c r="I92" s="1048"/>
      <c r="J92" s="1048"/>
      <c r="K92" s="1048"/>
      <c r="L92" s="1048"/>
      <c r="M92" s="1048"/>
      <c r="N92" s="1048"/>
      <c r="O92" s="1048"/>
      <c r="P92" s="1048"/>
      <c r="Q92" s="1048"/>
      <c r="R92" s="1048"/>
    </row>
    <row r="93" spans="1:18" x14ac:dyDescent="0.25">
      <c r="A93" s="1048"/>
      <c r="B93" s="1048"/>
      <c r="C93" s="1048"/>
      <c r="D93" s="1048"/>
      <c r="E93" s="1048"/>
      <c r="F93" s="1048"/>
      <c r="G93" s="1048"/>
      <c r="H93" s="1048"/>
      <c r="I93" s="1048"/>
      <c r="J93" s="1048"/>
      <c r="K93" s="1048"/>
      <c r="L93" s="1048"/>
      <c r="M93" s="1048"/>
      <c r="N93" s="1048"/>
      <c r="O93" s="1048"/>
      <c r="P93" s="1048"/>
      <c r="Q93" s="1048"/>
      <c r="R93" s="1048"/>
    </row>
    <row r="94" spans="1:18" x14ac:dyDescent="0.25">
      <c r="A94" s="1048"/>
      <c r="B94" s="1048"/>
      <c r="C94" s="1048"/>
      <c r="D94" s="1048"/>
      <c r="E94" s="1048"/>
      <c r="F94" s="1048"/>
      <c r="G94" s="1048"/>
      <c r="H94" s="1048"/>
      <c r="I94" s="1048"/>
      <c r="J94" s="1048"/>
      <c r="K94" s="1048"/>
      <c r="L94" s="1048"/>
      <c r="M94" s="1048"/>
      <c r="N94" s="1048"/>
      <c r="O94" s="1048"/>
      <c r="P94" s="1048"/>
      <c r="Q94" s="1048"/>
      <c r="R94" s="1048"/>
    </row>
    <row r="95" spans="1:18" x14ac:dyDescent="0.25">
      <c r="A95" s="1048"/>
      <c r="B95" s="1048"/>
      <c r="C95" s="1048"/>
      <c r="D95" s="1048"/>
      <c r="E95" s="1048"/>
      <c r="F95" s="1048"/>
      <c r="G95" s="1048"/>
      <c r="H95" s="1048"/>
      <c r="I95" s="1048"/>
      <c r="J95" s="1048"/>
      <c r="K95" s="1048"/>
      <c r="L95" s="1048"/>
      <c r="M95" s="1048"/>
      <c r="N95" s="1048"/>
      <c r="O95" s="1048"/>
      <c r="P95" s="1048"/>
      <c r="Q95" s="1048"/>
      <c r="R95" s="1048"/>
    </row>
    <row r="96" spans="1:18" x14ac:dyDescent="0.25">
      <c r="A96" s="1048"/>
      <c r="B96" s="1048"/>
      <c r="C96" s="1048"/>
      <c r="D96" s="1048"/>
      <c r="E96" s="1048"/>
      <c r="F96" s="1048"/>
      <c r="G96" s="1048"/>
      <c r="H96" s="1048"/>
      <c r="I96" s="1048"/>
      <c r="J96" s="1048"/>
      <c r="K96" s="1048"/>
      <c r="L96" s="1048"/>
      <c r="M96" s="1048"/>
      <c r="N96" s="1048"/>
      <c r="O96" s="1048"/>
      <c r="P96" s="1048"/>
      <c r="Q96" s="1048"/>
      <c r="R96" s="1048"/>
    </row>
    <row r="97" spans="1:18" x14ac:dyDescent="0.25">
      <c r="A97" s="1048"/>
      <c r="B97" s="1048"/>
      <c r="C97" s="1048"/>
      <c r="D97" s="1048"/>
      <c r="E97" s="1048"/>
      <c r="F97" s="1048"/>
      <c r="G97" s="1048"/>
      <c r="H97" s="1048"/>
      <c r="I97" s="1048"/>
      <c r="J97" s="1048"/>
      <c r="K97" s="1048"/>
      <c r="L97" s="1048"/>
      <c r="M97" s="1048"/>
      <c r="N97" s="1048"/>
      <c r="O97" s="1048"/>
      <c r="P97" s="1048"/>
      <c r="Q97" s="1048"/>
      <c r="R97" s="1048"/>
    </row>
    <row r="98" spans="1:18" x14ac:dyDescent="0.25">
      <c r="A98" s="1048"/>
      <c r="B98" s="1048"/>
      <c r="C98" s="1048"/>
      <c r="D98" s="1048"/>
      <c r="E98" s="1048"/>
      <c r="F98" s="1048"/>
      <c r="G98" s="1048"/>
      <c r="H98" s="1048"/>
      <c r="I98" s="1048"/>
      <c r="J98" s="1048"/>
      <c r="K98" s="1048"/>
      <c r="L98" s="1048"/>
      <c r="M98" s="1048"/>
      <c r="N98" s="1048"/>
      <c r="O98" s="1048"/>
      <c r="P98" s="1048"/>
      <c r="Q98" s="1048"/>
      <c r="R98" s="1048"/>
    </row>
    <row r="99" spans="1:18" x14ac:dyDescent="0.25">
      <c r="A99" s="1048"/>
      <c r="B99" s="1048"/>
      <c r="C99" s="1048"/>
      <c r="D99" s="1048"/>
      <c r="E99" s="1048"/>
      <c r="F99" s="1048"/>
      <c r="G99" s="1048"/>
      <c r="H99" s="1048"/>
      <c r="I99" s="1048"/>
      <c r="J99" s="1048"/>
      <c r="K99" s="1048"/>
      <c r="L99" s="1048"/>
      <c r="M99" s="1048"/>
      <c r="N99" s="1048"/>
      <c r="O99" s="1048"/>
      <c r="P99" s="1048"/>
      <c r="Q99" s="1048"/>
      <c r="R99" s="1048"/>
    </row>
    <row r="100" spans="1:18" x14ac:dyDescent="0.25">
      <c r="A100" s="1048"/>
      <c r="B100" s="1048"/>
      <c r="C100" s="1048"/>
      <c r="D100" s="1048"/>
      <c r="E100" s="1048"/>
      <c r="F100" s="1048"/>
      <c r="G100" s="1048"/>
      <c r="H100" s="1048"/>
      <c r="I100" s="1048"/>
      <c r="J100" s="1048"/>
      <c r="K100" s="1048"/>
      <c r="L100" s="1048"/>
      <c r="M100" s="1048"/>
      <c r="N100" s="1048"/>
      <c r="O100" s="1048"/>
      <c r="P100" s="1048"/>
      <c r="Q100" s="1048"/>
      <c r="R100" s="1048"/>
    </row>
    <row r="101" spans="1:18" x14ac:dyDescent="0.25">
      <c r="A101" s="1048"/>
      <c r="B101" s="1048"/>
      <c r="C101" s="1048"/>
      <c r="D101" s="1048"/>
      <c r="E101" s="1048"/>
      <c r="F101" s="1048"/>
      <c r="G101" s="1048"/>
      <c r="H101" s="1048"/>
      <c r="I101" s="1048"/>
      <c r="J101" s="1048"/>
      <c r="K101" s="1048"/>
      <c r="L101" s="1048"/>
      <c r="M101" s="1048"/>
      <c r="N101" s="1048"/>
      <c r="O101" s="1048"/>
      <c r="P101" s="1048"/>
      <c r="Q101" s="1048"/>
      <c r="R101" s="1048"/>
    </row>
    <row r="102" spans="1:18" x14ac:dyDescent="0.25">
      <c r="A102" s="1048"/>
      <c r="B102" s="1048"/>
      <c r="C102" s="1048"/>
      <c r="D102" s="1048"/>
      <c r="E102" s="1048"/>
      <c r="F102" s="1048"/>
      <c r="G102" s="1048"/>
      <c r="H102" s="1048"/>
      <c r="I102" s="1048"/>
      <c r="J102" s="1048"/>
      <c r="K102" s="1048"/>
      <c r="L102" s="1048"/>
      <c r="M102" s="1048"/>
      <c r="N102" s="1048"/>
      <c r="O102" s="1048"/>
      <c r="P102" s="1048"/>
      <c r="Q102" s="1048"/>
      <c r="R102" s="1048"/>
    </row>
    <row r="103" spans="1:18" x14ac:dyDescent="0.25">
      <c r="A103" s="1048"/>
      <c r="B103" s="1048"/>
      <c r="C103" s="1048"/>
      <c r="D103" s="1048"/>
      <c r="E103" s="1048"/>
      <c r="F103" s="1048"/>
      <c r="G103" s="1048"/>
      <c r="H103" s="1048"/>
      <c r="I103" s="1048"/>
      <c r="J103" s="1048"/>
      <c r="K103" s="1048"/>
      <c r="L103" s="1048"/>
      <c r="M103" s="1048"/>
      <c r="N103" s="1048"/>
      <c r="O103" s="1048"/>
      <c r="P103" s="1048"/>
      <c r="Q103" s="1048"/>
      <c r="R103" s="1048"/>
    </row>
    <row r="104" spans="1:18" x14ac:dyDescent="0.25">
      <c r="A104" s="1048"/>
      <c r="B104" s="1048"/>
      <c r="C104" s="1048"/>
      <c r="D104" s="1048"/>
      <c r="E104" s="1048"/>
      <c r="F104" s="1048"/>
      <c r="G104" s="1048"/>
      <c r="H104" s="1048"/>
      <c r="I104" s="1048"/>
      <c r="J104" s="1048"/>
      <c r="K104" s="1048"/>
      <c r="L104" s="1048"/>
      <c r="M104" s="1048"/>
      <c r="N104" s="1048"/>
      <c r="O104" s="1048"/>
      <c r="P104" s="1048"/>
      <c r="Q104" s="1048"/>
      <c r="R104" s="1048"/>
    </row>
    <row r="105" spans="1:18" x14ac:dyDescent="0.25">
      <c r="A105" s="1048"/>
      <c r="B105" s="1048"/>
      <c r="C105" s="1048"/>
      <c r="D105" s="1048"/>
      <c r="E105" s="1048"/>
      <c r="F105" s="1048"/>
      <c r="G105" s="1048"/>
      <c r="H105" s="1048"/>
      <c r="I105" s="1048"/>
      <c r="J105" s="1048"/>
      <c r="K105" s="1048"/>
      <c r="L105" s="1048"/>
      <c r="M105" s="1048"/>
      <c r="N105" s="1048"/>
      <c r="O105" s="1048"/>
      <c r="P105" s="1048"/>
      <c r="Q105" s="1048"/>
      <c r="R105" s="1048"/>
    </row>
    <row r="106" spans="1:18" x14ac:dyDescent="0.25">
      <c r="A106" s="1048"/>
      <c r="B106" s="1048"/>
      <c r="C106" s="1048"/>
      <c r="D106" s="1048"/>
      <c r="E106" s="1048"/>
      <c r="F106" s="1048"/>
      <c r="G106" s="1048"/>
      <c r="H106" s="1048"/>
      <c r="I106" s="1048"/>
      <c r="J106" s="1048"/>
      <c r="K106" s="1048"/>
      <c r="L106" s="1048"/>
      <c r="M106" s="1048"/>
      <c r="N106" s="1048"/>
      <c r="O106" s="1048"/>
      <c r="P106" s="1048"/>
      <c r="Q106" s="1048"/>
      <c r="R106" s="1048"/>
    </row>
    <row r="107" spans="1:18" x14ac:dyDescent="0.25">
      <c r="A107" s="1048"/>
      <c r="B107" s="1048"/>
      <c r="C107" s="1048"/>
      <c r="D107" s="1048"/>
      <c r="E107" s="1048"/>
      <c r="F107" s="1048"/>
      <c r="G107" s="1048"/>
      <c r="H107" s="1048"/>
      <c r="I107" s="1048"/>
      <c r="J107" s="1048"/>
      <c r="K107" s="1048"/>
      <c r="L107" s="1048"/>
      <c r="M107" s="1048"/>
      <c r="N107" s="1048"/>
      <c r="O107" s="1048"/>
      <c r="P107" s="1048"/>
      <c r="Q107" s="1048"/>
      <c r="R107" s="1048"/>
    </row>
    <row r="108" spans="1:18" x14ac:dyDescent="0.25">
      <c r="A108" s="1048"/>
      <c r="B108" s="1048"/>
      <c r="C108" s="1048"/>
      <c r="D108" s="1048"/>
      <c r="E108" s="1048"/>
      <c r="F108" s="1048"/>
      <c r="G108" s="1048"/>
      <c r="H108" s="1048"/>
      <c r="I108" s="1048"/>
      <c r="J108" s="1048"/>
      <c r="K108" s="1048"/>
      <c r="L108" s="1048"/>
      <c r="M108" s="1048"/>
      <c r="N108" s="1048"/>
      <c r="O108" s="1048"/>
      <c r="P108" s="1048"/>
      <c r="Q108" s="1048"/>
      <c r="R108" s="1048"/>
    </row>
    <row r="109" spans="1:18" x14ac:dyDescent="0.25">
      <c r="A109" s="1048"/>
      <c r="B109" s="1048"/>
      <c r="C109" s="1048"/>
      <c r="D109" s="1048"/>
      <c r="E109" s="1048"/>
      <c r="F109" s="1048"/>
      <c r="G109" s="1048"/>
      <c r="H109" s="1048"/>
      <c r="I109" s="1048"/>
      <c r="J109" s="1048"/>
      <c r="K109" s="1048"/>
      <c r="L109" s="1048"/>
      <c r="M109" s="1048"/>
      <c r="N109" s="1048"/>
      <c r="O109" s="1048"/>
      <c r="P109" s="1048"/>
      <c r="Q109" s="1048"/>
      <c r="R109" s="1048"/>
    </row>
    <row r="110" spans="1:18" x14ac:dyDescent="0.25">
      <c r="A110" s="1048"/>
      <c r="B110" s="1048"/>
      <c r="C110" s="1048"/>
      <c r="D110" s="1048"/>
      <c r="E110" s="1048"/>
      <c r="F110" s="1048"/>
      <c r="G110" s="1048"/>
      <c r="H110" s="1048"/>
      <c r="I110" s="1048"/>
      <c r="J110" s="1048"/>
      <c r="K110" s="1048"/>
      <c r="L110" s="1048"/>
      <c r="M110" s="1048"/>
      <c r="N110" s="1048"/>
      <c r="O110" s="1048"/>
      <c r="P110" s="1048"/>
      <c r="Q110" s="1048"/>
      <c r="R110" s="1048"/>
    </row>
    <row r="111" spans="1:18" x14ac:dyDescent="0.25">
      <c r="A111" s="1048"/>
      <c r="B111" s="1048"/>
      <c r="C111" s="1048"/>
      <c r="D111" s="1048"/>
      <c r="E111" s="1048"/>
      <c r="F111" s="1048"/>
      <c r="G111" s="1048"/>
      <c r="H111" s="1048"/>
      <c r="I111" s="1048"/>
      <c r="J111" s="1048"/>
      <c r="K111" s="1048"/>
      <c r="L111" s="1048"/>
      <c r="M111" s="1048"/>
      <c r="N111" s="1048"/>
      <c r="O111" s="1048"/>
      <c r="P111" s="1048"/>
      <c r="Q111" s="1048"/>
      <c r="R111" s="1048"/>
    </row>
    <row r="112" spans="1:18" x14ac:dyDescent="0.25">
      <c r="A112" s="1048"/>
      <c r="B112" s="1048"/>
      <c r="C112" s="1048"/>
      <c r="D112" s="1048"/>
      <c r="E112" s="1048"/>
      <c r="F112" s="1048"/>
      <c r="G112" s="1048"/>
      <c r="H112" s="1048"/>
      <c r="I112" s="1048"/>
      <c r="J112" s="1048"/>
      <c r="K112" s="1048"/>
      <c r="L112" s="1048"/>
      <c r="M112" s="1048"/>
      <c r="N112" s="1048"/>
      <c r="O112" s="1048"/>
      <c r="P112" s="1048"/>
      <c r="Q112" s="1048"/>
      <c r="R112" s="1048"/>
    </row>
    <row r="113" spans="1:18" x14ac:dyDescent="0.25">
      <c r="A113" s="1048"/>
      <c r="B113" s="1048"/>
      <c r="C113" s="1048"/>
      <c r="D113" s="1048"/>
      <c r="E113" s="1048"/>
      <c r="F113" s="1048"/>
      <c r="G113" s="1048"/>
      <c r="H113" s="1048"/>
      <c r="I113" s="1048"/>
      <c r="J113" s="1048"/>
      <c r="K113" s="1048"/>
      <c r="L113" s="1048"/>
      <c r="M113" s="1048"/>
      <c r="N113" s="1048"/>
      <c r="O113" s="1048"/>
      <c r="P113" s="1048"/>
      <c r="Q113" s="1048"/>
      <c r="R113" s="1048"/>
    </row>
    <row r="114" spans="1:18" x14ac:dyDescent="0.25">
      <c r="A114" s="1048"/>
      <c r="B114" s="1048"/>
      <c r="C114" s="1048"/>
      <c r="D114" s="1048"/>
      <c r="E114" s="1048"/>
      <c r="F114" s="1048"/>
      <c r="G114" s="1048"/>
      <c r="H114" s="1048"/>
      <c r="I114" s="1048"/>
      <c r="J114" s="1048"/>
      <c r="K114" s="1048"/>
      <c r="L114" s="1048"/>
      <c r="M114" s="1048"/>
      <c r="N114" s="1048"/>
      <c r="O114" s="1048"/>
      <c r="P114" s="1048"/>
      <c r="Q114" s="1048"/>
      <c r="R114" s="1048"/>
    </row>
    <row r="115" spans="1:18" x14ac:dyDescent="0.25">
      <c r="A115" s="1048"/>
      <c r="B115" s="1048"/>
      <c r="C115" s="1048"/>
      <c r="D115" s="1048"/>
      <c r="E115" s="1048"/>
      <c r="F115" s="1048"/>
      <c r="G115" s="1048"/>
      <c r="H115" s="1048"/>
      <c r="I115" s="1048"/>
      <c r="J115" s="1048"/>
      <c r="K115" s="1048"/>
      <c r="L115" s="1048"/>
      <c r="M115" s="1048"/>
      <c r="N115" s="1048"/>
      <c r="O115" s="1048"/>
      <c r="P115" s="1048"/>
      <c r="Q115" s="1048"/>
      <c r="R115" s="1048"/>
    </row>
    <row r="116" spans="1:18" x14ac:dyDescent="0.25">
      <c r="A116" s="1048"/>
      <c r="B116" s="1048"/>
      <c r="C116" s="1048"/>
      <c r="D116" s="1048"/>
      <c r="E116" s="1048"/>
      <c r="F116" s="1048"/>
      <c r="G116" s="1048"/>
      <c r="H116" s="1048"/>
      <c r="I116" s="1048"/>
      <c r="J116" s="1048"/>
      <c r="K116" s="1048"/>
      <c r="L116" s="1048"/>
      <c r="M116" s="1048"/>
      <c r="N116" s="1048"/>
      <c r="O116" s="1048"/>
      <c r="P116" s="1048"/>
      <c r="Q116" s="1048"/>
      <c r="R116" s="1048"/>
    </row>
    <row r="117" spans="1:18" x14ac:dyDescent="0.25">
      <c r="A117" s="1048"/>
      <c r="B117" s="1048"/>
      <c r="C117" s="1048"/>
      <c r="D117" s="1048"/>
      <c r="E117" s="1048"/>
      <c r="F117" s="1048"/>
      <c r="G117" s="1048"/>
      <c r="H117" s="1048"/>
      <c r="I117" s="1048"/>
      <c r="J117" s="1048"/>
      <c r="K117" s="1048"/>
      <c r="L117" s="1048"/>
      <c r="M117" s="1048"/>
      <c r="N117" s="1048"/>
      <c r="O117" s="1048"/>
      <c r="P117" s="1048"/>
      <c r="Q117" s="1048"/>
      <c r="R117" s="1048"/>
    </row>
    <row r="118" spans="1:18" x14ac:dyDescent="0.25">
      <c r="A118" s="1048"/>
      <c r="B118" s="1048"/>
      <c r="C118" s="1048"/>
      <c r="D118" s="1048"/>
      <c r="E118" s="1048"/>
      <c r="F118" s="1048"/>
      <c r="G118" s="1048"/>
      <c r="H118" s="1048"/>
      <c r="I118" s="1048"/>
      <c r="J118" s="1048"/>
      <c r="K118" s="1048"/>
      <c r="L118" s="1048"/>
      <c r="M118" s="1048"/>
      <c r="N118" s="1048"/>
      <c r="O118" s="1048"/>
      <c r="P118" s="1048"/>
      <c r="Q118" s="1048"/>
      <c r="R118" s="1048"/>
    </row>
    <row r="119" spans="1:18" x14ac:dyDescent="0.25">
      <c r="A119" s="1048"/>
      <c r="B119" s="1048"/>
      <c r="C119" s="1048"/>
      <c r="D119" s="1048"/>
      <c r="E119" s="1048"/>
      <c r="F119" s="1048"/>
      <c r="G119" s="1048"/>
      <c r="H119" s="1048"/>
      <c r="I119" s="1048"/>
      <c r="J119" s="1048"/>
      <c r="K119" s="1048"/>
      <c r="L119" s="1048"/>
      <c r="M119" s="1048"/>
      <c r="N119" s="1048"/>
      <c r="O119" s="1048"/>
      <c r="P119" s="1048"/>
      <c r="Q119" s="1048"/>
      <c r="R119" s="1048"/>
    </row>
    <row r="120" spans="1:18" x14ac:dyDescent="0.25">
      <c r="A120" s="1048"/>
      <c r="B120" s="1048"/>
      <c r="C120" s="1048"/>
      <c r="D120" s="1048"/>
      <c r="E120" s="1048"/>
      <c r="F120" s="1048"/>
      <c r="G120" s="1048"/>
      <c r="H120" s="1048"/>
      <c r="I120" s="1048"/>
      <c r="J120" s="1048"/>
      <c r="K120" s="1048"/>
      <c r="L120" s="1048"/>
      <c r="M120" s="1048"/>
      <c r="N120" s="1048"/>
      <c r="O120" s="1048"/>
      <c r="P120" s="1048"/>
      <c r="Q120" s="1048"/>
      <c r="R120" s="1048"/>
    </row>
    <row r="121" spans="1:18" x14ac:dyDescent="0.25">
      <c r="A121" s="1048"/>
      <c r="B121" s="1048"/>
      <c r="C121" s="1048"/>
      <c r="D121" s="1048"/>
      <c r="E121" s="1048"/>
      <c r="F121" s="1048"/>
      <c r="G121" s="1048"/>
      <c r="H121" s="1048"/>
      <c r="I121" s="1048"/>
      <c r="J121" s="1048"/>
      <c r="K121" s="1048"/>
      <c r="L121" s="1048"/>
      <c r="M121" s="1048"/>
      <c r="N121" s="1048"/>
      <c r="O121" s="1048"/>
      <c r="P121" s="1048"/>
      <c r="Q121" s="1048"/>
      <c r="R121" s="1048"/>
    </row>
    <row r="122" spans="1:18" x14ac:dyDescent="0.25">
      <c r="A122" s="1048"/>
      <c r="B122" s="1048"/>
      <c r="C122" s="1048"/>
      <c r="D122" s="1048"/>
      <c r="E122" s="1048"/>
      <c r="F122" s="1048"/>
      <c r="G122" s="1048"/>
      <c r="H122" s="1048"/>
      <c r="I122" s="1048"/>
      <c r="J122" s="1048"/>
      <c r="K122" s="1048"/>
      <c r="L122" s="1048"/>
      <c r="M122" s="1048"/>
      <c r="N122" s="1048"/>
      <c r="O122" s="1048"/>
      <c r="P122" s="1048"/>
      <c r="Q122" s="1048"/>
      <c r="R122" s="1048"/>
    </row>
    <row r="123" spans="1:18" x14ac:dyDescent="0.25">
      <c r="A123" s="1048"/>
      <c r="B123" s="1048"/>
      <c r="C123" s="1048"/>
      <c r="D123" s="1048"/>
      <c r="E123" s="1048"/>
      <c r="F123" s="1048"/>
      <c r="G123" s="1048"/>
      <c r="H123" s="1048"/>
      <c r="I123" s="1048"/>
      <c r="J123" s="1048"/>
      <c r="K123" s="1048"/>
      <c r="L123" s="1048"/>
      <c r="M123" s="1048"/>
      <c r="N123" s="1048"/>
      <c r="O123" s="1048"/>
      <c r="P123" s="1048"/>
      <c r="Q123" s="1048"/>
      <c r="R123" s="1048"/>
    </row>
    <row r="124" spans="1:18" x14ac:dyDescent="0.25">
      <c r="A124" s="1048"/>
      <c r="B124" s="1048"/>
      <c r="C124" s="1048"/>
      <c r="D124" s="1048"/>
      <c r="E124" s="1048"/>
      <c r="F124" s="1048"/>
      <c r="G124" s="1048"/>
      <c r="H124" s="1048"/>
      <c r="I124" s="1048"/>
      <c r="J124" s="1048"/>
      <c r="K124" s="1048"/>
      <c r="L124" s="1048"/>
      <c r="M124" s="1048"/>
      <c r="N124" s="1048"/>
      <c r="O124" s="1048"/>
      <c r="P124" s="1048"/>
      <c r="Q124" s="1048"/>
      <c r="R124" s="1048"/>
    </row>
    <row r="125" spans="1:18" x14ac:dyDescent="0.25">
      <c r="A125" s="1048"/>
      <c r="B125" s="1048"/>
      <c r="C125" s="1048"/>
      <c r="D125" s="1048"/>
      <c r="E125" s="1048"/>
      <c r="F125" s="1048"/>
      <c r="G125" s="1048"/>
      <c r="H125" s="1048"/>
      <c r="I125" s="1048"/>
      <c r="J125" s="1048"/>
      <c r="K125" s="1048"/>
      <c r="L125" s="1048"/>
      <c r="M125" s="1048"/>
      <c r="N125" s="1048"/>
      <c r="O125" s="1048"/>
      <c r="P125" s="1048"/>
      <c r="Q125" s="1048"/>
      <c r="R125" s="1048"/>
    </row>
    <row r="126" spans="1:18" x14ac:dyDescent="0.25">
      <c r="A126" s="1048"/>
      <c r="B126" s="1048"/>
      <c r="C126" s="1048"/>
      <c r="D126" s="1048"/>
      <c r="E126" s="1048"/>
      <c r="F126" s="1048"/>
      <c r="G126" s="1048"/>
      <c r="H126" s="1048"/>
      <c r="I126" s="1048"/>
      <c r="J126" s="1048"/>
      <c r="K126" s="1048"/>
      <c r="L126" s="1048"/>
      <c r="M126" s="1048"/>
      <c r="N126" s="1048"/>
      <c r="O126" s="1048"/>
      <c r="P126" s="1048"/>
      <c r="Q126" s="1048"/>
      <c r="R126" s="1048"/>
    </row>
    <row r="127" spans="1:18" x14ac:dyDescent="0.25">
      <c r="A127" s="1048"/>
      <c r="B127" s="1048"/>
      <c r="C127" s="1048"/>
      <c r="D127" s="1048"/>
      <c r="E127" s="1048"/>
      <c r="F127" s="1048"/>
      <c r="G127" s="1048"/>
      <c r="H127" s="1048"/>
      <c r="I127" s="1048"/>
      <c r="J127" s="1048"/>
      <c r="K127" s="1048"/>
      <c r="L127" s="1048"/>
      <c r="M127" s="1048"/>
      <c r="N127" s="1048"/>
      <c r="O127" s="1048"/>
      <c r="P127" s="1048"/>
      <c r="Q127" s="1048"/>
      <c r="R127" s="1048"/>
    </row>
    <row r="128" spans="1:18" x14ac:dyDescent="0.25">
      <c r="A128" s="1048"/>
      <c r="B128" s="1048"/>
      <c r="C128" s="1048"/>
      <c r="D128" s="1048"/>
      <c r="E128" s="1048"/>
      <c r="F128" s="1048"/>
      <c r="G128" s="1048"/>
      <c r="H128" s="1048"/>
      <c r="I128" s="1048"/>
      <c r="J128" s="1048"/>
      <c r="K128" s="1048"/>
      <c r="L128" s="1048"/>
      <c r="M128" s="1048"/>
      <c r="N128" s="1048"/>
      <c r="O128" s="1048"/>
      <c r="P128" s="1048"/>
      <c r="Q128" s="1048"/>
      <c r="R128" s="1048"/>
    </row>
    <row r="129" spans="1:18" x14ac:dyDescent="0.25">
      <c r="A129" s="1048"/>
      <c r="B129" s="1048"/>
      <c r="C129" s="1048"/>
      <c r="D129" s="1048"/>
      <c r="E129" s="1048"/>
      <c r="F129" s="1048"/>
      <c r="G129" s="1048"/>
      <c r="H129" s="1048"/>
      <c r="I129" s="1048"/>
      <c r="J129" s="1048"/>
      <c r="K129" s="1048"/>
      <c r="L129" s="1048"/>
      <c r="M129" s="1048"/>
      <c r="N129" s="1048"/>
      <c r="O129" s="1048"/>
      <c r="P129" s="1048"/>
      <c r="Q129" s="1048"/>
      <c r="R129" s="1048"/>
    </row>
    <row r="130" spans="1:18" x14ac:dyDescent="0.25">
      <c r="A130" s="1048"/>
      <c r="B130" s="1048"/>
      <c r="C130" s="1048"/>
      <c r="D130" s="1048"/>
      <c r="E130" s="1048"/>
      <c r="F130" s="1048"/>
      <c r="G130" s="1048"/>
      <c r="H130" s="1048"/>
      <c r="I130" s="1048"/>
      <c r="J130" s="1048"/>
      <c r="K130" s="1048"/>
      <c r="L130" s="1048"/>
      <c r="M130" s="1048"/>
      <c r="N130" s="1048"/>
      <c r="O130" s="1048"/>
      <c r="P130" s="1048"/>
      <c r="Q130" s="1048"/>
      <c r="R130" s="1048"/>
    </row>
    <row r="131" spans="1:18" x14ac:dyDescent="0.25">
      <c r="A131" s="1048"/>
      <c r="B131" s="1048"/>
      <c r="C131" s="1048"/>
      <c r="D131" s="1048"/>
      <c r="E131" s="1048"/>
      <c r="F131" s="1048"/>
      <c r="G131" s="1048"/>
      <c r="H131" s="1048"/>
      <c r="I131" s="1048"/>
      <c r="J131" s="1048"/>
      <c r="K131" s="1048"/>
      <c r="L131" s="1048"/>
      <c r="M131" s="1048"/>
      <c r="N131" s="1048"/>
      <c r="O131" s="1048"/>
      <c r="P131" s="1048"/>
      <c r="Q131" s="1048"/>
      <c r="R131" s="1048"/>
    </row>
    <row r="132" spans="1:18" x14ac:dyDescent="0.25">
      <c r="A132" s="1048"/>
      <c r="B132" s="1048"/>
      <c r="C132" s="1048"/>
      <c r="D132" s="1048"/>
      <c r="E132" s="1048"/>
      <c r="F132" s="1048"/>
      <c r="G132" s="1048"/>
      <c r="H132" s="1048"/>
      <c r="I132" s="1048"/>
      <c r="J132" s="1048"/>
      <c r="K132" s="1048"/>
      <c r="L132" s="1048"/>
      <c r="M132" s="1048"/>
      <c r="N132" s="1048"/>
      <c r="O132" s="1048"/>
      <c r="P132" s="1048"/>
      <c r="Q132" s="1048"/>
      <c r="R132" s="1048"/>
    </row>
    <row r="133" spans="1:18" x14ac:dyDescent="0.25">
      <c r="A133" s="1048"/>
      <c r="B133" s="1048"/>
      <c r="C133" s="1048"/>
      <c r="D133" s="1048"/>
      <c r="E133" s="1048"/>
      <c r="F133" s="1048"/>
      <c r="G133" s="1048"/>
      <c r="H133" s="1048"/>
      <c r="I133" s="1048"/>
      <c r="J133" s="1048"/>
      <c r="K133" s="1048"/>
      <c r="L133" s="1048"/>
      <c r="M133" s="1048"/>
      <c r="N133" s="1048"/>
      <c r="O133" s="1048"/>
      <c r="P133" s="1048"/>
      <c r="Q133" s="1048"/>
      <c r="R133" s="1048"/>
    </row>
    <row r="134" spans="1:18" x14ac:dyDescent="0.25">
      <c r="A134" s="1048"/>
      <c r="B134" s="1048"/>
      <c r="C134" s="1048"/>
      <c r="D134" s="1048"/>
      <c r="E134" s="1048"/>
      <c r="F134" s="1048"/>
      <c r="G134" s="1048"/>
      <c r="H134" s="1048"/>
      <c r="I134" s="1048"/>
      <c r="J134" s="1048"/>
      <c r="K134" s="1048"/>
      <c r="L134" s="1048"/>
      <c r="M134" s="1048"/>
      <c r="N134" s="1048"/>
      <c r="O134" s="1048"/>
      <c r="P134" s="1048"/>
      <c r="Q134" s="1048"/>
      <c r="R134" s="1048"/>
    </row>
    <row r="135" spans="1:18" x14ac:dyDescent="0.25">
      <c r="A135" s="1048"/>
      <c r="B135" s="1048"/>
      <c r="C135" s="1048"/>
      <c r="D135" s="1048"/>
      <c r="E135" s="1048"/>
      <c r="F135" s="1048"/>
      <c r="G135" s="1048"/>
      <c r="H135" s="1048"/>
      <c r="I135" s="1048"/>
      <c r="J135" s="1048"/>
      <c r="K135" s="1048"/>
      <c r="L135" s="1048"/>
      <c r="M135" s="1048"/>
      <c r="N135" s="1048"/>
      <c r="O135" s="1048"/>
      <c r="P135" s="1048"/>
      <c r="Q135" s="1048"/>
      <c r="R135" s="1048"/>
    </row>
    <row r="136" spans="1:18" x14ac:dyDescent="0.25">
      <c r="A136" s="1048"/>
      <c r="B136" s="1048"/>
      <c r="C136" s="1048"/>
      <c r="D136" s="1048"/>
      <c r="E136" s="1048"/>
      <c r="F136" s="1048"/>
      <c r="G136" s="1048"/>
      <c r="H136" s="1048"/>
      <c r="I136" s="1048"/>
      <c r="J136" s="1048"/>
      <c r="K136" s="1048"/>
      <c r="L136" s="1048"/>
      <c r="M136" s="1048"/>
      <c r="N136" s="1048"/>
      <c r="O136" s="1048"/>
      <c r="P136" s="1048"/>
      <c r="Q136" s="1048"/>
      <c r="R136" s="1048"/>
    </row>
    <row r="137" spans="1:18" x14ac:dyDescent="0.25">
      <c r="A137" s="1048"/>
      <c r="B137" s="1048"/>
      <c r="C137" s="1048"/>
      <c r="D137" s="1048"/>
      <c r="E137" s="1048"/>
      <c r="F137" s="1048"/>
      <c r="G137" s="1048"/>
      <c r="H137" s="1048"/>
      <c r="I137" s="1048"/>
      <c r="J137" s="1048"/>
      <c r="K137" s="1048"/>
      <c r="L137" s="1048"/>
      <c r="M137" s="1048"/>
      <c r="N137" s="1048"/>
      <c r="O137" s="1048"/>
      <c r="P137" s="1048"/>
      <c r="Q137" s="1048"/>
      <c r="R137" s="1048"/>
    </row>
    <row r="138" spans="1:18" x14ac:dyDescent="0.25">
      <c r="A138" s="1048"/>
      <c r="B138" s="1048"/>
      <c r="C138" s="1048"/>
      <c r="D138" s="1048"/>
      <c r="E138" s="1048"/>
      <c r="F138" s="1048"/>
      <c r="G138" s="1048"/>
      <c r="H138" s="1048"/>
      <c r="I138" s="1048"/>
      <c r="J138" s="1048"/>
      <c r="K138" s="1048"/>
      <c r="L138" s="1048"/>
      <c r="M138" s="1048"/>
      <c r="N138" s="1048"/>
      <c r="O138" s="1048"/>
      <c r="P138" s="1048"/>
      <c r="Q138" s="1048"/>
      <c r="R138" s="1048"/>
    </row>
    <row r="139" spans="1:18" x14ac:dyDescent="0.25">
      <c r="A139" s="1048"/>
      <c r="B139" s="1048"/>
      <c r="C139" s="1048"/>
      <c r="D139" s="1048"/>
      <c r="E139" s="1048"/>
      <c r="F139" s="1048"/>
      <c r="G139" s="1048"/>
      <c r="H139" s="1048"/>
      <c r="I139" s="1048"/>
      <c r="J139" s="1048"/>
      <c r="K139" s="1048"/>
      <c r="L139" s="1048"/>
      <c r="M139" s="1048"/>
      <c r="N139" s="1048"/>
      <c r="O139" s="1048"/>
      <c r="P139" s="1048"/>
      <c r="Q139" s="1048"/>
      <c r="R139" s="1048"/>
    </row>
    <row r="140" spans="1:18" x14ac:dyDescent="0.25">
      <c r="A140" s="1048"/>
      <c r="B140" s="1048"/>
      <c r="C140" s="1048"/>
      <c r="D140" s="1048"/>
      <c r="E140" s="1048"/>
      <c r="F140" s="1048"/>
      <c r="G140" s="1048"/>
      <c r="H140" s="1048"/>
      <c r="I140" s="1048"/>
      <c r="J140" s="1048"/>
      <c r="K140" s="1048"/>
      <c r="L140" s="1048"/>
      <c r="M140" s="1048"/>
      <c r="N140" s="1048"/>
      <c r="O140" s="1048"/>
      <c r="P140" s="1048"/>
      <c r="Q140" s="1048"/>
      <c r="R140" s="1048"/>
    </row>
    <row r="141" spans="1:18" x14ac:dyDescent="0.25">
      <c r="A141" s="1048"/>
      <c r="B141" s="1048"/>
      <c r="C141" s="1048"/>
      <c r="D141" s="1048"/>
      <c r="E141" s="1048"/>
      <c r="F141" s="1048"/>
      <c r="G141" s="1048"/>
      <c r="H141" s="1048"/>
      <c r="I141" s="1048"/>
      <c r="J141" s="1048"/>
      <c r="K141" s="1048"/>
      <c r="L141" s="1048"/>
      <c r="M141" s="1048"/>
      <c r="N141" s="1048"/>
      <c r="O141" s="1048"/>
      <c r="P141" s="1048"/>
      <c r="Q141" s="1048"/>
      <c r="R141" s="1048"/>
    </row>
    <row r="142" spans="1:18" x14ac:dyDescent="0.25">
      <c r="A142" s="1048"/>
      <c r="B142" s="1048"/>
      <c r="C142" s="1048"/>
      <c r="D142" s="1048"/>
      <c r="E142" s="1048"/>
      <c r="F142" s="1048"/>
      <c r="G142" s="1048"/>
      <c r="H142" s="1048"/>
      <c r="I142" s="1048"/>
      <c r="J142" s="1048"/>
      <c r="K142" s="1048"/>
      <c r="L142" s="1048"/>
      <c r="M142" s="1048"/>
      <c r="N142" s="1048"/>
      <c r="O142" s="1048"/>
      <c r="P142" s="1048"/>
      <c r="Q142" s="1048"/>
      <c r="R142" s="1048"/>
    </row>
    <row r="143" spans="1:18" x14ac:dyDescent="0.25">
      <c r="A143" s="1048"/>
      <c r="B143" s="1048"/>
      <c r="C143" s="1048"/>
      <c r="D143" s="1048"/>
      <c r="E143" s="1048"/>
      <c r="F143" s="1048"/>
      <c r="G143" s="1048"/>
      <c r="H143" s="1048"/>
      <c r="I143" s="1048"/>
      <c r="J143" s="1048"/>
      <c r="K143" s="1048"/>
      <c r="L143" s="1048"/>
      <c r="M143" s="1048"/>
      <c r="N143" s="1048"/>
      <c r="O143" s="1048"/>
      <c r="P143" s="1048"/>
      <c r="Q143" s="1048"/>
      <c r="R143" s="1048"/>
    </row>
    <row r="144" spans="1:18" x14ac:dyDescent="0.25">
      <c r="A144" s="1048"/>
      <c r="B144" s="1048"/>
      <c r="C144" s="1048"/>
      <c r="D144" s="1048"/>
      <c r="E144" s="1048"/>
      <c r="F144" s="1048"/>
      <c r="G144" s="1048"/>
      <c r="H144" s="1048"/>
      <c r="I144" s="1048"/>
      <c r="J144" s="1048"/>
      <c r="K144" s="1048"/>
      <c r="L144" s="1048"/>
      <c r="M144" s="1048"/>
      <c r="N144" s="1048"/>
      <c r="O144" s="1048"/>
      <c r="P144" s="1048"/>
      <c r="Q144" s="1048"/>
      <c r="R144" s="1048"/>
    </row>
    <row r="145" spans="1:18" x14ac:dyDescent="0.25">
      <c r="A145" s="1048"/>
      <c r="B145" s="1048"/>
      <c r="C145" s="1048"/>
      <c r="D145" s="1048"/>
      <c r="E145" s="1048"/>
      <c r="F145" s="1048"/>
      <c r="G145" s="1048"/>
      <c r="H145" s="1048"/>
      <c r="I145" s="1048"/>
      <c r="J145" s="1048"/>
      <c r="K145" s="1048"/>
      <c r="L145" s="1048"/>
      <c r="M145" s="1048"/>
      <c r="N145" s="1048"/>
      <c r="O145" s="1048"/>
      <c r="P145" s="1048"/>
      <c r="Q145" s="1048"/>
      <c r="R145" s="1048"/>
    </row>
    <row r="146" spans="1:18" x14ac:dyDescent="0.25">
      <c r="A146" s="1048"/>
      <c r="B146" s="1048"/>
      <c r="C146" s="1048"/>
      <c r="D146" s="1048"/>
      <c r="E146" s="1048"/>
      <c r="F146" s="1048"/>
      <c r="G146" s="1048"/>
      <c r="H146" s="1048"/>
      <c r="I146" s="1048"/>
      <c r="J146" s="1048"/>
      <c r="K146" s="1048"/>
      <c r="L146" s="1048"/>
      <c r="M146" s="1048"/>
      <c r="N146" s="1048"/>
      <c r="O146" s="1048"/>
      <c r="P146" s="1048"/>
      <c r="Q146" s="1048"/>
      <c r="R146" s="1048"/>
    </row>
    <row r="147" spans="1:18" x14ac:dyDescent="0.25">
      <c r="A147" s="1048"/>
      <c r="B147" s="1048"/>
      <c r="C147" s="1048"/>
      <c r="D147" s="1048"/>
      <c r="E147" s="1048"/>
      <c r="F147" s="1048"/>
      <c r="G147" s="1048"/>
      <c r="H147" s="1048"/>
      <c r="I147" s="1048"/>
      <c r="J147" s="1048"/>
      <c r="K147" s="1048"/>
      <c r="L147" s="1048"/>
      <c r="M147" s="1048"/>
      <c r="N147" s="1048"/>
      <c r="O147" s="1048"/>
      <c r="P147" s="1048"/>
      <c r="Q147" s="1048"/>
      <c r="R147" s="1048"/>
    </row>
    <row r="148" spans="1:18" x14ac:dyDescent="0.25">
      <c r="A148" s="1048"/>
      <c r="B148" s="1048"/>
      <c r="C148" s="1048"/>
      <c r="D148" s="1048"/>
      <c r="E148" s="1048"/>
      <c r="F148" s="1048"/>
      <c r="G148" s="1048"/>
      <c r="H148" s="1048"/>
      <c r="I148" s="1048"/>
      <c r="J148" s="1048"/>
      <c r="K148" s="1048"/>
      <c r="L148" s="1048"/>
      <c r="M148" s="1048"/>
      <c r="N148" s="1048"/>
      <c r="O148" s="1048"/>
      <c r="P148" s="1048"/>
      <c r="Q148" s="1048"/>
      <c r="R148" s="1048"/>
    </row>
    <row r="149" spans="1:18" x14ac:dyDescent="0.25">
      <c r="A149" s="1048"/>
      <c r="B149" s="1048"/>
      <c r="C149" s="1048"/>
      <c r="D149" s="1048"/>
      <c r="E149" s="1048"/>
      <c r="F149" s="1048"/>
      <c r="G149" s="1048"/>
      <c r="H149" s="1048"/>
      <c r="I149" s="1048"/>
      <c r="J149" s="1048"/>
      <c r="K149" s="1048"/>
      <c r="L149" s="1048"/>
      <c r="M149" s="1048"/>
      <c r="N149" s="1048"/>
      <c r="O149" s="1048"/>
      <c r="P149" s="1048"/>
      <c r="Q149" s="1048"/>
      <c r="R149" s="1048"/>
    </row>
    <row r="150" spans="1:18" x14ac:dyDescent="0.25">
      <c r="A150" s="1048"/>
      <c r="B150" s="1048"/>
      <c r="C150" s="1048"/>
      <c r="D150" s="1048"/>
      <c r="E150" s="1048"/>
      <c r="F150" s="1048"/>
      <c r="G150" s="1048"/>
      <c r="H150" s="1048"/>
      <c r="I150" s="1048"/>
      <c r="J150" s="1048"/>
      <c r="K150" s="1048"/>
      <c r="L150" s="1048"/>
      <c r="M150" s="1048"/>
      <c r="N150" s="1048"/>
      <c r="O150" s="1048"/>
      <c r="P150" s="1048"/>
      <c r="Q150" s="1048"/>
      <c r="R150" s="1048"/>
    </row>
    <row r="151" spans="1:18" x14ac:dyDescent="0.25">
      <c r="A151" s="1048"/>
      <c r="B151" s="1048"/>
      <c r="C151" s="1048"/>
      <c r="D151" s="1048"/>
      <c r="E151" s="1048"/>
      <c r="F151" s="1048"/>
      <c r="G151" s="1048"/>
      <c r="H151" s="1048"/>
      <c r="I151" s="1048"/>
      <c r="J151" s="1048"/>
      <c r="K151" s="1048"/>
      <c r="L151" s="1048"/>
      <c r="M151" s="1048"/>
      <c r="N151" s="1048"/>
      <c r="O151" s="1048"/>
      <c r="P151" s="1048"/>
      <c r="Q151" s="1048"/>
      <c r="R151" s="1048"/>
    </row>
    <row r="152" spans="1:18" x14ac:dyDescent="0.25">
      <c r="A152" s="1048"/>
      <c r="B152" s="1048"/>
      <c r="C152" s="1048"/>
      <c r="D152" s="1048"/>
      <c r="E152" s="1048"/>
      <c r="F152" s="1048"/>
      <c r="G152" s="1048"/>
      <c r="H152" s="1048"/>
      <c r="I152" s="1048"/>
      <c r="J152" s="1048"/>
      <c r="K152" s="1048"/>
      <c r="L152" s="1048"/>
      <c r="M152" s="1048"/>
      <c r="N152" s="1048"/>
      <c r="O152" s="1048"/>
      <c r="P152" s="1048"/>
      <c r="Q152" s="1048"/>
      <c r="R152" s="1048"/>
    </row>
    <row r="153" spans="1:18" x14ac:dyDescent="0.25">
      <c r="A153" s="1048"/>
      <c r="B153" s="1048"/>
      <c r="C153" s="1048"/>
      <c r="D153" s="1048"/>
      <c r="E153" s="1048"/>
      <c r="F153" s="1048"/>
      <c r="G153" s="1048"/>
      <c r="H153" s="1048"/>
      <c r="I153" s="1048"/>
      <c r="J153" s="1048"/>
      <c r="K153" s="1048"/>
      <c r="L153" s="1048"/>
      <c r="M153" s="1048"/>
      <c r="N153" s="1048"/>
      <c r="O153" s="1048"/>
      <c r="P153" s="1048"/>
      <c r="Q153" s="1048"/>
      <c r="R153" s="1048"/>
    </row>
    <row r="154" spans="1:18" x14ac:dyDescent="0.25">
      <c r="A154" s="1048"/>
      <c r="B154" s="1048"/>
      <c r="C154" s="1048"/>
      <c r="D154" s="1048"/>
      <c r="E154" s="1048"/>
      <c r="F154" s="1048"/>
      <c r="G154" s="1048"/>
      <c r="H154" s="1048"/>
      <c r="I154" s="1048"/>
      <c r="J154" s="1048"/>
      <c r="K154" s="1048"/>
      <c r="L154" s="1048"/>
      <c r="M154" s="1048"/>
      <c r="N154" s="1048"/>
      <c r="O154" s="1048"/>
      <c r="P154" s="1048"/>
      <c r="Q154" s="1048"/>
      <c r="R154" s="1048"/>
    </row>
    <row r="155" spans="1:18" x14ac:dyDescent="0.25">
      <c r="A155" s="1048"/>
      <c r="B155" s="1048"/>
      <c r="C155" s="1048"/>
      <c r="D155" s="1048"/>
      <c r="E155" s="1048"/>
      <c r="F155" s="1048"/>
      <c r="G155" s="1048"/>
      <c r="H155" s="1048"/>
      <c r="I155" s="1048"/>
      <c r="J155" s="1048"/>
      <c r="K155" s="1048"/>
      <c r="L155" s="1048"/>
      <c r="M155" s="1048"/>
      <c r="N155" s="1048"/>
      <c r="O155" s="1048"/>
      <c r="P155" s="1048"/>
      <c r="Q155" s="1048"/>
      <c r="R155" s="1048"/>
    </row>
    <row r="156" spans="1:18" x14ac:dyDescent="0.25">
      <c r="A156" s="1048"/>
      <c r="B156" s="1048"/>
      <c r="C156" s="1048"/>
      <c r="D156" s="1048"/>
      <c r="E156" s="1048"/>
      <c r="F156" s="1048"/>
      <c r="G156" s="1048"/>
      <c r="H156" s="1048"/>
      <c r="I156" s="1048"/>
      <c r="J156" s="1048"/>
      <c r="K156" s="1048"/>
      <c r="L156" s="1048"/>
      <c r="M156" s="1048"/>
      <c r="N156" s="1048"/>
      <c r="O156" s="1048"/>
      <c r="P156" s="1048"/>
      <c r="Q156" s="1048"/>
      <c r="R156" s="1048"/>
    </row>
    <row r="157" spans="1:18" x14ac:dyDescent="0.25">
      <c r="A157" s="1048"/>
      <c r="B157" s="1048"/>
      <c r="C157" s="1048"/>
      <c r="D157" s="1048"/>
      <c r="E157" s="1048"/>
      <c r="F157" s="1048"/>
      <c r="G157" s="1048"/>
      <c r="H157" s="1048"/>
      <c r="I157" s="1048"/>
      <c r="J157" s="1048"/>
      <c r="K157" s="1048"/>
      <c r="L157" s="1048"/>
      <c r="M157" s="1048"/>
      <c r="N157" s="1048"/>
      <c r="O157" s="1048"/>
      <c r="P157" s="1048"/>
      <c r="Q157" s="1048"/>
      <c r="R157" s="1048"/>
    </row>
    <row r="158" spans="1:18" x14ac:dyDescent="0.25">
      <c r="A158" s="1048"/>
      <c r="B158" s="1048"/>
      <c r="C158" s="1048"/>
      <c r="D158" s="1048"/>
      <c r="E158" s="1048"/>
      <c r="F158" s="1048"/>
      <c r="G158" s="1048"/>
      <c r="H158" s="1048"/>
      <c r="I158" s="1048"/>
      <c r="J158" s="1048"/>
      <c r="K158" s="1048"/>
      <c r="L158" s="1048"/>
      <c r="M158" s="1048"/>
      <c r="N158" s="1048"/>
      <c r="O158" s="1048"/>
      <c r="P158" s="1048"/>
      <c r="Q158" s="1048"/>
      <c r="R158" s="1048"/>
    </row>
    <row r="159" spans="1:18" x14ac:dyDescent="0.25">
      <c r="A159" s="1048"/>
      <c r="B159" s="1048"/>
      <c r="C159" s="1048"/>
      <c r="D159" s="1048"/>
      <c r="E159" s="1048"/>
      <c r="F159" s="1048"/>
      <c r="G159" s="1048"/>
      <c r="H159" s="1048"/>
      <c r="I159" s="1048"/>
      <c r="J159" s="1048"/>
      <c r="K159" s="1048"/>
      <c r="L159" s="1048"/>
      <c r="M159" s="1048"/>
      <c r="N159" s="1048"/>
      <c r="O159" s="1048"/>
      <c r="P159" s="1048"/>
      <c r="Q159" s="1048"/>
      <c r="R159" s="1048"/>
    </row>
    <row r="160" spans="1:18" x14ac:dyDescent="0.25">
      <c r="A160" s="1048"/>
      <c r="B160" s="1048"/>
      <c r="C160" s="1048"/>
      <c r="D160" s="1048"/>
      <c r="E160" s="1048"/>
      <c r="F160" s="1048"/>
      <c r="G160" s="1048"/>
      <c r="H160" s="1048"/>
      <c r="I160" s="1048"/>
      <c r="J160" s="1048"/>
      <c r="K160" s="1048"/>
      <c r="L160" s="1048"/>
      <c r="M160" s="1048"/>
      <c r="N160" s="1048"/>
      <c r="O160" s="1048"/>
      <c r="P160" s="1048"/>
      <c r="Q160" s="1048"/>
      <c r="R160" s="1048"/>
    </row>
    <row r="161" spans="1:18" x14ac:dyDescent="0.25">
      <c r="A161" s="1048"/>
      <c r="B161" s="1048"/>
      <c r="C161" s="1048"/>
      <c r="D161" s="1048"/>
      <c r="E161" s="1048"/>
      <c r="F161" s="1048"/>
      <c r="G161" s="1048"/>
      <c r="H161" s="1048"/>
      <c r="I161" s="1048"/>
      <c r="J161" s="1048"/>
      <c r="K161" s="1048"/>
      <c r="L161" s="1048"/>
      <c r="M161" s="1048"/>
      <c r="N161" s="1048"/>
      <c r="O161" s="1048"/>
      <c r="P161" s="1048"/>
      <c r="Q161" s="1048"/>
      <c r="R161" s="1048"/>
    </row>
    <row r="162" spans="1:18" x14ac:dyDescent="0.25">
      <c r="A162" s="1048"/>
      <c r="B162" s="1048"/>
      <c r="C162" s="1048"/>
      <c r="D162" s="1048"/>
      <c r="E162" s="1048"/>
      <c r="F162" s="1048"/>
      <c r="G162" s="1048"/>
      <c r="H162" s="1048"/>
      <c r="I162" s="1048"/>
      <c r="J162" s="1048"/>
      <c r="K162" s="1048"/>
      <c r="L162" s="1048"/>
      <c r="M162" s="1048"/>
      <c r="N162" s="1048"/>
      <c r="O162" s="1048"/>
      <c r="P162" s="1048"/>
      <c r="Q162" s="1048"/>
      <c r="R162" s="1048"/>
    </row>
    <row r="163" spans="1:18" x14ac:dyDescent="0.25">
      <c r="A163" s="1048"/>
      <c r="B163" s="1048"/>
      <c r="C163" s="1048"/>
      <c r="D163" s="1048"/>
      <c r="E163" s="1048"/>
      <c r="F163" s="1048"/>
      <c r="G163" s="1048"/>
      <c r="H163" s="1048"/>
      <c r="I163" s="1048"/>
      <c r="J163" s="1048"/>
      <c r="K163" s="1048"/>
      <c r="L163" s="1048"/>
      <c r="M163" s="1048"/>
      <c r="N163" s="1048"/>
      <c r="O163" s="1048"/>
      <c r="P163" s="1048"/>
      <c r="Q163" s="1048"/>
      <c r="R163" s="1048"/>
    </row>
    <row r="164" spans="1:18" x14ac:dyDescent="0.25">
      <c r="A164" s="1048"/>
      <c r="B164" s="1048"/>
      <c r="C164" s="1048"/>
      <c r="D164" s="1048"/>
      <c r="E164" s="1048"/>
      <c r="F164" s="1048"/>
      <c r="G164" s="1048"/>
      <c r="H164" s="1048"/>
      <c r="I164" s="1048"/>
      <c r="J164" s="1048"/>
      <c r="K164" s="1048"/>
      <c r="L164" s="1048"/>
      <c r="M164" s="1048"/>
      <c r="N164" s="1048"/>
      <c r="O164" s="1048"/>
      <c r="P164" s="1048"/>
      <c r="Q164" s="1048"/>
      <c r="R164" s="1048"/>
    </row>
    <row r="165" spans="1:18" x14ac:dyDescent="0.25">
      <c r="A165" s="1048"/>
      <c r="B165" s="1048"/>
      <c r="C165" s="1048"/>
      <c r="D165" s="1048"/>
      <c r="E165" s="1048"/>
      <c r="F165" s="1048"/>
      <c r="G165" s="1048"/>
      <c r="H165" s="1048"/>
      <c r="I165" s="1048"/>
      <c r="J165" s="1048"/>
      <c r="K165" s="1048"/>
      <c r="L165" s="1048"/>
      <c r="M165" s="1048"/>
      <c r="N165" s="1048"/>
      <c r="O165" s="1048"/>
      <c r="P165" s="1048"/>
      <c r="Q165" s="1048"/>
      <c r="R165" s="1048"/>
    </row>
    <row r="166" spans="1:18" x14ac:dyDescent="0.25">
      <c r="A166" s="1048"/>
      <c r="B166" s="1048"/>
      <c r="C166" s="1048"/>
      <c r="D166" s="1048"/>
      <c r="E166" s="1048"/>
      <c r="F166" s="1048"/>
      <c r="G166" s="1048"/>
      <c r="H166" s="1048"/>
      <c r="I166" s="1048"/>
      <c r="J166" s="1048"/>
      <c r="K166" s="1048"/>
      <c r="L166" s="1048"/>
      <c r="M166" s="1048"/>
      <c r="N166" s="1048"/>
      <c r="O166" s="1048"/>
      <c r="P166" s="1048"/>
      <c r="Q166" s="1048"/>
      <c r="R166" s="1048"/>
    </row>
    <row r="167" spans="1:18" x14ac:dyDescent="0.25">
      <c r="A167" s="1048"/>
      <c r="B167" s="1048"/>
      <c r="C167" s="1048"/>
      <c r="D167" s="1048"/>
      <c r="E167" s="1048"/>
      <c r="F167" s="1048"/>
      <c r="G167" s="1048"/>
      <c r="H167" s="1048"/>
      <c r="I167" s="1048"/>
      <c r="J167" s="1048"/>
      <c r="K167" s="1048"/>
      <c r="L167" s="1048"/>
      <c r="M167" s="1048"/>
      <c r="N167" s="1048"/>
      <c r="O167" s="1048"/>
      <c r="P167" s="1048"/>
      <c r="Q167" s="1048"/>
      <c r="R167" s="1048"/>
    </row>
    <row r="168" spans="1:18" x14ac:dyDescent="0.25">
      <c r="A168" s="1048"/>
      <c r="B168" s="1048"/>
      <c r="C168" s="1048"/>
      <c r="D168" s="1048"/>
      <c r="E168" s="1048"/>
      <c r="F168" s="1048"/>
      <c r="G168" s="1048"/>
      <c r="H168" s="1048"/>
      <c r="I168" s="1048"/>
      <c r="J168" s="1048"/>
      <c r="K168" s="1048"/>
      <c r="L168" s="1048"/>
      <c r="M168" s="1048"/>
      <c r="N168" s="1048"/>
      <c r="O168" s="1048"/>
      <c r="P168" s="1048"/>
      <c r="Q168" s="1048"/>
      <c r="R168" s="1048"/>
    </row>
    <row r="169" spans="1:18" x14ac:dyDescent="0.25">
      <c r="A169" s="1048"/>
      <c r="B169" s="1048"/>
      <c r="C169" s="1048"/>
      <c r="D169" s="1048"/>
      <c r="E169" s="1048"/>
      <c r="F169" s="1048"/>
      <c r="G169" s="1048"/>
      <c r="H169" s="1048"/>
      <c r="I169" s="1048"/>
      <c r="J169" s="1048"/>
      <c r="K169" s="1048"/>
      <c r="L169" s="1048"/>
      <c r="M169" s="1048"/>
      <c r="N169" s="1048"/>
      <c r="O169" s="1048"/>
      <c r="P169" s="1048"/>
      <c r="Q169" s="1048"/>
      <c r="R169" s="1048"/>
    </row>
    <row r="170" spans="1:18" x14ac:dyDescent="0.25">
      <c r="A170" s="1048"/>
      <c r="B170" s="1048"/>
      <c r="C170" s="1048"/>
      <c r="D170" s="1048"/>
      <c r="E170" s="1048"/>
      <c r="F170" s="1048"/>
      <c r="G170" s="1048"/>
      <c r="H170" s="1048"/>
      <c r="I170" s="1048"/>
      <c r="J170" s="1048"/>
      <c r="K170" s="1048"/>
      <c r="L170" s="1048"/>
      <c r="M170" s="1048"/>
      <c r="N170" s="1048"/>
      <c r="O170" s="1048"/>
      <c r="P170" s="1048"/>
      <c r="Q170" s="1048"/>
      <c r="R170" s="1048"/>
    </row>
    <row r="171" spans="1:18" x14ac:dyDescent="0.25">
      <c r="A171" s="1048"/>
      <c r="B171" s="1048"/>
      <c r="C171" s="1048"/>
      <c r="D171" s="1048"/>
      <c r="E171" s="1048"/>
      <c r="F171" s="1048"/>
      <c r="G171" s="1048"/>
      <c r="H171" s="1048"/>
      <c r="I171" s="1048"/>
      <c r="J171" s="1048"/>
      <c r="K171" s="1048"/>
      <c r="L171" s="1048"/>
      <c r="M171" s="1048"/>
      <c r="N171" s="1048"/>
      <c r="O171" s="1048"/>
      <c r="P171" s="1048"/>
      <c r="Q171" s="1048"/>
      <c r="R171" s="1048"/>
    </row>
    <row r="172" spans="1:18" x14ac:dyDescent="0.25">
      <c r="A172" s="1048"/>
      <c r="B172" s="1048"/>
      <c r="C172" s="1048"/>
      <c r="D172" s="1048"/>
      <c r="E172" s="1048"/>
      <c r="F172" s="1048"/>
      <c r="G172" s="1048"/>
      <c r="H172" s="1048"/>
      <c r="I172" s="1048"/>
      <c r="J172" s="1048"/>
      <c r="K172" s="1048"/>
      <c r="L172" s="1048"/>
      <c r="M172" s="1048"/>
      <c r="N172" s="1048"/>
      <c r="O172" s="1048"/>
      <c r="P172" s="1048"/>
      <c r="Q172" s="1048"/>
      <c r="R172" s="1048"/>
    </row>
    <row r="173" spans="1:18" x14ac:dyDescent="0.25">
      <c r="A173" s="1048"/>
      <c r="B173" s="1048"/>
      <c r="C173" s="1048"/>
      <c r="D173" s="1048"/>
      <c r="E173" s="1048"/>
      <c r="F173" s="1048"/>
      <c r="G173" s="1048"/>
      <c r="H173" s="1048"/>
      <c r="I173" s="1048"/>
      <c r="J173" s="1048"/>
      <c r="K173" s="1048"/>
      <c r="L173" s="1048"/>
      <c r="M173" s="1048"/>
      <c r="N173" s="1048"/>
      <c r="O173" s="1048"/>
      <c r="P173" s="1048"/>
      <c r="Q173" s="1048"/>
      <c r="R173" s="1048"/>
    </row>
    <row r="174" spans="1:18" x14ac:dyDescent="0.25">
      <c r="A174" s="1048"/>
      <c r="B174" s="1048"/>
      <c r="C174" s="1048"/>
      <c r="D174" s="1048"/>
      <c r="E174" s="1048"/>
      <c r="F174" s="1048"/>
      <c r="G174" s="1048"/>
      <c r="H174" s="1048"/>
      <c r="I174" s="1048"/>
      <c r="J174" s="1048"/>
      <c r="K174" s="1048"/>
      <c r="L174" s="1048"/>
      <c r="M174" s="1048"/>
      <c r="N174" s="1048"/>
      <c r="O174" s="1048"/>
      <c r="P174" s="1048"/>
      <c r="Q174" s="1048"/>
      <c r="R174" s="1048"/>
    </row>
    <row r="175" spans="1:18" x14ac:dyDescent="0.25">
      <c r="A175" s="1048"/>
      <c r="B175" s="1048"/>
      <c r="C175" s="1048"/>
      <c r="D175" s="1048"/>
      <c r="E175" s="1048"/>
      <c r="F175" s="1048"/>
      <c r="G175" s="1048"/>
      <c r="H175" s="1048"/>
      <c r="I175" s="1048"/>
      <c r="J175" s="1048"/>
      <c r="K175" s="1048"/>
      <c r="L175" s="1048"/>
      <c r="M175" s="1048"/>
      <c r="N175" s="1048"/>
      <c r="O175" s="1048"/>
      <c r="P175" s="1048"/>
      <c r="Q175" s="1048"/>
      <c r="R175" s="1048"/>
    </row>
    <row r="176" spans="1:18" x14ac:dyDescent="0.25">
      <c r="A176" s="1048"/>
      <c r="B176" s="1048"/>
      <c r="C176" s="1048"/>
      <c r="D176" s="1048"/>
      <c r="E176" s="1048"/>
      <c r="F176" s="1048"/>
      <c r="G176" s="1048"/>
      <c r="H176" s="1048"/>
      <c r="I176" s="1048"/>
      <c r="J176" s="1048"/>
      <c r="K176" s="1048"/>
      <c r="L176" s="1048"/>
      <c r="M176" s="1048"/>
      <c r="N176" s="1048"/>
      <c r="O176" s="1048"/>
      <c r="P176" s="1048"/>
      <c r="Q176" s="1048"/>
      <c r="R176" s="1048"/>
    </row>
    <row r="177" spans="1:18" x14ac:dyDescent="0.25">
      <c r="A177" s="1048"/>
      <c r="B177" s="1048"/>
      <c r="C177" s="1048"/>
      <c r="D177" s="1048"/>
      <c r="E177" s="1048"/>
      <c r="F177" s="1048"/>
      <c r="G177" s="1048"/>
      <c r="H177" s="1048"/>
      <c r="I177" s="1048"/>
      <c r="J177" s="1048"/>
      <c r="K177" s="1048"/>
      <c r="L177" s="1048"/>
      <c r="M177" s="1048"/>
      <c r="N177" s="1048"/>
      <c r="O177" s="1048"/>
      <c r="P177" s="1048"/>
      <c r="Q177" s="1048"/>
      <c r="R177" s="1048"/>
    </row>
    <row r="178" spans="1:18" x14ac:dyDescent="0.25">
      <c r="A178" s="1048"/>
      <c r="B178" s="1048"/>
      <c r="C178" s="1048"/>
      <c r="D178" s="1048"/>
      <c r="E178" s="1048"/>
      <c r="F178" s="1048"/>
      <c r="G178" s="1048"/>
      <c r="H178" s="1048"/>
      <c r="I178" s="1048"/>
      <c r="J178" s="1048"/>
      <c r="K178" s="1048"/>
      <c r="L178" s="1048"/>
      <c r="M178" s="1048"/>
      <c r="N178" s="1048"/>
      <c r="O178" s="1048"/>
      <c r="P178" s="1048"/>
      <c r="Q178" s="1048"/>
      <c r="R178" s="1048"/>
    </row>
    <row r="179" spans="1:18" x14ac:dyDescent="0.25">
      <c r="A179" s="1048"/>
      <c r="B179" s="1048"/>
      <c r="C179" s="1048"/>
      <c r="D179" s="1048"/>
      <c r="E179" s="1048"/>
      <c r="F179" s="1048"/>
      <c r="G179" s="1048"/>
      <c r="H179" s="1048"/>
      <c r="I179" s="1048"/>
      <c r="J179" s="1048"/>
      <c r="K179" s="1048"/>
      <c r="L179" s="1048"/>
      <c r="M179" s="1048"/>
      <c r="N179" s="1048"/>
      <c r="O179" s="1048"/>
      <c r="P179" s="1048"/>
      <c r="Q179" s="1048"/>
      <c r="R179" s="1048"/>
    </row>
    <row r="180" spans="1:18" x14ac:dyDescent="0.25">
      <c r="A180" s="1048"/>
      <c r="B180" s="1048"/>
      <c r="C180" s="1048"/>
      <c r="D180" s="1048"/>
      <c r="E180" s="1048"/>
      <c r="F180" s="1048"/>
      <c r="G180" s="1048"/>
      <c r="H180" s="1048"/>
      <c r="I180" s="1048"/>
      <c r="J180" s="1048"/>
      <c r="K180" s="1048"/>
      <c r="L180" s="1048"/>
      <c r="M180" s="1048"/>
      <c r="N180" s="1048"/>
      <c r="O180" s="1048"/>
      <c r="P180" s="1048"/>
      <c r="Q180" s="1048"/>
      <c r="R180" s="1048"/>
    </row>
    <row r="181" spans="1:18" x14ac:dyDescent="0.25">
      <c r="A181" s="1048"/>
      <c r="B181" s="1048"/>
      <c r="C181" s="1048"/>
      <c r="D181" s="1048"/>
      <c r="E181" s="1048"/>
      <c r="F181" s="1048"/>
      <c r="G181" s="1048"/>
      <c r="H181" s="1048"/>
      <c r="I181" s="1048"/>
      <c r="J181" s="1048"/>
      <c r="K181" s="1048"/>
      <c r="L181" s="1048"/>
      <c r="M181" s="1048"/>
      <c r="N181" s="1048"/>
      <c r="O181" s="1048"/>
      <c r="P181" s="1048"/>
      <c r="Q181" s="1048"/>
      <c r="R181" s="1048"/>
    </row>
    <row r="182" spans="1:18" x14ac:dyDescent="0.25">
      <c r="A182" s="1048"/>
      <c r="B182" s="1048"/>
      <c r="C182" s="1048"/>
      <c r="D182" s="1048"/>
      <c r="E182" s="1048"/>
      <c r="F182" s="1048"/>
      <c r="G182" s="1048"/>
      <c r="H182" s="1048"/>
      <c r="I182" s="1048"/>
      <c r="J182" s="1048"/>
      <c r="K182" s="1048"/>
      <c r="L182" s="1048"/>
      <c r="M182" s="1048"/>
      <c r="N182" s="1048"/>
      <c r="O182" s="1048"/>
      <c r="P182" s="1048"/>
      <c r="Q182" s="1048"/>
      <c r="R182" s="1048"/>
    </row>
    <row r="183" spans="1:18" x14ac:dyDescent="0.25">
      <c r="A183" s="1048"/>
      <c r="B183" s="1048"/>
      <c r="C183" s="1048"/>
      <c r="D183" s="1048"/>
      <c r="E183" s="1048"/>
      <c r="F183" s="1048"/>
      <c r="G183" s="1048"/>
      <c r="H183" s="1048"/>
      <c r="I183" s="1048"/>
      <c r="J183" s="1048"/>
      <c r="K183" s="1048"/>
      <c r="L183" s="1048"/>
      <c r="M183" s="1048"/>
      <c r="N183" s="1048"/>
      <c r="O183" s="1048"/>
      <c r="P183" s="1048"/>
      <c r="Q183" s="1048"/>
      <c r="R183" s="1048"/>
    </row>
    <row r="184" spans="1:18" x14ac:dyDescent="0.25">
      <c r="A184" s="1048"/>
      <c r="B184" s="1048"/>
      <c r="C184" s="1048"/>
      <c r="D184" s="1048"/>
      <c r="E184" s="1048"/>
      <c r="F184" s="1048"/>
      <c r="G184" s="1048"/>
      <c r="H184" s="1048"/>
      <c r="I184" s="1048"/>
      <c r="J184" s="1048"/>
      <c r="K184" s="1048"/>
      <c r="L184" s="1048"/>
      <c r="M184" s="1048"/>
      <c r="N184" s="1048"/>
      <c r="O184" s="1048"/>
      <c r="P184" s="1048"/>
      <c r="Q184" s="1048"/>
      <c r="R184" s="1048"/>
    </row>
    <row r="185" spans="1:18" x14ac:dyDescent="0.25">
      <c r="A185" s="1048"/>
      <c r="B185" s="1048"/>
      <c r="C185" s="1048"/>
      <c r="D185" s="1048"/>
      <c r="E185" s="1048"/>
      <c r="F185" s="1048"/>
      <c r="G185" s="1048"/>
      <c r="H185" s="1048"/>
      <c r="I185" s="1048"/>
      <c r="J185" s="1048"/>
      <c r="K185" s="1048"/>
      <c r="L185" s="1048"/>
      <c r="M185" s="1048"/>
      <c r="N185" s="1048"/>
      <c r="O185" s="1048"/>
      <c r="P185" s="1048"/>
      <c r="Q185" s="1048"/>
      <c r="R185" s="1048"/>
    </row>
    <row r="186" spans="1:18" x14ac:dyDescent="0.25">
      <c r="A186" s="1048"/>
      <c r="B186" s="1048"/>
      <c r="C186" s="1048"/>
      <c r="D186" s="1048"/>
      <c r="E186" s="1048"/>
      <c r="F186" s="1048"/>
      <c r="G186" s="1048"/>
      <c r="H186" s="1048"/>
      <c r="I186" s="1048"/>
      <c r="J186" s="1048"/>
      <c r="K186" s="1048"/>
      <c r="L186" s="1048"/>
      <c r="M186" s="1048"/>
      <c r="N186" s="1048"/>
      <c r="O186" s="1048"/>
      <c r="P186" s="1048"/>
      <c r="Q186" s="1048"/>
      <c r="R186" s="1048"/>
    </row>
    <row r="187" spans="1:18" x14ac:dyDescent="0.25">
      <c r="A187" s="1048"/>
      <c r="B187" s="1048"/>
      <c r="C187" s="1048"/>
      <c r="D187" s="1048"/>
      <c r="E187" s="1048"/>
      <c r="F187" s="1048"/>
      <c r="G187" s="1048"/>
      <c r="H187" s="1048"/>
      <c r="I187" s="1048"/>
      <c r="J187" s="1048"/>
      <c r="K187" s="1048"/>
      <c r="L187" s="1048"/>
      <c r="M187" s="1048"/>
      <c r="N187" s="1048"/>
      <c r="O187" s="1048"/>
      <c r="P187" s="1048"/>
      <c r="Q187" s="1048"/>
      <c r="R187" s="1048"/>
    </row>
    <row r="188" spans="1:18" x14ac:dyDescent="0.25">
      <c r="A188" s="1048"/>
      <c r="B188" s="1048"/>
      <c r="C188" s="1048"/>
      <c r="D188" s="1048"/>
      <c r="E188" s="1048"/>
      <c r="F188" s="1048"/>
      <c r="G188" s="1048"/>
      <c r="H188" s="1048"/>
      <c r="I188" s="1048"/>
      <c r="J188" s="1048"/>
      <c r="K188" s="1048"/>
      <c r="L188" s="1048"/>
      <c r="M188" s="1048"/>
      <c r="N188" s="1048"/>
      <c r="O188" s="1048"/>
      <c r="P188" s="1048"/>
      <c r="Q188" s="1048"/>
      <c r="R188" s="1048"/>
    </row>
  </sheetData>
  <sheetProtection password="C518" sheet="1" objects="1" scenarios="1"/>
  <mergeCells count="24">
    <mergeCell ref="E45:F49"/>
    <mergeCell ref="G46:L49"/>
    <mergeCell ref="N46:O49"/>
    <mergeCell ref="P46:P49"/>
    <mergeCell ref="E35:F39"/>
    <mergeCell ref="G36:L39"/>
    <mergeCell ref="N36:O39"/>
    <mergeCell ref="P36:P39"/>
    <mergeCell ref="E40:F44"/>
    <mergeCell ref="G41:L44"/>
    <mergeCell ref="N41:O44"/>
    <mergeCell ref="P41:P44"/>
    <mergeCell ref="E30:F34"/>
    <mergeCell ref="G31:L34"/>
    <mergeCell ref="N31:O34"/>
    <mergeCell ref="P31:P34"/>
    <mergeCell ref="C27:F29"/>
    <mergeCell ref="B2:Q5"/>
    <mergeCell ref="B12:Q13"/>
    <mergeCell ref="B15:Q20"/>
    <mergeCell ref="B23:Q24"/>
    <mergeCell ref="G27:M29"/>
    <mergeCell ref="N27:O29"/>
    <mergeCell ref="P27:P29"/>
  </mergeCells>
  <conditionalFormatting sqref="N14">
    <cfRule type="containsText" dxfId="628" priority="1" operator="containsText" text="Complété">
      <formula>NOT(ISERROR(SEARCH("Complété",N14)))</formula>
    </cfRule>
    <cfRule type="containsText" dxfId="627" priority="2" operator="containsText" text="À compléter">
      <formula>NOT(ISERROR(SEARCH("À compléter",N14)))</formula>
    </cfRule>
  </conditionalFormatting>
  <pageMargins left="0.70866141732283472" right="0.51181102362204722" top="0.74803149606299213" bottom="0.74803149606299213" header="0.31496062992125984" footer="0.31496062992125984"/>
  <pageSetup scale="56" fitToHeight="0" orientation="landscape" r:id="rId1"/>
  <headerFooter>
    <oddFooter>&amp;L&amp;10Version 1.0   © CERIU2023&amp;R&amp;10Onglet INTRODUCTION
Page &amp;P de &amp;N</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499984740745262"/>
    <pageSetUpPr fitToPage="1"/>
  </sheetPr>
  <dimension ref="B1:CF144"/>
  <sheetViews>
    <sheetView showGridLines="0" zoomScaleNormal="100" workbookViewId="0"/>
  </sheetViews>
  <sheetFormatPr baseColWidth="10" defaultRowHeight="15" x14ac:dyDescent="0.25"/>
  <cols>
    <col min="1" max="1" width="4.5703125" style="28" customWidth="1"/>
    <col min="2" max="2" width="2.7109375" style="28" customWidth="1"/>
    <col min="3" max="3" width="2" style="28" customWidth="1"/>
    <col min="4" max="4" width="18.140625" style="28" customWidth="1"/>
    <col min="5" max="5" width="4.7109375" style="28" customWidth="1"/>
    <col min="6" max="6" width="3" style="28" customWidth="1"/>
    <col min="7" max="7" width="0.7109375" style="28" customWidth="1"/>
    <col min="8" max="8" width="3" style="28" customWidth="1"/>
    <col min="9" max="9" width="0.7109375" style="28" customWidth="1"/>
    <col min="10" max="10" width="3" style="28" customWidth="1"/>
    <col min="11" max="11" width="0.7109375" style="28" customWidth="1"/>
    <col min="12" max="12" width="3" style="28" customWidth="1"/>
    <col min="13" max="13" width="0.7109375" style="28" customWidth="1"/>
    <col min="14" max="14" width="3" style="28" customWidth="1"/>
    <col min="15" max="15" width="0.7109375" style="28" customWidth="1"/>
    <col min="16" max="16" width="3" style="28" customWidth="1"/>
    <col min="17" max="17" width="0.7109375" style="28" customWidth="1"/>
    <col min="18" max="18" width="3" style="28" customWidth="1"/>
    <col min="19" max="19" width="2.28515625" style="28" customWidth="1"/>
    <col min="20" max="20" width="3" style="28" customWidth="1"/>
    <col min="21" max="21" width="6.42578125" style="28" customWidth="1"/>
    <col min="22" max="22" width="3" style="28" customWidth="1"/>
    <col min="23" max="23" width="0.7109375" style="28" customWidth="1"/>
    <col min="24" max="24" width="3" style="28" customWidth="1"/>
    <col min="25" max="25" width="0.7109375" style="28" customWidth="1"/>
    <col min="26" max="26" width="3" style="28" customWidth="1"/>
    <col min="27" max="27" width="0.7109375" style="28" customWidth="1"/>
    <col min="28" max="28" width="3" style="28" customWidth="1"/>
    <col min="29" max="29" width="0.7109375" style="28" customWidth="1"/>
    <col min="30" max="30" width="3" style="28" customWidth="1"/>
    <col min="31" max="31" width="0.85546875" style="28" customWidth="1"/>
    <col min="32" max="32" width="3" style="28" customWidth="1"/>
    <col min="33" max="33" width="0.7109375" style="28" customWidth="1"/>
    <col min="34" max="34" width="3" style="28" customWidth="1"/>
    <col min="35" max="35" width="2.28515625" style="28" customWidth="1"/>
    <col min="36" max="36" width="3" style="28" customWidth="1"/>
    <col min="37" max="37" width="1.28515625" style="28" customWidth="1"/>
    <col min="38" max="38" width="2.7109375" style="28" customWidth="1"/>
    <col min="39" max="39" width="1.85546875" style="28" customWidth="1"/>
    <col min="40" max="40" width="2.140625" style="28" customWidth="1"/>
    <col min="41" max="41" width="1.7109375" style="28" customWidth="1"/>
    <col min="42" max="42" width="2" style="28" customWidth="1"/>
    <col min="43" max="43" width="2.7109375" style="28" customWidth="1"/>
    <col min="44" max="44" width="5.140625" style="28" customWidth="1"/>
    <col min="45" max="45" width="7" style="28" customWidth="1"/>
    <col min="46" max="46" width="6.5703125" style="28" customWidth="1"/>
    <col min="47" max="47" width="4.7109375" style="28" customWidth="1"/>
    <col min="48" max="48" width="3" style="28" customWidth="1"/>
    <col min="49" max="49" width="0.7109375" style="28" customWidth="1"/>
    <col min="50" max="50" width="3" style="28" customWidth="1"/>
    <col min="51" max="51" width="0.7109375" style="28" customWidth="1"/>
    <col min="52" max="52" width="3" style="28" customWidth="1"/>
    <col min="53" max="53" width="0.7109375" style="28" customWidth="1"/>
    <col min="54" max="54" width="3" style="28" customWidth="1"/>
    <col min="55" max="55" width="0.7109375" style="28" customWidth="1"/>
    <col min="56" max="56" width="3" style="28" customWidth="1"/>
    <col min="57" max="57" width="0.7109375" style="28" customWidth="1"/>
    <col min="58" max="58" width="3" style="28" customWidth="1"/>
    <col min="59" max="59" width="0.7109375" style="28" customWidth="1"/>
    <col min="60" max="60" width="3" style="28" customWidth="1"/>
    <col min="61" max="61" width="2.28515625" style="28" customWidth="1"/>
    <col min="62" max="62" width="3" style="28" customWidth="1"/>
    <col min="63" max="63" width="5.42578125" style="28" customWidth="1"/>
    <col min="64" max="64" width="3" style="28" customWidth="1"/>
    <col min="65" max="65" width="0.7109375" style="28" customWidth="1"/>
    <col min="66" max="66" width="3" style="28" customWidth="1"/>
    <col min="67" max="67" width="0.7109375" style="28" customWidth="1"/>
    <col min="68" max="68" width="3" style="28" customWidth="1"/>
    <col min="69" max="69" width="0.7109375" style="28" customWidth="1"/>
    <col min="70" max="70" width="3" style="28" customWidth="1"/>
    <col min="71" max="71" width="0.7109375" style="28" customWidth="1"/>
    <col min="72" max="72" width="3" style="28" customWidth="1"/>
    <col min="73" max="73" width="0.85546875" style="28" customWidth="1"/>
    <col min="74" max="74" width="3" style="28" customWidth="1"/>
    <col min="75" max="75" width="0.7109375" style="28" customWidth="1"/>
    <col min="76" max="76" width="3" style="28" customWidth="1"/>
    <col min="77" max="77" width="2.28515625" style="28" customWidth="1"/>
    <col min="78" max="78" width="3" style="28" customWidth="1"/>
    <col min="79" max="79" width="1.28515625" style="28" customWidth="1"/>
    <col min="80" max="80" width="3.28515625" style="28" customWidth="1"/>
    <col min="81" max="81" width="2.85546875" style="28" customWidth="1"/>
    <col min="82" max="82" width="2.5703125" style="28" customWidth="1"/>
    <col min="83" max="83" width="1.7109375" style="28" customWidth="1"/>
    <col min="84" max="84" width="65.28515625" style="28" customWidth="1"/>
    <col min="85" max="16384" width="11.42578125" style="28"/>
  </cols>
  <sheetData>
    <row r="1" spans="2:83" ht="7.5" customHeight="1" x14ac:dyDescent="0.25"/>
    <row r="2" spans="2:83" ht="26.25" customHeight="1" x14ac:dyDescent="0.35">
      <c r="B2" s="1895"/>
      <c r="C2" s="1896" t="str">
        <f>CONCATENATE('CALCULS Eaux usées'!D8,'CALCULS Eaux usées'!G8)</f>
        <v xml:space="preserve">MUNICIPALITÉ:  </v>
      </c>
      <c r="D2" s="1897"/>
      <c r="E2" s="1898"/>
      <c r="F2" s="1898"/>
      <c r="G2" s="1898"/>
      <c r="H2" s="1898"/>
      <c r="I2" s="1898"/>
      <c r="J2" s="1898"/>
      <c r="K2" s="1898"/>
      <c r="L2" s="1898"/>
      <c r="M2" s="1898"/>
      <c r="N2" s="1898"/>
      <c r="O2" s="1898"/>
      <c r="P2" s="1898"/>
      <c r="Q2" s="1898"/>
      <c r="R2" s="1898"/>
      <c r="S2" s="1898"/>
      <c r="T2" s="1898"/>
      <c r="U2" s="1898"/>
      <c r="V2" s="1899"/>
      <c r="W2" s="1899"/>
      <c r="X2" s="1899"/>
      <c r="Y2" s="1899"/>
      <c r="Z2" s="3412" t="s">
        <v>11</v>
      </c>
      <c r="AA2" s="3412"/>
      <c r="AB2" s="3412"/>
      <c r="AC2" s="3412"/>
      <c r="AD2" s="3412"/>
      <c r="AE2" s="3412"/>
      <c r="AF2" s="3412"/>
      <c r="AG2" s="3412"/>
      <c r="AH2" s="3412"/>
      <c r="AI2" s="3412"/>
      <c r="AJ2" s="3412"/>
      <c r="AK2" s="3412"/>
      <c r="AL2" s="3412"/>
      <c r="AM2" s="3412"/>
      <c r="AN2" s="3412"/>
      <c r="AO2" s="3412"/>
      <c r="AP2" s="3412"/>
      <c r="AQ2" s="3412"/>
      <c r="AR2" s="3412"/>
      <c r="AS2" s="3412"/>
      <c r="AT2" s="3412"/>
      <c r="AU2" s="3412"/>
      <c r="AV2" s="3412"/>
      <c r="AW2" s="3412"/>
      <c r="AX2" s="3412"/>
      <c r="AY2" s="1899"/>
      <c r="AZ2" s="1899"/>
      <c r="BA2" s="1899"/>
      <c r="BB2" s="1899"/>
      <c r="BC2" s="1899"/>
      <c r="BD2" s="1899"/>
      <c r="BE2" s="1899"/>
      <c r="BF2" s="1899"/>
      <c r="BG2" s="1899"/>
      <c r="BH2" s="1899"/>
      <c r="BI2" s="1899"/>
      <c r="BJ2" s="1899"/>
      <c r="BK2" s="1899"/>
      <c r="BL2" s="1899"/>
      <c r="BM2" s="1899"/>
      <c r="BN2" s="1899"/>
      <c r="BO2" s="1899"/>
      <c r="BP2" s="1899"/>
      <c r="BQ2" s="1899"/>
      <c r="BR2" s="1899"/>
      <c r="BS2" s="1899"/>
      <c r="BT2" s="1899"/>
      <c r="BU2" s="1899"/>
      <c r="BV2" s="1899"/>
      <c r="BW2" s="1899"/>
      <c r="BX2" s="1899"/>
      <c r="BY2" s="1898"/>
      <c r="BZ2" s="1898"/>
      <c r="CA2" s="1899"/>
      <c r="CB2" s="1899"/>
      <c r="CC2" s="1900" t="str">
        <f>CONCATENATE('CALCULS Eaux usées'!D11,'CALCULS Eaux usées'!G11)</f>
        <v xml:space="preserve">ANNÉE DU PGA:  </v>
      </c>
      <c r="CD2" s="1899"/>
      <c r="CE2" s="33"/>
    </row>
    <row r="3" spans="2:83" ht="15.75" customHeight="1" x14ac:dyDescent="0.35">
      <c r="B3" s="1895"/>
      <c r="C3" s="1901" t="str">
        <f>CONCATENATE('CALCULS Eaux usées'!D10,'CALCULS Eaux usées'!G10)</f>
        <v xml:space="preserve">RÉGION ADMINISTRATIVE:  </v>
      </c>
      <c r="D3" s="1897"/>
      <c r="E3" s="1898"/>
      <c r="F3" s="1898"/>
      <c r="G3" s="1898"/>
      <c r="H3" s="1898"/>
      <c r="I3" s="1898"/>
      <c r="J3" s="1898"/>
      <c r="K3" s="1898"/>
      <c r="L3" s="1898"/>
      <c r="M3" s="1898"/>
      <c r="N3" s="1898"/>
      <c r="O3" s="1898"/>
      <c r="P3" s="1898"/>
      <c r="Q3" s="1898"/>
      <c r="R3" s="1898"/>
      <c r="S3" s="1898"/>
      <c r="T3" s="1898"/>
      <c r="U3" s="1898"/>
      <c r="V3" s="3415" t="str">
        <f>IF((IDENTIFICATION!G93='MENU DÉROULANT'!C10),"SERVICE DES EAUX USÉES &amp; PLUVIALES - SOMMAIRE PGA","SERVICE DES EAUX USÉES - SOMMAIRE PGA")</f>
        <v>SERVICE DES EAUX USÉES - SOMMAIRE PGA</v>
      </c>
      <c r="W3" s="3415"/>
      <c r="X3" s="3415"/>
      <c r="Y3" s="3415"/>
      <c r="Z3" s="3415"/>
      <c r="AA3" s="3415"/>
      <c r="AB3" s="3415"/>
      <c r="AC3" s="3415"/>
      <c r="AD3" s="3415"/>
      <c r="AE3" s="3415"/>
      <c r="AF3" s="3415"/>
      <c r="AG3" s="3415"/>
      <c r="AH3" s="3415"/>
      <c r="AI3" s="3415"/>
      <c r="AJ3" s="3415"/>
      <c r="AK3" s="3415"/>
      <c r="AL3" s="3415"/>
      <c r="AM3" s="3415"/>
      <c r="AN3" s="3415"/>
      <c r="AO3" s="3415"/>
      <c r="AP3" s="3415"/>
      <c r="AQ3" s="3415"/>
      <c r="AR3" s="3415"/>
      <c r="AS3" s="3415"/>
      <c r="AT3" s="3415"/>
      <c r="AU3" s="3415"/>
      <c r="AV3" s="3415"/>
      <c r="AW3" s="3415"/>
      <c r="AX3" s="3415"/>
      <c r="AY3" s="3415"/>
      <c r="AZ3" s="3415"/>
      <c r="BA3" s="3415"/>
      <c r="BB3" s="3415"/>
      <c r="BC3" s="1899"/>
      <c r="BD3" s="1899"/>
      <c r="BE3" s="1899"/>
      <c r="BF3" s="1899"/>
      <c r="BG3" s="1899"/>
      <c r="BH3" s="1899"/>
      <c r="BI3" s="1899"/>
      <c r="BJ3" s="1899"/>
      <c r="BK3" s="1899"/>
      <c r="BL3" s="1899"/>
      <c r="BM3" s="1899"/>
      <c r="BN3" s="1899"/>
      <c r="BO3" s="1899"/>
      <c r="BP3" s="1899"/>
      <c r="BQ3" s="1899"/>
      <c r="BR3" s="1899"/>
      <c r="BS3" s="1899"/>
      <c r="BT3" s="1899"/>
      <c r="BU3" s="1899"/>
      <c r="BV3" s="1899"/>
      <c r="BW3" s="1899"/>
      <c r="BX3" s="1899"/>
      <c r="BY3" s="1898"/>
      <c r="BZ3" s="1898"/>
      <c r="CA3" s="1899"/>
      <c r="CB3" s="1899"/>
      <c r="CC3" s="1902" t="str">
        <f>CONCATENATE('CALCULS Eaux usées'!G12,'CALCULS Eaux usées'!H12,'CALCULS Eaux usées'!I12)</f>
        <v>( PGA remis par la municipalité)</v>
      </c>
      <c r="CD3" s="1899"/>
      <c r="CE3" s="33"/>
    </row>
    <row r="4" spans="2:83" ht="22.5" customHeight="1" x14ac:dyDescent="0.25">
      <c r="B4" s="1895"/>
      <c r="C4" s="1901" t="str">
        <f>CONCATENATE('CALCULS Eaux usées'!D9,'CALCULS Eaux usées'!G9)</f>
        <v xml:space="preserve">CODE GÉOGRAPHIQUE:  </v>
      </c>
      <c r="D4" s="1897"/>
      <c r="E4" s="1898"/>
      <c r="F4" s="1898"/>
      <c r="G4" s="1898"/>
      <c r="H4" s="1898"/>
      <c r="I4" s="1898"/>
      <c r="J4" s="1898"/>
      <c r="K4" s="1898"/>
      <c r="L4" s="1898"/>
      <c r="M4" s="1898"/>
      <c r="N4" s="1898"/>
      <c r="O4" s="1898"/>
      <c r="P4" s="1898"/>
      <c r="Q4" s="1898"/>
      <c r="R4" s="1898"/>
      <c r="S4" s="1898"/>
      <c r="T4" s="1898"/>
      <c r="U4" s="1898"/>
      <c r="V4" s="3415"/>
      <c r="W4" s="3415"/>
      <c r="X4" s="3415"/>
      <c r="Y4" s="3415"/>
      <c r="Z4" s="3415"/>
      <c r="AA4" s="3415"/>
      <c r="AB4" s="3415"/>
      <c r="AC4" s="3415"/>
      <c r="AD4" s="3415"/>
      <c r="AE4" s="3415"/>
      <c r="AF4" s="3415"/>
      <c r="AG4" s="3415"/>
      <c r="AH4" s="3415"/>
      <c r="AI4" s="3415"/>
      <c r="AJ4" s="3415"/>
      <c r="AK4" s="3415"/>
      <c r="AL4" s="3415"/>
      <c r="AM4" s="3415"/>
      <c r="AN4" s="3415"/>
      <c r="AO4" s="3415"/>
      <c r="AP4" s="3415"/>
      <c r="AQ4" s="3415"/>
      <c r="AR4" s="3415"/>
      <c r="AS4" s="3415"/>
      <c r="AT4" s="3415"/>
      <c r="AU4" s="3415"/>
      <c r="AV4" s="3415"/>
      <c r="AW4" s="3415"/>
      <c r="AX4" s="3415"/>
      <c r="AY4" s="3415"/>
      <c r="AZ4" s="3415"/>
      <c r="BA4" s="3415"/>
      <c r="BB4" s="3415"/>
      <c r="BC4" s="1903"/>
      <c r="BD4" s="1903"/>
      <c r="BE4" s="1903"/>
      <c r="BF4" s="1903"/>
      <c r="BG4" s="1903"/>
      <c r="BH4" s="1903"/>
      <c r="BI4" s="1903"/>
      <c r="BJ4" s="1903"/>
      <c r="BK4" s="1903"/>
      <c r="BL4" s="1903"/>
      <c r="BM4" s="1903"/>
      <c r="BN4" s="1903"/>
      <c r="BO4" s="1903"/>
      <c r="BP4" s="1903"/>
      <c r="BQ4" s="1903"/>
      <c r="BR4" s="1903"/>
      <c r="BS4" s="1903"/>
      <c r="BT4" s="1903"/>
      <c r="BU4" s="1903"/>
      <c r="BV4" s="1903"/>
      <c r="BW4" s="1903"/>
      <c r="BX4" s="1904" t="str">
        <f>'CALCULS Eaux usées'!D13</f>
        <v>DATE DE COMPLÉTION DU FORMULAIRE:</v>
      </c>
      <c r="BY4" s="3413" t="str">
        <f>'CALCULS Eaux usées'!G13</f>
        <v/>
      </c>
      <c r="BZ4" s="3413"/>
      <c r="CA4" s="3413"/>
      <c r="CB4" s="3413"/>
      <c r="CC4" s="3413"/>
      <c r="CD4" s="1903"/>
      <c r="CE4" s="35"/>
    </row>
    <row r="5" spans="2:83" ht="6.75" customHeight="1" x14ac:dyDescent="0.25">
      <c r="B5" s="1895"/>
      <c r="C5" s="1901"/>
      <c r="D5" s="1897"/>
      <c r="E5" s="1898"/>
      <c r="F5" s="1898"/>
      <c r="G5" s="1898"/>
      <c r="H5" s="1898"/>
      <c r="I5" s="1898"/>
      <c r="J5" s="1898"/>
      <c r="K5" s="1898"/>
      <c r="L5" s="1898"/>
      <c r="M5" s="1898"/>
      <c r="N5" s="1898"/>
      <c r="O5" s="1898"/>
      <c r="P5" s="1898"/>
      <c r="Q5" s="1898"/>
      <c r="R5" s="1898"/>
      <c r="S5" s="1898"/>
      <c r="T5" s="1898"/>
      <c r="U5" s="1898"/>
      <c r="V5" s="1903"/>
      <c r="W5" s="1903"/>
      <c r="X5" s="1903"/>
      <c r="Y5" s="1903"/>
      <c r="Z5" s="1905"/>
      <c r="AA5" s="1905"/>
      <c r="AB5" s="1905"/>
      <c r="AC5" s="1905"/>
      <c r="AD5" s="1905"/>
      <c r="AE5" s="1905"/>
      <c r="AF5" s="1905"/>
      <c r="AG5" s="1905"/>
      <c r="AH5" s="1905"/>
      <c r="AI5" s="1905"/>
      <c r="AJ5" s="1905"/>
      <c r="AK5" s="1905"/>
      <c r="AL5" s="1905"/>
      <c r="AM5" s="1905"/>
      <c r="AN5" s="1905"/>
      <c r="AO5" s="1905"/>
      <c r="AP5" s="1905"/>
      <c r="AQ5" s="1905"/>
      <c r="AR5" s="1905"/>
      <c r="AS5" s="1905"/>
      <c r="AT5" s="1905"/>
      <c r="AU5" s="1905"/>
      <c r="AV5" s="1905"/>
      <c r="AW5" s="1905"/>
      <c r="AX5" s="1905"/>
      <c r="AY5" s="1903"/>
      <c r="AZ5" s="1903"/>
      <c r="BA5" s="1903"/>
      <c r="BB5" s="1903"/>
      <c r="BC5" s="1903"/>
      <c r="BD5" s="1903"/>
      <c r="BE5" s="1903"/>
      <c r="BF5" s="1903"/>
      <c r="BG5" s="1903"/>
      <c r="BH5" s="1903"/>
      <c r="BI5" s="1903"/>
      <c r="BJ5" s="1903"/>
      <c r="BK5" s="1903"/>
      <c r="BL5" s="1903"/>
      <c r="BM5" s="1903"/>
      <c r="BN5" s="1903"/>
      <c r="BO5" s="1903"/>
      <c r="BP5" s="1903"/>
      <c r="BQ5" s="1903"/>
      <c r="BR5" s="1903"/>
      <c r="BS5" s="1903"/>
      <c r="BT5" s="1903"/>
      <c r="BU5" s="1903"/>
      <c r="BV5" s="1903"/>
      <c r="BW5" s="1903"/>
      <c r="BX5" s="1903"/>
      <c r="BY5" s="1898"/>
      <c r="BZ5" s="1898"/>
      <c r="CA5" s="1903"/>
      <c r="CB5" s="1903"/>
      <c r="CC5" s="1904"/>
      <c r="CD5" s="1903"/>
      <c r="CE5" s="35"/>
    </row>
    <row r="6" spans="2:83" ht="21.75" customHeight="1" x14ac:dyDescent="0.25">
      <c r="B6" s="2723" t="str">
        <f>IF((IDENTIFICATION!G93='MENU DÉROULANT'!C10),"Note: La municipalité a fait le choix d'intégrer sa gestion des infrastructures d'eaux pluviales avec celles des eaux usées. Le terme Eaux usées utilisé dans cet onglet réfère donc à Eaux usées &amp; pluviales.","")</f>
        <v/>
      </c>
      <c r="C6" s="599"/>
      <c r="BR6" s="3385" t="s">
        <v>2149</v>
      </c>
      <c r="BS6" s="3385"/>
      <c r="BT6" s="3385"/>
      <c r="BU6" s="3385"/>
      <c r="BV6" s="3385"/>
      <c r="BW6" s="3385"/>
      <c r="BX6" s="3385"/>
      <c r="BY6" s="3385"/>
      <c r="BZ6" s="3385"/>
      <c r="CA6" s="3385"/>
      <c r="CB6" s="3385"/>
      <c r="CC6" s="3385"/>
      <c r="CD6" s="3385"/>
    </row>
    <row r="7" spans="2:83" ht="16.5" customHeight="1" x14ac:dyDescent="0.25"/>
    <row r="8" spans="2:83" ht="22.5" customHeight="1" x14ac:dyDescent="0.25">
      <c r="B8" s="1890"/>
      <c r="C8" s="1891" t="s">
        <v>24</v>
      </c>
      <c r="D8" s="1892"/>
      <c r="E8" s="1892"/>
      <c r="F8" s="1892"/>
      <c r="G8" s="1892"/>
      <c r="H8" s="1892"/>
      <c r="I8" s="1892"/>
      <c r="J8" s="1892"/>
      <c r="K8" s="1892"/>
      <c r="L8" s="1892"/>
      <c r="M8" s="1892"/>
      <c r="N8" s="1892"/>
      <c r="O8" s="1892"/>
      <c r="P8" s="1892"/>
      <c r="Q8" s="1892"/>
      <c r="R8" s="1892"/>
      <c r="S8" s="1892"/>
      <c r="T8" s="1892"/>
      <c r="U8" s="1892"/>
      <c r="V8" s="1892"/>
      <c r="W8" s="1892"/>
      <c r="X8" s="1892"/>
      <c r="Y8" s="1892"/>
      <c r="Z8" s="1892"/>
      <c r="AA8" s="1892"/>
      <c r="AB8" s="1892"/>
      <c r="AC8" s="1892"/>
      <c r="AD8" s="1892"/>
      <c r="AE8" s="1892"/>
      <c r="AF8" s="1892"/>
      <c r="AG8" s="1892"/>
      <c r="AH8" s="1892"/>
      <c r="AI8" s="1892"/>
      <c r="AJ8" s="1892"/>
      <c r="AK8" s="1892"/>
      <c r="AL8" s="1892"/>
      <c r="AM8" s="1892"/>
      <c r="AN8" s="1892"/>
      <c r="AO8" s="1892"/>
      <c r="AP8" s="1892"/>
      <c r="AQ8" s="1893"/>
      <c r="AR8" s="1893"/>
      <c r="AS8" s="1892"/>
      <c r="AT8" s="1892"/>
      <c r="AU8" s="1892"/>
      <c r="AV8" s="1892"/>
      <c r="AW8" s="1892"/>
      <c r="AX8" s="1892"/>
      <c r="AY8" s="1892"/>
      <c r="AZ8" s="1892"/>
      <c r="BA8" s="1892"/>
      <c r="BB8" s="1892"/>
      <c r="BC8" s="1892"/>
      <c r="BD8" s="1892"/>
      <c r="BE8" s="1892"/>
      <c r="BF8" s="1892"/>
      <c r="BG8" s="1892"/>
      <c r="BH8" s="1892"/>
      <c r="BI8" s="1892"/>
      <c r="BJ8" s="1892"/>
      <c r="BK8" s="1892"/>
      <c r="BL8" s="1892"/>
      <c r="BM8" s="1892"/>
      <c r="BN8" s="1892"/>
      <c r="BO8" s="1892"/>
      <c r="BP8" s="1892"/>
      <c r="BQ8" s="1892"/>
      <c r="BR8" s="1892"/>
      <c r="BS8" s="1892"/>
      <c r="BT8" s="1892"/>
      <c r="BU8" s="1892"/>
      <c r="BV8" s="1892"/>
      <c r="BW8" s="1892"/>
      <c r="BX8" s="1892"/>
      <c r="BY8" s="1890"/>
      <c r="BZ8" s="1894"/>
      <c r="CA8" s="1890"/>
      <c r="CB8" s="3414"/>
      <c r="CC8" s="3414"/>
      <c r="CD8" s="1892"/>
    </row>
    <row r="9" spans="2:83" ht="6.75" customHeight="1" x14ac:dyDescent="0.25"/>
    <row r="10" spans="2:83" ht="12" customHeight="1" x14ac:dyDescent="0.25">
      <c r="B10" s="2009"/>
      <c r="C10" s="2011"/>
      <c r="D10" s="2011"/>
      <c r="E10" s="2011"/>
      <c r="F10" s="2011"/>
      <c r="G10" s="2011"/>
      <c r="H10" s="2011"/>
      <c r="I10" s="2011"/>
      <c r="J10" s="2011"/>
      <c r="K10" s="2011"/>
      <c r="L10" s="2011"/>
      <c r="M10" s="2011"/>
      <c r="N10" s="2011"/>
      <c r="O10" s="2011"/>
      <c r="P10" s="2011"/>
      <c r="Q10" s="2011"/>
      <c r="R10" s="2011"/>
      <c r="S10" s="2011"/>
      <c r="T10" s="2011"/>
      <c r="U10" s="2011"/>
      <c r="V10" s="2011"/>
      <c r="W10" s="2011"/>
      <c r="X10" s="2011"/>
      <c r="Y10" s="2011"/>
      <c r="Z10" s="2011"/>
      <c r="AA10" s="2011"/>
      <c r="AB10" s="2011"/>
      <c r="AC10" s="2011"/>
      <c r="AD10" s="2011"/>
      <c r="AE10" s="2011"/>
      <c r="AF10" s="2011"/>
      <c r="AG10" s="2011"/>
      <c r="AH10" s="2011"/>
      <c r="AI10" s="2011"/>
      <c r="AJ10" s="2011"/>
      <c r="AK10" s="2011"/>
      <c r="AL10" s="2011"/>
      <c r="AM10" s="2011"/>
      <c r="AN10" s="2011"/>
      <c r="AO10" s="2011"/>
      <c r="AP10" s="2011"/>
      <c r="AQ10" s="2011"/>
      <c r="AR10" s="2011"/>
      <c r="AS10" s="2011"/>
      <c r="AT10" s="2011"/>
      <c r="AU10" s="2011"/>
      <c r="AV10" s="2011"/>
      <c r="AW10" s="2011"/>
      <c r="AX10" s="2011"/>
      <c r="AY10" s="2011"/>
      <c r="AZ10" s="2011"/>
      <c r="BA10" s="2011"/>
      <c r="BB10" s="2011"/>
      <c r="BC10" s="2011"/>
      <c r="BD10" s="2011"/>
      <c r="BE10" s="2011"/>
      <c r="BF10" s="2011"/>
      <c r="BG10" s="2011"/>
      <c r="BH10" s="2011"/>
      <c r="BI10" s="2011"/>
      <c r="BJ10" s="2011"/>
      <c r="BK10" s="2011"/>
      <c r="BL10" s="2011"/>
      <c r="BM10" s="2011"/>
      <c r="BN10" s="2011"/>
      <c r="BO10" s="2011"/>
      <c r="BP10" s="2011"/>
      <c r="BQ10" s="2011"/>
      <c r="BR10" s="2011"/>
      <c r="BS10" s="2011"/>
      <c r="BT10" s="2011"/>
      <c r="BU10" s="2011"/>
      <c r="BV10" s="2011"/>
      <c r="BW10" s="2011"/>
      <c r="BX10" s="2011"/>
      <c r="BY10" s="2011"/>
      <c r="BZ10" s="2011"/>
      <c r="CA10" s="2011"/>
      <c r="CB10" s="2011"/>
      <c r="CC10" s="2011"/>
      <c r="CD10" s="2012"/>
      <c r="CE10" s="43"/>
    </row>
    <row r="11" spans="2:83" ht="9" customHeight="1" x14ac:dyDescent="0.25">
      <c r="B11" s="2007"/>
      <c r="C11" s="45"/>
      <c r="D11" s="46"/>
      <c r="E11" s="46"/>
      <c r="F11" s="46"/>
      <c r="G11" s="46"/>
      <c r="H11" s="46"/>
      <c r="I11" s="46"/>
      <c r="J11" s="46"/>
      <c r="K11" s="46"/>
      <c r="L11" s="46"/>
      <c r="M11" s="46"/>
      <c r="N11" s="46"/>
      <c r="O11" s="46"/>
      <c r="P11" s="46"/>
      <c r="Q11" s="46"/>
      <c r="R11" s="46"/>
      <c r="S11" s="46"/>
      <c r="T11" s="46"/>
      <c r="U11" s="46"/>
      <c r="V11" s="46"/>
      <c r="W11" s="111"/>
      <c r="X11" s="111"/>
      <c r="Y11" s="111"/>
      <c r="Z11" s="111"/>
      <c r="AA11" s="112"/>
      <c r="AB11" s="2013"/>
      <c r="AC11" s="45"/>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7"/>
      <c r="CD11" s="2020"/>
      <c r="CE11" s="43"/>
    </row>
    <row r="12" spans="2:83" ht="21.75" customHeight="1" x14ac:dyDescent="0.3">
      <c r="B12" s="2007"/>
      <c r="C12" s="50"/>
      <c r="D12" s="51" t="s">
        <v>1830</v>
      </c>
      <c r="E12" s="52"/>
      <c r="F12" s="52"/>
      <c r="G12" s="53"/>
      <c r="H12" s="54"/>
      <c r="I12" s="53"/>
      <c r="J12" s="24"/>
      <c r="K12" s="53"/>
      <c r="L12" s="25"/>
      <c r="M12" s="53"/>
      <c r="N12" s="25"/>
      <c r="O12" s="53"/>
      <c r="P12" s="25"/>
      <c r="Q12" s="53"/>
      <c r="R12" s="25"/>
      <c r="S12" s="25"/>
      <c r="T12" s="55"/>
      <c r="V12" s="52"/>
      <c r="W12" s="53"/>
      <c r="X12" s="3323">
        <f>'CALCULS Eaux usées'!J30</f>
        <v>0</v>
      </c>
      <c r="Y12" s="3323"/>
      <c r="Z12" s="3323"/>
      <c r="AA12" s="995"/>
      <c r="AB12" s="2014"/>
      <c r="AC12" s="56"/>
      <c r="AD12" s="57" t="s">
        <v>51</v>
      </c>
      <c r="AE12" s="53"/>
      <c r="AF12" s="52"/>
      <c r="AG12" s="52"/>
      <c r="AH12" s="52"/>
      <c r="AI12" s="25"/>
      <c r="AJ12" s="58"/>
      <c r="AK12" s="52"/>
      <c r="AL12" s="52"/>
      <c r="AM12" s="52"/>
      <c r="AN12" s="59"/>
      <c r="AO12" s="59"/>
      <c r="AP12" s="59"/>
      <c r="AQ12" s="1163"/>
      <c r="AR12" s="1163"/>
      <c r="AS12" s="52"/>
      <c r="AT12" s="52"/>
      <c r="AU12" s="52"/>
      <c r="AV12" s="53"/>
      <c r="AW12" s="54"/>
      <c r="AX12" s="53"/>
      <c r="AY12" s="24"/>
      <c r="AZ12" s="53"/>
      <c r="BA12" s="25"/>
      <c r="BB12" s="53"/>
      <c r="BC12" s="25"/>
      <c r="BD12" s="53"/>
      <c r="BE12" s="25"/>
      <c r="BF12" s="53"/>
      <c r="BG12" s="25"/>
      <c r="BH12" s="25"/>
      <c r="BI12" s="58"/>
      <c r="BJ12" s="60"/>
      <c r="BK12" s="52"/>
      <c r="BL12" s="53"/>
      <c r="BM12" s="54"/>
      <c r="BN12" s="53"/>
      <c r="BO12" s="24"/>
      <c r="BP12" s="53"/>
      <c r="BQ12" s="25"/>
      <c r="BR12" s="53"/>
      <c r="BS12" s="25"/>
      <c r="BT12" s="53"/>
      <c r="BU12" s="52"/>
      <c r="BV12" s="52"/>
      <c r="BW12" s="52"/>
      <c r="BX12" s="25"/>
      <c r="BY12" s="58"/>
      <c r="BZ12" s="52"/>
      <c r="CA12" s="52"/>
      <c r="CB12" s="52"/>
      <c r="CC12" s="61"/>
      <c r="CD12" s="2020"/>
      <c r="CE12" s="43"/>
    </row>
    <row r="13" spans="2:83" ht="18" customHeight="1" x14ac:dyDescent="0.3">
      <c r="B13" s="2007"/>
      <c r="C13" s="50"/>
      <c r="D13" s="62"/>
      <c r="E13" s="52"/>
      <c r="F13" s="52"/>
      <c r="G13" s="53"/>
      <c r="H13" s="54"/>
      <c r="I13" s="53"/>
      <c r="J13" s="24"/>
      <c r="K13" s="53"/>
      <c r="L13" s="25"/>
      <c r="M13" s="53"/>
      <c r="N13" s="25"/>
      <c r="O13" s="53"/>
      <c r="P13" s="25"/>
      <c r="Q13" s="53"/>
      <c r="R13" s="25"/>
      <c r="S13" s="25"/>
      <c r="T13" s="58"/>
      <c r="U13" s="60"/>
      <c r="V13" s="52"/>
      <c r="W13" s="53"/>
      <c r="X13" s="54"/>
      <c r="Y13" s="53"/>
      <c r="Z13" s="24"/>
      <c r="AA13" s="996"/>
      <c r="AB13" s="2014"/>
      <c r="AC13" s="56"/>
      <c r="AD13" s="994"/>
      <c r="AE13" s="1916" t="s">
        <v>2043</v>
      </c>
      <c r="AF13" s="1925"/>
      <c r="AG13" s="1925"/>
      <c r="AH13" s="1925"/>
      <c r="AI13" s="1926"/>
      <c r="AJ13" s="1927"/>
      <c r="AK13" s="1925"/>
      <c r="AL13" s="1925"/>
      <c r="AM13" s="1925"/>
      <c r="AN13" s="1928"/>
      <c r="AO13" s="1928"/>
      <c r="AP13" s="1928"/>
      <c r="AQ13" s="1929"/>
      <c r="AR13" s="1929"/>
      <c r="AS13" s="1925"/>
      <c r="AT13" s="1925"/>
      <c r="AU13" s="1925"/>
      <c r="AV13" s="1930"/>
      <c r="AW13" s="1931"/>
      <c r="AX13" s="2559" t="str">
        <f>IF(('FORMULAIRE PGA Eaux usées'!$H$81='MENU DÉROULANT'!$C$41),"(Aucun actif)","")</f>
        <v/>
      </c>
      <c r="AY13" s="1932"/>
      <c r="AZ13" s="53"/>
      <c r="BA13" s="1916" t="s">
        <v>2044</v>
      </c>
      <c r="BB13" s="1930"/>
      <c r="BC13" s="1926"/>
      <c r="BD13" s="1930"/>
      <c r="BE13" s="1926"/>
      <c r="BF13" s="1930"/>
      <c r="BG13" s="1926"/>
      <c r="BH13" s="1926"/>
      <c r="BI13" s="1927"/>
      <c r="BJ13" s="1933"/>
      <c r="BK13" s="1925"/>
      <c r="BL13" s="1930"/>
      <c r="BM13" s="1931"/>
      <c r="BN13" s="1930"/>
      <c r="BO13" s="1934"/>
      <c r="BP13" s="1930"/>
      <c r="BQ13" s="1926"/>
      <c r="BR13" s="1930"/>
      <c r="BS13" s="1926"/>
      <c r="BT13" s="1930"/>
      <c r="BU13" s="1925"/>
      <c r="BV13" s="1925"/>
      <c r="BW13" s="1925"/>
      <c r="BX13" s="1926"/>
      <c r="BY13" s="1927"/>
      <c r="BZ13" s="1925"/>
      <c r="CA13" s="2559" t="str">
        <f>IF(('FORMULAIRE PGA Eaux usées'!$H$120='MENU DÉROULANT'!$F$41),"(Aucun actif)","")</f>
        <v/>
      </c>
      <c r="CB13" s="1935"/>
      <c r="CC13" s="61"/>
      <c r="CD13" s="2020"/>
      <c r="CE13" s="43"/>
    </row>
    <row r="14" spans="2:83" ht="11.25" customHeight="1" x14ac:dyDescent="0.3">
      <c r="B14" s="2007"/>
      <c r="C14" s="50"/>
      <c r="D14" s="62"/>
      <c r="E14" s="52"/>
      <c r="F14" s="52"/>
      <c r="G14" s="53"/>
      <c r="H14" s="54"/>
      <c r="I14" s="53"/>
      <c r="J14" s="24"/>
      <c r="K14" s="53"/>
      <c r="L14" s="25"/>
      <c r="M14" s="53"/>
      <c r="N14" s="25"/>
      <c r="O14" s="53"/>
      <c r="P14" s="25"/>
      <c r="Q14" s="53"/>
      <c r="R14" s="25"/>
      <c r="S14" s="25"/>
      <c r="T14" s="58"/>
      <c r="U14" s="60"/>
      <c r="V14" s="52"/>
      <c r="W14" s="53"/>
      <c r="X14" s="54"/>
      <c r="Y14" s="53"/>
      <c r="Z14" s="24"/>
      <c r="AA14" s="995"/>
      <c r="AB14" s="2014"/>
      <c r="AC14" s="56"/>
      <c r="AD14" s="25"/>
      <c r="AE14" s="1005"/>
      <c r="AF14" s="1006"/>
      <c r="AG14" s="1006"/>
      <c r="AH14" s="1006"/>
      <c r="AI14" s="1007"/>
      <c r="AJ14" s="1008"/>
      <c r="AK14" s="1006"/>
      <c r="AL14" s="1006"/>
      <c r="AM14" s="1006"/>
      <c r="AN14" s="46"/>
      <c r="AO14" s="46"/>
      <c r="AP14" s="46"/>
      <c r="AQ14" s="1009"/>
      <c r="AR14" s="1009"/>
      <c r="AS14" s="1006"/>
      <c r="AT14" s="1006"/>
      <c r="AU14" s="1006"/>
      <c r="AV14" s="1010"/>
      <c r="AW14" s="1011"/>
      <c r="AX14" s="1010"/>
      <c r="AY14" s="1012"/>
      <c r="AZ14" s="53"/>
      <c r="BA14" s="604"/>
      <c r="BB14" s="53"/>
      <c r="BC14" s="25"/>
      <c r="BD14" s="53"/>
      <c r="BE14" s="25"/>
      <c r="BF14" s="53"/>
      <c r="BG14" s="25"/>
      <c r="BH14" s="25"/>
      <c r="BI14" s="58"/>
      <c r="BJ14" s="60"/>
      <c r="BK14" s="52"/>
      <c r="BL14" s="53"/>
      <c r="BM14" s="54"/>
      <c r="BN14" s="53"/>
      <c r="BO14" s="24"/>
      <c r="BP14" s="53"/>
      <c r="BQ14" s="25"/>
      <c r="BR14" s="53"/>
      <c r="BS14" s="25"/>
      <c r="BT14" s="53"/>
      <c r="BU14" s="52"/>
      <c r="BV14" s="52"/>
      <c r="BW14" s="52"/>
      <c r="BX14" s="25"/>
      <c r="BY14" s="58"/>
      <c r="BZ14" s="52"/>
      <c r="CA14" s="52"/>
      <c r="CB14" s="450"/>
      <c r="CC14" s="61"/>
      <c r="CD14" s="2020"/>
      <c r="CE14" s="43"/>
    </row>
    <row r="15" spans="2:83" s="72" customFormat="1" ht="15" customHeight="1" x14ac:dyDescent="0.25">
      <c r="B15" s="2008"/>
      <c r="C15" s="64"/>
      <c r="D15" s="3388"/>
      <c r="E15" s="3388"/>
      <c r="F15" s="3388"/>
      <c r="G15" s="3388"/>
      <c r="H15" s="3388"/>
      <c r="I15" s="3388"/>
      <c r="J15" s="3388"/>
      <c r="K15" s="3388"/>
      <c r="L15" s="3388"/>
      <c r="M15" s="3388"/>
      <c r="N15" s="3388"/>
      <c r="O15" s="3388"/>
      <c r="P15" s="3388"/>
      <c r="Q15" s="3388"/>
      <c r="R15" s="3388"/>
      <c r="S15" s="3388"/>
      <c r="T15" s="3388"/>
      <c r="U15" s="3388"/>
      <c r="V15" s="66"/>
      <c r="W15" s="66"/>
      <c r="X15" s="66"/>
      <c r="Y15" s="66"/>
      <c r="Z15" s="1163"/>
      <c r="AA15" s="997"/>
      <c r="AB15" s="2015"/>
      <c r="AC15" s="68"/>
      <c r="AD15" s="66"/>
      <c r="AE15" s="1050" t="s">
        <v>69</v>
      </c>
      <c r="AF15" s="1049"/>
      <c r="AG15" s="66"/>
      <c r="AH15" s="66"/>
      <c r="AI15" s="66"/>
      <c r="AJ15" s="2604" t="str">
        <f>'CALCULS Eaux usées'!E38</f>
        <v/>
      </c>
      <c r="AK15" s="66"/>
      <c r="AL15" s="66"/>
      <c r="AM15" s="66"/>
      <c r="AN15" s="59"/>
      <c r="AO15" s="59"/>
      <c r="AP15" s="59"/>
      <c r="AQ15" s="221"/>
      <c r="AR15" s="221"/>
      <c r="AS15" s="221"/>
      <c r="AT15" s="221"/>
      <c r="AU15" s="221"/>
      <c r="AV15" s="221"/>
      <c r="AW15" s="221"/>
      <c r="AX15" s="221"/>
      <c r="AY15" s="1013"/>
      <c r="BA15" s="1050" t="s">
        <v>69</v>
      </c>
      <c r="BB15" s="221"/>
      <c r="BC15" s="221"/>
      <c r="BD15" s="221"/>
      <c r="BE15" s="221"/>
      <c r="BF15" s="2604"/>
      <c r="BG15" s="2604" t="str">
        <f>'CALCULS Eaux usées'!E46</f>
        <v/>
      </c>
      <c r="BH15" s="2604"/>
      <c r="BI15" s="65"/>
      <c r="BJ15" s="66"/>
      <c r="BK15" s="66"/>
      <c r="BL15" s="66"/>
      <c r="BM15" s="66"/>
      <c r="BN15" s="66"/>
      <c r="BO15" s="66"/>
      <c r="BP15" s="66"/>
      <c r="BQ15" s="66"/>
      <c r="BR15" s="66"/>
      <c r="BS15" s="66"/>
      <c r="BT15" s="66"/>
      <c r="BU15" s="66"/>
      <c r="BV15" s="66"/>
      <c r="BW15" s="66"/>
      <c r="BX15" s="66"/>
      <c r="BY15" s="66"/>
      <c r="BZ15" s="66"/>
      <c r="CA15" s="66"/>
      <c r="CB15" s="67"/>
      <c r="CC15" s="69"/>
      <c r="CD15" s="2021"/>
      <c r="CE15" s="71"/>
    </row>
    <row r="16" spans="2:83" s="72" customFormat="1" ht="18" customHeight="1" x14ac:dyDescent="0.3">
      <c r="B16" s="2008"/>
      <c r="C16" s="64"/>
      <c r="D16" s="3388"/>
      <c r="E16" s="3388"/>
      <c r="F16" s="3388"/>
      <c r="G16" s="3388"/>
      <c r="H16" s="3388"/>
      <c r="I16" s="3388"/>
      <c r="J16" s="3388"/>
      <c r="K16" s="3388"/>
      <c r="L16" s="3388"/>
      <c r="M16" s="3388"/>
      <c r="N16" s="3388"/>
      <c r="O16" s="3388"/>
      <c r="P16" s="3388"/>
      <c r="Q16" s="3388"/>
      <c r="R16" s="3388"/>
      <c r="S16" s="3388"/>
      <c r="T16" s="3388"/>
      <c r="U16" s="3388"/>
      <c r="V16" s="66"/>
      <c r="W16" s="66"/>
      <c r="X16" s="66"/>
      <c r="Y16" s="66"/>
      <c r="Z16" s="66"/>
      <c r="AA16" s="997"/>
      <c r="AB16" s="2015"/>
      <c r="AC16" s="68"/>
      <c r="AD16" s="66"/>
      <c r="AE16" s="68"/>
      <c r="AF16" s="3370">
        <f>'CALCULS Eaux usées'!L61</f>
        <v>0</v>
      </c>
      <c r="AG16" s="3370"/>
      <c r="AH16" s="3370"/>
      <c r="AI16" s="66"/>
      <c r="AJ16" s="66"/>
      <c r="AK16" s="66"/>
      <c r="AL16" s="66"/>
      <c r="AM16" s="66"/>
      <c r="AN16" s="59"/>
      <c r="AO16" s="59"/>
      <c r="AP16" s="59"/>
      <c r="AQ16" s="65"/>
      <c r="AR16" s="65"/>
      <c r="AS16" s="65"/>
      <c r="AT16" s="65"/>
      <c r="AU16" s="65"/>
      <c r="AV16" s="65"/>
      <c r="AW16" s="65"/>
      <c r="AX16" s="65"/>
      <c r="AY16" s="1014"/>
      <c r="BA16" s="1017"/>
      <c r="BB16" s="3370">
        <f>'CALCULS Eaux usées'!L63</f>
        <v>0</v>
      </c>
      <c r="BC16" s="3370"/>
      <c r="BD16" s="3370"/>
      <c r="BE16" s="65"/>
      <c r="BF16" s="65"/>
      <c r="BG16" s="65"/>
      <c r="BH16" s="59"/>
      <c r="BI16" s="65"/>
      <c r="BJ16" s="66"/>
      <c r="BK16" s="66"/>
      <c r="BL16" s="66"/>
      <c r="BM16" s="66"/>
      <c r="BN16" s="66"/>
      <c r="BO16" s="66"/>
      <c r="BP16" s="66"/>
      <c r="BQ16" s="66"/>
      <c r="BR16" s="66"/>
      <c r="BS16" s="66"/>
      <c r="BT16" s="66"/>
      <c r="BU16" s="66"/>
      <c r="BV16" s="66"/>
      <c r="BW16" s="66"/>
      <c r="BX16" s="66"/>
      <c r="BY16" s="66"/>
      <c r="BZ16" s="66"/>
      <c r="CA16" s="66"/>
      <c r="CB16" s="67"/>
      <c r="CC16" s="69"/>
      <c r="CD16" s="2021"/>
      <c r="CE16" s="71"/>
    </row>
    <row r="17" spans="2:83" s="72" customFormat="1" ht="73.5" customHeight="1" x14ac:dyDescent="0.25">
      <c r="B17" s="2008"/>
      <c r="C17" s="64"/>
      <c r="D17" s="3388"/>
      <c r="E17" s="3388"/>
      <c r="F17" s="3388"/>
      <c r="G17" s="3388"/>
      <c r="H17" s="3388"/>
      <c r="I17" s="3388"/>
      <c r="J17" s="3388"/>
      <c r="K17" s="3388"/>
      <c r="L17" s="3388"/>
      <c r="M17" s="3388"/>
      <c r="N17" s="3388"/>
      <c r="O17" s="3388"/>
      <c r="P17" s="3388"/>
      <c r="Q17" s="3388"/>
      <c r="R17" s="3388"/>
      <c r="S17" s="3388"/>
      <c r="T17" s="3388"/>
      <c r="U17" s="3388"/>
      <c r="V17" s="78"/>
      <c r="W17" s="76"/>
      <c r="X17" s="73"/>
      <c r="Y17" s="76"/>
      <c r="Z17" s="81"/>
      <c r="AA17" s="998"/>
      <c r="AB17" s="2016"/>
      <c r="AC17" s="80"/>
      <c r="AD17" s="76"/>
      <c r="AE17" s="80"/>
      <c r="AF17" s="76"/>
      <c r="AG17" s="73"/>
      <c r="AH17" s="3348"/>
      <c r="AI17" s="3348"/>
      <c r="AJ17" s="3348"/>
      <c r="AK17" s="3348"/>
      <c r="AL17" s="3348"/>
      <c r="AM17" s="77"/>
      <c r="AN17" s="82"/>
      <c r="AO17" s="75"/>
      <c r="AP17" s="75"/>
      <c r="AQ17" s="82"/>
      <c r="AR17" s="82"/>
      <c r="AS17" s="73"/>
      <c r="AT17" s="73"/>
      <c r="AU17" s="74"/>
      <c r="AV17" s="75"/>
      <c r="AW17" s="82"/>
      <c r="AX17" s="73"/>
      <c r="AY17" s="79"/>
      <c r="AZ17" s="1016"/>
      <c r="BA17" s="1018"/>
      <c r="BB17" s="1016"/>
      <c r="BC17" s="1016"/>
      <c r="BD17" s="1016"/>
      <c r="BE17" s="1016"/>
      <c r="BF17" s="83"/>
      <c r="BG17" s="82"/>
      <c r="BH17" s="75"/>
      <c r="BI17" s="77"/>
      <c r="BJ17" s="78"/>
      <c r="BK17" s="78"/>
      <c r="BL17" s="82"/>
      <c r="BM17" s="82"/>
      <c r="BN17" s="73"/>
      <c r="BO17" s="81"/>
      <c r="BP17" s="76"/>
      <c r="BQ17" s="78"/>
      <c r="BR17" s="82"/>
      <c r="BS17" s="76"/>
      <c r="BT17" s="77"/>
      <c r="BU17" s="76"/>
      <c r="BV17" s="73"/>
      <c r="BW17" s="3348"/>
      <c r="BX17" s="3348"/>
      <c r="BY17" s="3348"/>
      <c r="BZ17" s="3348"/>
      <c r="CA17" s="3348"/>
      <c r="CB17" s="1019"/>
      <c r="CC17" s="84"/>
      <c r="CD17" s="2021"/>
      <c r="CE17" s="71"/>
    </row>
    <row r="18" spans="2:83" s="72" customFormat="1" ht="11.25" customHeight="1" x14ac:dyDescent="0.25">
      <c r="B18" s="2008"/>
      <c r="C18" s="64"/>
      <c r="D18" s="3388"/>
      <c r="E18" s="3388"/>
      <c r="F18" s="3388"/>
      <c r="G18" s="3388"/>
      <c r="H18" s="3388"/>
      <c r="I18" s="3388"/>
      <c r="J18" s="3388"/>
      <c r="K18" s="3388"/>
      <c r="L18" s="3388"/>
      <c r="M18" s="3388"/>
      <c r="N18" s="3388"/>
      <c r="O18" s="3388"/>
      <c r="P18" s="3388"/>
      <c r="Q18" s="3388"/>
      <c r="R18" s="3388"/>
      <c r="S18" s="3388"/>
      <c r="T18" s="3388"/>
      <c r="U18" s="3388"/>
      <c r="V18" s="75"/>
      <c r="W18" s="75"/>
      <c r="X18" s="75"/>
      <c r="Y18" s="75"/>
      <c r="Z18" s="75"/>
      <c r="AA18" s="175"/>
      <c r="AB18" s="2017"/>
      <c r="AC18" s="64"/>
      <c r="AD18" s="75"/>
      <c r="AE18" s="64"/>
      <c r="AF18" s="75"/>
      <c r="AG18" s="75"/>
      <c r="AH18" s="75"/>
      <c r="AI18" s="75"/>
      <c r="AJ18" s="75"/>
      <c r="AK18" s="75"/>
      <c r="AL18" s="75"/>
      <c r="AM18" s="75"/>
      <c r="AN18" s="75"/>
      <c r="AO18" s="75"/>
      <c r="AP18" s="75"/>
      <c r="AQ18" s="86"/>
      <c r="AR18" s="86"/>
      <c r="AS18" s="75"/>
      <c r="AT18" s="75"/>
      <c r="AU18" s="75"/>
      <c r="AV18" s="75"/>
      <c r="AW18" s="75"/>
      <c r="AX18" s="75"/>
      <c r="AY18" s="69"/>
      <c r="AZ18" s="75"/>
      <c r="BA18" s="64"/>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69"/>
      <c r="CC18" s="69"/>
      <c r="CD18" s="2021"/>
      <c r="CE18" s="71"/>
    </row>
    <row r="19" spans="2:83" s="72" customFormat="1" ht="15" customHeight="1" x14ac:dyDescent="0.25">
      <c r="B19" s="2008"/>
      <c r="C19" s="64"/>
      <c r="D19" s="3388"/>
      <c r="E19" s="3388"/>
      <c r="F19" s="3388"/>
      <c r="G19" s="3388"/>
      <c r="H19" s="3388"/>
      <c r="I19" s="3388"/>
      <c r="J19" s="3388"/>
      <c r="K19" s="3388"/>
      <c r="L19" s="3388"/>
      <c r="M19" s="3388"/>
      <c r="N19" s="3388"/>
      <c r="O19" s="3388"/>
      <c r="P19" s="3388"/>
      <c r="Q19" s="3388"/>
      <c r="R19" s="3388"/>
      <c r="S19" s="3388"/>
      <c r="T19" s="3388"/>
      <c r="U19" s="3388"/>
      <c r="V19" s="75"/>
      <c r="W19" s="75"/>
      <c r="X19" s="75"/>
      <c r="Y19" s="75"/>
      <c r="Z19" s="75"/>
      <c r="AA19" s="997"/>
      <c r="AB19" s="2015"/>
      <c r="AC19" s="64"/>
      <c r="AD19" s="75"/>
      <c r="AE19" s="1050" t="s">
        <v>77</v>
      </c>
      <c r="AF19" s="75"/>
      <c r="AG19" s="75"/>
      <c r="AH19" s="75"/>
      <c r="AI19" s="75"/>
      <c r="AK19" s="2604" t="str">
        <f>'CALCULS Eaux usées'!E36</f>
        <v/>
      </c>
      <c r="AL19" s="2605"/>
      <c r="AM19" s="2605"/>
      <c r="AN19" s="2605"/>
      <c r="AO19" s="2605"/>
      <c r="AP19" s="2605"/>
      <c r="AQ19" s="2605"/>
      <c r="AR19" s="2605"/>
      <c r="AS19" s="2605"/>
      <c r="AT19" s="2605"/>
      <c r="AU19" s="2605"/>
      <c r="AV19" s="2605"/>
      <c r="AW19" s="2605"/>
      <c r="AX19" s="2605"/>
      <c r="AY19" s="1013"/>
      <c r="BA19" s="1050" t="s">
        <v>77</v>
      </c>
      <c r="BB19" s="75"/>
      <c r="BC19" s="75"/>
      <c r="BD19" s="75"/>
      <c r="BE19" s="75"/>
      <c r="BF19" s="75"/>
      <c r="BG19" s="75"/>
      <c r="BH19" s="2604" t="str">
        <f>'CALCULS Eaux usées'!E44</f>
        <v/>
      </c>
      <c r="BI19" s="75"/>
      <c r="BJ19" s="75"/>
      <c r="BK19" s="75"/>
      <c r="BL19" s="75"/>
      <c r="BM19" s="75"/>
      <c r="BN19" s="75"/>
      <c r="BO19" s="75"/>
      <c r="BP19" s="75"/>
      <c r="BQ19" s="75"/>
      <c r="BR19" s="75"/>
      <c r="BS19" s="75"/>
      <c r="BT19" s="75"/>
      <c r="BU19" s="75"/>
      <c r="BV19" s="75"/>
      <c r="BW19" s="75"/>
      <c r="BX19" s="75"/>
      <c r="BY19" s="75"/>
      <c r="BZ19" s="75"/>
      <c r="CA19" s="75"/>
      <c r="CB19" s="69"/>
      <c r="CC19" s="69"/>
      <c r="CD19" s="2021"/>
      <c r="CE19" s="71"/>
    </row>
    <row r="20" spans="2:83" s="72" customFormat="1" ht="18" customHeight="1" x14ac:dyDescent="0.3">
      <c r="B20" s="2008"/>
      <c r="C20" s="64"/>
      <c r="D20" s="3388"/>
      <c r="E20" s="3388"/>
      <c r="F20" s="3388"/>
      <c r="G20" s="3388"/>
      <c r="H20" s="3388"/>
      <c r="I20" s="3388"/>
      <c r="J20" s="3388"/>
      <c r="K20" s="3388"/>
      <c r="L20" s="3388"/>
      <c r="M20" s="3388"/>
      <c r="N20" s="3388"/>
      <c r="O20" s="3388"/>
      <c r="P20" s="3388"/>
      <c r="Q20" s="3388"/>
      <c r="R20" s="3388"/>
      <c r="S20" s="3388"/>
      <c r="T20" s="3388"/>
      <c r="U20" s="3388"/>
      <c r="V20" s="75"/>
      <c r="W20" s="75"/>
      <c r="X20" s="75"/>
      <c r="Y20" s="75"/>
      <c r="Z20" s="75"/>
      <c r="AA20" s="997"/>
      <c r="AB20" s="2015"/>
      <c r="AC20" s="64"/>
      <c r="AD20" s="75"/>
      <c r="AE20" s="1015"/>
      <c r="AF20" s="3371">
        <f>'CALCULS Eaux usées'!L62</f>
        <v>0</v>
      </c>
      <c r="AG20" s="3371"/>
      <c r="AH20" s="3371"/>
      <c r="AI20" s="75"/>
      <c r="AJ20" s="75"/>
      <c r="AK20" s="75"/>
      <c r="AL20" s="75"/>
      <c r="AM20" s="75"/>
      <c r="AN20" s="75"/>
      <c r="AO20" s="75"/>
      <c r="AP20" s="75"/>
      <c r="AQ20" s="86"/>
      <c r="AR20" s="86"/>
      <c r="AS20" s="75"/>
      <c r="AT20" s="75"/>
      <c r="AU20" s="75"/>
      <c r="AV20" s="75"/>
      <c r="AW20" s="75"/>
      <c r="AX20" s="75"/>
      <c r="AY20" s="1013"/>
      <c r="BA20" s="1015"/>
      <c r="BB20" s="3371">
        <f>'CALCULS Eaux usées'!L64</f>
        <v>0</v>
      </c>
      <c r="BC20" s="3371"/>
      <c r="BD20" s="3371"/>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69"/>
      <c r="CC20" s="69"/>
      <c r="CD20" s="2021"/>
      <c r="CE20" s="71"/>
    </row>
    <row r="21" spans="2:83" ht="78" customHeight="1" x14ac:dyDescent="0.25">
      <c r="B21" s="2007"/>
      <c r="C21" s="50"/>
      <c r="D21" s="3388"/>
      <c r="E21" s="3388"/>
      <c r="F21" s="3388"/>
      <c r="G21" s="3388"/>
      <c r="H21" s="3388"/>
      <c r="I21" s="3388"/>
      <c r="J21" s="3388"/>
      <c r="K21" s="3388"/>
      <c r="L21" s="3388"/>
      <c r="M21" s="3388"/>
      <c r="N21" s="3388"/>
      <c r="O21" s="3388"/>
      <c r="P21" s="3388"/>
      <c r="Q21" s="3388"/>
      <c r="R21" s="3388"/>
      <c r="S21" s="3388"/>
      <c r="T21" s="3388"/>
      <c r="U21" s="3388"/>
      <c r="V21" s="59"/>
      <c r="W21" s="59"/>
      <c r="X21" s="59"/>
      <c r="Y21" s="59"/>
      <c r="Z21" s="59"/>
      <c r="AA21" s="114"/>
      <c r="AB21" s="2013"/>
      <c r="AC21" s="50"/>
      <c r="AD21" s="59"/>
      <c r="AE21" s="91"/>
      <c r="AF21" s="92"/>
      <c r="AG21" s="92"/>
      <c r="AH21" s="92"/>
      <c r="AI21" s="92"/>
      <c r="AJ21" s="92"/>
      <c r="AK21" s="92"/>
      <c r="AL21" s="92"/>
      <c r="AM21" s="92"/>
      <c r="AN21" s="92"/>
      <c r="AO21" s="92"/>
      <c r="AP21" s="92"/>
      <c r="AQ21" s="92"/>
      <c r="AR21" s="92"/>
      <c r="AS21" s="92"/>
      <c r="AT21" s="92"/>
      <c r="AU21" s="92"/>
      <c r="AV21" s="92"/>
      <c r="AW21" s="92"/>
      <c r="AX21" s="92"/>
      <c r="AY21" s="93"/>
      <c r="AZ21" s="59"/>
      <c r="BA21" s="91"/>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3"/>
      <c r="CC21" s="61"/>
      <c r="CD21" s="2020"/>
      <c r="CE21" s="43"/>
    </row>
    <row r="22" spans="2:83" ht="12" customHeight="1" x14ac:dyDescent="0.25">
      <c r="B22" s="2007"/>
      <c r="C22" s="91"/>
      <c r="D22" s="92"/>
      <c r="E22" s="92"/>
      <c r="F22" s="92"/>
      <c r="G22" s="92"/>
      <c r="H22" s="92"/>
      <c r="I22" s="92"/>
      <c r="J22" s="92"/>
      <c r="K22" s="92"/>
      <c r="L22" s="92"/>
      <c r="M22" s="92"/>
      <c r="N22" s="92"/>
      <c r="O22" s="92"/>
      <c r="P22" s="92"/>
      <c r="Q22" s="92"/>
      <c r="R22" s="92"/>
      <c r="S22" s="92"/>
      <c r="T22" s="92"/>
      <c r="U22" s="92"/>
      <c r="V22" s="92"/>
      <c r="W22" s="116"/>
      <c r="X22" s="116"/>
      <c r="Y22" s="116"/>
      <c r="Z22" s="116"/>
      <c r="AA22" s="117"/>
      <c r="AB22" s="2013"/>
      <c r="AC22" s="91"/>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3"/>
      <c r="CD22" s="2020"/>
      <c r="CE22" s="43"/>
    </row>
    <row r="23" spans="2:83" ht="9" customHeight="1" x14ac:dyDescent="0.25">
      <c r="B23" s="2010"/>
      <c r="C23" s="2018"/>
      <c r="D23" s="2018"/>
      <c r="E23" s="2018"/>
      <c r="F23" s="2018"/>
      <c r="G23" s="2018"/>
      <c r="H23" s="2018"/>
      <c r="I23" s="2018"/>
      <c r="J23" s="2018"/>
      <c r="K23" s="2018"/>
      <c r="L23" s="2018"/>
      <c r="M23" s="2018"/>
      <c r="N23" s="2018"/>
      <c r="O23" s="2018"/>
      <c r="P23" s="2018"/>
      <c r="Q23" s="2018"/>
      <c r="R23" s="2018"/>
      <c r="S23" s="2018"/>
      <c r="T23" s="2018"/>
      <c r="U23" s="2018"/>
      <c r="V23" s="2018"/>
      <c r="W23" s="2018"/>
      <c r="X23" s="2018"/>
      <c r="Y23" s="2018"/>
      <c r="Z23" s="2018"/>
      <c r="AA23" s="2018"/>
      <c r="AB23" s="2018"/>
      <c r="AC23" s="2018"/>
      <c r="AD23" s="2018"/>
      <c r="AE23" s="2018"/>
      <c r="AF23" s="2018"/>
      <c r="AG23" s="2018"/>
      <c r="AH23" s="2018"/>
      <c r="AI23" s="2018"/>
      <c r="AJ23" s="2018"/>
      <c r="AK23" s="2018"/>
      <c r="AL23" s="2018"/>
      <c r="AM23" s="2018"/>
      <c r="AN23" s="2018"/>
      <c r="AO23" s="2018"/>
      <c r="AP23" s="2018"/>
      <c r="AQ23" s="2018"/>
      <c r="AR23" s="2018"/>
      <c r="AS23" s="2018"/>
      <c r="AT23" s="2018"/>
      <c r="AU23" s="2018"/>
      <c r="AV23" s="2018"/>
      <c r="AW23" s="2018"/>
      <c r="AX23" s="2018"/>
      <c r="AY23" s="2018"/>
      <c r="AZ23" s="2018"/>
      <c r="BA23" s="2018"/>
      <c r="BB23" s="2018"/>
      <c r="BC23" s="2018"/>
      <c r="BD23" s="2018"/>
      <c r="BE23" s="2018"/>
      <c r="BF23" s="2018"/>
      <c r="BG23" s="2018"/>
      <c r="BH23" s="2018"/>
      <c r="BI23" s="2018"/>
      <c r="BJ23" s="2018"/>
      <c r="BK23" s="2018"/>
      <c r="BL23" s="2018"/>
      <c r="BM23" s="2018"/>
      <c r="BN23" s="2018"/>
      <c r="BO23" s="2018"/>
      <c r="BP23" s="2018"/>
      <c r="BQ23" s="2018"/>
      <c r="BR23" s="2018"/>
      <c r="BS23" s="2018"/>
      <c r="BT23" s="2018"/>
      <c r="BU23" s="2018"/>
      <c r="BV23" s="2018"/>
      <c r="BW23" s="2018"/>
      <c r="BX23" s="2018"/>
      <c r="BY23" s="2018"/>
      <c r="BZ23" s="2018"/>
      <c r="CA23" s="2018"/>
      <c r="CB23" s="2018"/>
      <c r="CC23" s="2018"/>
      <c r="CD23" s="2019"/>
      <c r="CE23" s="43"/>
    </row>
    <row r="24" spans="2:83" ht="15.75" customHeight="1" x14ac:dyDescent="0.25">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row>
    <row r="25" spans="2:83" ht="22.5" customHeight="1" x14ac:dyDescent="0.25">
      <c r="B25" s="1890"/>
      <c r="C25" s="1891" t="s">
        <v>165</v>
      </c>
      <c r="D25" s="1892"/>
      <c r="E25" s="1892"/>
      <c r="F25" s="1892"/>
      <c r="G25" s="1892"/>
      <c r="H25" s="1892"/>
      <c r="I25" s="1892"/>
      <c r="J25" s="1892"/>
      <c r="K25" s="1892"/>
      <c r="L25" s="1892"/>
      <c r="M25" s="1892"/>
      <c r="N25" s="1892"/>
      <c r="O25" s="1892"/>
      <c r="P25" s="1892"/>
      <c r="Q25" s="1892"/>
      <c r="R25" s="1892"/>
      <c r="S25" s="1892"/>
      <c r="T25" s="1894"/>
      <c r="U25" s="1906"/>
      <c r="V25" s="1906"/>
      <c r="W25" s="1906"/>
      <c r="X25" s="1906"/>
      <c r="Y25" s="1906"/>
      <c r="Z25" s="1906"/>
      <c r="AA25" s="1906"/>
      <c r="AB25" s="1906"/>
      <c r="AC25" s="1906"/>
      <c r="AD25" s="1906"/>
      <c r="AE25" s="1906"/>
      <c r="AF25" s="1906"/>
      <c r="AG25" s="1906"/>
      <c r="AH25" s="1906"/>
      <c r="AI25" s="1906"/>
      <c r="AJ25" s="1906"/>
      <c r="AK25" s="1906"/>
      <c r="AL25" s="1906"/>
      <c r="AM25" s="1906"/>
      <c r="AN25" s="1906"/>
      <c r="AO25" s="1906"/>
      <c r="AP25" s="1906"/>
      <c r="AQ25" s="1906"/>
      <c r="AR25" s="1906"/>
      <c r="AS25" s="1906"/>
      <c r="AT25" s="1906"/>
      <c r="AU25" s="1906"/>
      <c r="AV25" s="1906"/>
      <c r="AW25" s="1906"/>
      <c r="AX25" s="1906"/>
      <c r="AY25" s="1906"/>
      <c r="AZ25" s="1906"/>
      <c r="BA25" s="1906"/>
      <c r="BB25" s="1906"/>
      <c r="BC25" s="1906"/>
      <c r="BD25" s="1906"/>
      <c r="BE25" s="1906"/>
      <c r="BF25" s="1906"/>
      <c r="BG25" s="1906"/>
      <c r="BH25" s="1906"/>
      <c r="BI25" s="1906"/>
      <c r="BJ25" s="1906"/>
      <c r="BK25" s="1906"/>
      <c r="BL25" s="1906"/>
      <c r="BM25" s="1906"/>
      <c r="BN25" s="1906"/>
      <c r="BO25" s="1892"/>
      <c r="BP25" s="1892"/>
      <c r="BQ25" s="1892"/>
      <c r="BR25" s="1892"/>
      <c r="BS25" s="1892"/>
      <c r="BT25" s="1892"/>
      <c r="BU25" s="1892"/>
      <c r="BV25" s="1892"/>
      <c r="BW25" s="1892"/>
      <c r="BX25" s="1892"/>
      <c r="BY25" s="1892"/>
      <c r="BZ25" s="1894"/>
      <c r="CA25" s="1890"/>
      <c r="CB25" s="3410"/>
      <c r="CC25" s="3410"/>
      <c r="CD25" s="1892"/>
    </row>
    <row r="26" spans="2:83" ht="6.75" customHeight="1" x14ac:dyDescent="0.25"/>
    <row r="27" spans="2:83" ht="14.25" customHeight="1" x14ac:dyDescent="0.25">
      <c r="B27" s="2009"/>
      <c r="C27" s="2011"/>
      <c r="D27" s="2011"/>
      <c r="E27" s="2011"/>
      <c r="F27" s="2011"/>
      <c r="G27" s="2011"/>
      <c r="H27" s="2011"/>
      <c r="I27" s="2011"/>
      <c r="J27" s="2011"/>
      <c r="K27" s="2011"/>
      <c r="L27" s="2011"/>
      <c r="M27" s="2011"/>
      <c r="N27" s="2011"/>
      <c r="O27" s="2011"/>
      <c r="P27" s="2011"/>
      <c r="Q27" s="2011"/>
      <c r="R27" s="2011"/>
      <c r="S27" s="2011"/>
      <c r="T27" s="2022"/>
      <c r="U27" s="2022"/>
      <c r="V27" s="2022"/>
      <c r="W27" s="2022"/>
      <c r="X27" s="2022"/>
      <c r="Y27" s="2022"/>
      <c r="Z27" s="2022"/>
      <c r="AA27" s="2022"/>
      <c r="AB27" s="2022"/>
      <c r="AC27" s="2022"/>
      <c r="AD27" s="2022"/>
      <c r="AE27" s="2022"/>
      <c r="AF27" s="2022"/>
      <c r="AG27" s="2022"/>
      <c r="AH27" s="2022"/>
      <c r="AI27" s="2022"/>
      <c r="AJ27" s="2022"/>
      <c r="AK27" s="2022"/>
      <c r="AL27" s="2022"/>
      <c r="AM27" s="2022"/>
      <c r="AN27" s="2022"/>
      <c r="AO27" s="2022"/>
      <c r="AP27" s="2022"/>
      <c r="AQ27" s="2022"/>
      <c r="AR27" s="2022"/>
      <c r="AS27" s="2022"/>
      <c r="AT27" s="2022"/>
      <c r="AU27" s="2022"/>
      <c r="AV27" s="2022"/>
      <c r="AW27" s="2022"/>
      <c r="AX27" s="2022"/>
      <c r="AY27" s="2022"/>
      <c r="AZ27" s="2022"/>
      <c r="BA27" s="2022"/>
      <c r="BB27" s="2022"/>
      <c r="BC27" s="2011"/>
      <c r="BD27" s="2011"/>
      <c r="BE27" s="2011"/>
      <c r="BF27" s="2011"/>
      <c r="BG27" s="2011"/>
      <c r="BH27" s="2011"/>
      <c r="BI27" s="2011"/>
      <c r="BJ27" s="2011"/>
      <c r="BK27" s="2011"/>
      <c r="BL27" s="2011"/>
      <c r="BM27" s="2011"/>
      <c r="BN27" s="2011"/>
      <c r="BO27" s="2011"/>
      <c r="BP27" s="2011"/>
      <c r="BQ27" s="2011"/>
      <c r="BR27" s="2011"/>
      <c r="BS27" s="2011"/>
      <c r="BT27" s="2011"/>
      <c r="BU27" s="2011"/>
      <c r="BV27" s="2011"/>
      <c r="BW27" s="2011"/>
      <c r="BX27" s="2011"/>
      <c r="BY27" s="2011"/>
      <c r="BZ27" s="2011"/>
      <c r="CA27" s="2011"/>
      <c r="CB27" s="2011"/>
      <c r="CC27" s="2011"/>
      <c r="CD27" s="2012"/>
      <c r="CE27" s="43"/>
    </row>
    <row r="28" spans="2:83" ht="9.75" customHeight="1" x14ac:dyDescent="0.25">
      <c r="B28" s="2007"/>
      <c r="C28" s="45"/>
      <c r="D28" s="46"/>
      <c r="E28" s="46"/>
      <c r="F28" s="46"/>
      <c r="G28" s="46"/>
      <c r="H28" s="46"/>
      <c r="I28" s="46"/>
      <c r="J28" s="46"/>
      <c r="K28" s="46"/>
      <c r="L28" s="46"/>
      <c r="M28" s="46"/>
      <c r="N28" s="46"/>
      <c r="O28" s="46"/>
      <c r="P28" s="46"/>
      <c r="Q28" s="46"/>
      <c r="R28" s="46"/>
      <c r="S28" s="410"/>
      <c r="T28" s="46"/>
      <c r="U28" s="47"/>
      <c r="V28" s="2026"/>
      <c r="W28" s="45"/>
      <c r="X28" s="46"/>
      <c r="Y28" s="410"/>
      <c r="Z28" s="410"/>
      <c r="AA28" s="410"/>
      <c r="AB28" s="410"/>
      <c r="AC28" s="46"/>
      <c r="AD28" s="46"/>
      <c r="AE28" s="46"/>
      <c r="AF28" s="46"/>
      <c r="AG28" s="46"/>
      <c r="AH28" s="46"/>
      <c r="AI28" s="46"/>
      <c r="AJ28" s="46"/>
      <c r="AK28" s="46"/>
      <c r="AL28" s="46"/>
      <c r="AM28" s="46"/>
      <c r="AN28" s="46"/>
      <c r="AO28" s="46"/>
      <c r="AP28" s="46"/>
      <c r="AQ28" s="46"/>
      <c r="AR28" s="46"/>
      <c r="AS28" s="46"/>
      <c r="AT28" s="46"/>
      <c r="AU28" s="468"/>
      <c r="AV28" s="410"/>
      <c r="AW28" s="410"/>
      <c r="AX28" s="46"/>
      <c r="AY28" s="46"/>
      <c r="AZ28" s="46"/>
      <c r="BA28" s="46"/>
      <c r="BB28" s="2020"/>
      <c r="BC28" s="410"/>
      <c r="BD28" s="410"/>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7"/>
      <c r="CD28" s="2023"/>
      <c r="CE28" s="43"/>
    </row>
    <row r="29" spans="2:83" ht="19.5" customHeight="1" x14ac:dyDescent="0.25">
      <c r="B29" s="2007"/>
      <c r="C29" s="101"/>
      <c r="D29" s="102" t="s">
        <v>1508</v>
      </c>
      <c r="E29" s="59"/>
      <c r="F29" s="59"/>
      <c r="G29" s="59"/>
      <c r="H29" s="59"/>
      <c r="I29" s="59"/>
      <c r="J29" s="59"/>
      <c r="K29" s="59"/>
      <c r="L29" s="59"/>
      <c r="M29" s="59"/>
      <c r="N29" s="59"/>
      <c r="O29" s="59"/>
      <c r="P29" s="59"/>
      <c r="Q29" s="59"/>
      <c r="R29" s="59"/>
      <c r="U29" s="1277">
        <f>'CALCULS Eaux usées'!O71</f>
        <v>0</v>
      </c>
      <c r="V29" s="2020"/>
      <c r="W29" s="50"/>
      <c r="X29" s="57" t="s">
        <v>1509</v>
      </c>
      <c r="AC29" s="59"/>
      <c r="AD29" s="59"/>
      <c r="AE29" s="59"/>
      <c r="AF29" s="59"/>
      <c r="AG29" s="59"/>
      <c r="AH29" s="59"/>
      <c r="AI29" s="59"/>
      <c r="AJ29" s="59"/>
      <c r="AK29" s="59"/>
      <c r="AL29" s="59"/>
      <c r="AM29" s="59"/>
      <c r="AN29" s="59"/>
      <c r="AO29" s="59"/>
      <c r="AP29" s="59"/>
      <c r="AQ29" s="59"/>
      <c r="AR29" s="59"/>
      <c r="AW29" s="1073"/>
      <c r="AX29" s="3323">
        <f>'CALCULS Eaux usées'!O76</f>
        <v>0</v>
      </c>
      <c r="AY29" s="3323"/>
      <c r="AZ29" s="3323"/>
      <c r="BB29" s="2020"/>
      <c r="BD29" s="57" t="s">
        <v>1510</v>
      </c>
      <c r="BE29" s="59"/>
      <c r="BF29" s="57"/>
      <c r="BG29" s="59"/>
      <c r="BH29" s="59"/>
      <c r="BI29" s="59"/>
      <c r="BJ29" s="59"/>
      <c r="BK29" s="59"/>
      <c r="BL29" s="59"/>
      <c r="BM29" s="59"/>
      <c r="BN29" s="59"/>
      <c r="BO29" s="59"/>
      <c r="BP29" s="59"/>
      <c r="BQ29" s="59"/>
      <c r="BR29" s="59"/>
      <c r="BS29" s="59"/>
      <c r="BT29" s="59"/>
      <c r="BU29" s="59"/>
      <c r="BV29" s="59"/>
      <c r="BW29" s="59"/>
      <c r="BX29" s="59"/>
      <c r="BY29" s="59"/>
      <c r="BZ29" s="59"/>
      <c r="CA29" s="3322">
        <f>'CALCULS Eaux usées'!O91</f>
        <v>0</v>
      </c>
      <c r="CB29" s="3322"/>
      <c r="CC29" s="61"/>
      <c r="CD29" s="2023"/>
      <c r="CE29" s="43"/>
    </row>
    <row r="30" spans="2:83" ht="7.5" customHeight="1" x14ac:dyDescent="0.25">
      <c r="B30" s="2007"/>
      <c r="C30" s="418"/>
      <c r="D30" s="102"/>
      <c r="E30" s="59"/>
      <c r="F30" s="59"/>
      <c r="G30" s="59"/>
      <c r="H30" s="59"/>
      <c r="I30" s="59"/>
      <c r="J30" s="59"/>
      <c r="K30" s="59"/>
      <c r="L30" s="59"/>
      <c r="M30" s="59"/>
      <c r="N30" s="59"/>
      <c r="O30" s="59"/>
      <c r="P30" s="59"/>
      <c r="Q30" s="59"/>
      <c r="R30" s="59"/>
      <c r="T30" s="59"/>
      <c r="U30" s="61"/>
      <c r="V30" s="2027"/>
      <c r="W30" s="50"/>
      <c r="AC30" s="59"/>
      <c r="AD30" s="59"/>
      <c r="AE30" s="59"/>
      <c r="AF30" s="59"/>
      <c r="AG30" s="59"/>
      <c r="AH30" s="59"/>
      <c r="AI30" s="59"/>
      <c r="AJ30" s="59"/>
      <c r="AK30" s="59"/>
      <c r="AL30" s="59"/>
      <c r="AM30" s="59"/>
      <c r="AN30" s="59"/>
      <c r="AO30" s="59"/>
      <c r="AP30" s="59"/>
      <c r="AQ30" s="59"/>
      <c r="AR30" s="59"/>
      <c r="AS30" s="1271"/>
      <c r="AT30" s="1271"/>
      <c r="AU30" s="55"/>
      <c r="AX30" s="59"/>
      <c r="AY30" s="55"/>
      <c r="BB30" s="2020"/>
      <c r="BE30" s="59"/>
      <c r="BF30" s="57"/>
      <c r="BG30" s="59"/>
      <c r="BH30" s="59"/>
      <c r="BI30" s="59"/>
      <c r="BJ30" s="59"/>
      <c r="BK30" s="59"/>
      <c r="BL30" s="59"/>
      <c r="BM30" s="59"/>
      <c r="BN30" s="59"/>
      <c r="BO30" s="59"/>
      <c r="BP30" s="59"/>
      <c r="BQ30" s="59"/>
      <c r="BR30" s="59"/>
      <c r="BS30" s="59"/>
      <c r="BT30" s="59"/>
      <c r="BU30" s="59"/>
      <c r="BV30" s="59"/>
      <c r="BW30" s="59"/>
      <c r="BX30" s="59"/>
      <c r="BY30" s="59"/>
      <c r="BZ30" s="59"/>
      <c r="CA30" s="59"/>
      <c r="CB30" s="1271"/>
      <c r="CC30" s="61"/>
      <c r="CD30" s="2023"/>
      <c r="CE30" s="43"/>
    </row>
    <row r="31" spans="2:83" ht="23.25" customHeight="1" x14ac:dyDescent="0.25">
      <c r="B31" s="2007"/>
      <c r="C31" s="392"/>
      <c r="D31" s="403" t="s">
        <v>1511</v>
      </c>
      <c r="E31" s="409"/>
      <c r="F31" s="409"/>
      <c r="G31" s="409"/>
      <c r="I31" s="409"/>
      <c r="K31" s="572" t="s">
        <v>1458</v>
      </c>
      <c r="L31" s="409"/>
      <c r="M31" s="103"/>
      <c r="O31" s="413"/>
      <c r="P31" s="413"/>
      <c r="Q31" s="413"/>
      <c r="R31" s="413"/>
      <c r="S31" s="413"/>
      <c r="T31" s="413"/>
      <c r="U31" s="120"/>
      <c r="V31" s="2020"/>
      <c r="W31" s="1063"/>
      <c r="Z31" s="1058" t="s">
        <v>1831</v>
      </c>
      <c r="AA31" s="413"/>
      <c r="AB31" s="413"/>
      <c r="AC31" s="413"/>
      <c r="AD31" s="413"/>
      <c r="AE31" s="413"/>
      <c r="AF31" s="413"/>
      <c r="AG31" s="413"/>
      <c r="AH31" s="413"/>
      <c r="AI31" s="413"/>
      <c r="AJ31" s="413"/>
      <c r="AK31" s="413"/>
      <c r="AL31" s="413"/>
      <c r="AM31" s="413"/>
      <c r="AN31" s="3329"/>
      <c r="AO31" s="3329"/>
      <c r="AP31" s="3329"/>
      <c r="AQ31" s="3329"/>
      <c r="AR31" s="3347"/>
      <c r="AS31" s="3346" t="s">
        <v>1823</v>
      </c>
      <c r="AT31" s="3347"/>
      <c r="AU31" s="3329" t="s">
        <v>1512</v>
      </c>
      <c r="AV31" s="3329"/>
      <c r="AW31" s="3329"/>
      <c r="AX31" s="3329"/>
      <c r="AY31" s="3329"/>
      <c r="BB31" s="2020"/>
      <c r="BE31" s="103"/>
      <c r="BF31" s="400" t="s">
        <v>223</v>
      </c>
      <c r="BG31" s="400"/>
      <c r="BH31" s="400"/>
      <c r="BI31" s="400"/>
      <c r="BJ31" s="400"/>
      <c r="BK31" s="400"/>
      <c r="BM31" s="413"/>
      <c r="BN31" s="413"/>
      <c r="BO31" s="413"/>
      <c r="BP31" s="3339" t="s">
        <v>1807</v>
      </c>
      <c r="BQ31" s="3340"/>
      <c r="BR31" s="3340"/>
      <c r="BS31" s="3340"/>
      <c r="BT31" s="3340"/>
      <c r="BU31" s="3340"/>
      <c r="BV31" s="3340"/>
      <c r="BW31" s="1071"/>
      <c r="BX31" s="3338" t="s">
        <v>1507</v>
      </c>
      <c r="BY31" s="3338"/>
      <c r="BZ31" s="3338"/>
      <c r="CA31" s="3338"/>
      <c r="CB31" s="3338"/>
      <c r="CC31" s="567"/>
      <c r="CD31" s="2023"/>
      <c r="CE31" s="43"/>
    </row>
    <row r="32" spans="2:83" ht="3.75" customHeight="1" thickBot="1" x14ac:dyDescent="0.3">
      <c r="B32" s="2007"/>
      <c r="C32" s="392"/>
      <c r="D32" s="1067"/>
      <c r="E32" s="1067"/>
      <c r="F32" s="1067"/>
      <c r="G32" s="1067"/>
      <c r="H32" s="1067"/>
      <c r="I32" s="1067"/>
      <c r="J32" s="412"/>
      <c r="K32" s="1068"/>
      <c r="L32" s="1067"/>
      <c r="M32" s="1067"/>
      <c r="N32" s="1067"/>
      <c r="O32" s="1067"/>
      <c r="P32" s="1067"/>
      <c r="Q32" s="411"/>
      <c r="R32" s="411"/>
      <c r="S32" s="411"/>
      <c r="T32" s="411"/>
      <c r="U32" s="1061"/>
      <c r="V32" s="2028"/>
      <c r="W32" s="1064"/>
      <c r="X32" s="391"/>
      <c r="Y32" s="405"/>
      <c r="Z32" s="405"/>
      <c r="AA32" s="405"/>
      <c r="AB32" s="405"/>
      <c r="AC32" s="405"/>
      <c r="AD32" s="405"/>
      <c r="AE32" s="405"/>
      <c r="AF32" s="405"/>
      <c r="AG32" s="405"/>
      <c r="AH32" s="405"/>
      <c r="AI32" s="405"/>
      <c r="AJ32" s="406"/>
      <c r="AK32" s="406"/>
      <c r="AL32" s="406"/>
      <c r="AM32" s="406"/>
      <c r="AN32" s="406"/>
      <c r="AO32" s="406"/>
      <c r="AP32" s="406"/>
      <c r="AQ32" s="406"/>
      <c r="AR32" s="1054"/>
      <c r="AS32" s="1147"/>
      <c r="AT32" s="1054"/>
      <c r="AU32" s="406"/>
      <c r="AV32" s="406"/>
      <c r="AW32" s="406"/>
      <c r="AX32" s="406"/>
      <c r="AY32" s="1072"/>
      <c r="BB32" s="2020"/>
      <c r="BD32" s="103"/>
      <c r="BE32" s="411"/>
      <c r="BF32" s="412"/>
      <c r="BG32" s="401"/>
      <c r="BH32" s="401"/>
      <c r="BI32" s="401"/>
      <c r="BJ32" s="401"/>
      <c r="BK32" s="401"/>
      <c r="BL32" s="401"/>
      <c r="BM32" s="401"/>
      <c r="BN32" s="399"/>
      <c r="BO32" s="399"/>
      <c r="BP32" s="1076"/>
      <c r="BQ32" s="411"/>
      <c r="BR32" s="399"/>
      <c r="BS32" s="401"/>
      <c r="BT32" s="401"/>
      <c r="BU32" s="401"/>
      <c r="BV32" s="401"/>
      <c r="BW32" s="401"/>
      <c r="BX32" s="402"/>
      <c r="BY32" s="401"/>
      <c r="BZ32" s="401"/>
      <c r="CA32" s="401"/>
      <c r="CB32" s="401"/>
      <c r="CC32" s="393"/>
      <c r="CD32" s="2023"/>
      <c r="CE32" s="43"/>
    </row>
    <row r="33" spans="2:84" ht="4.5" customHeight="1" x14ac:dyDescent="0.25">
      <c r="B33" s="2007"/>
      <c r="C33" s="392"/>
      <c r="D33" s="404"/>
      <c r="E33" s="103"/>
      <c r="F33" s="103"/>
      <c r="G33" s="103"/>
      <c r="I33" s="103"/>
      <c r="K33" s="408"/>
      <c r="L33" s="103"/>
      <c r="M33" s="103"/>
      <c r="O33" s="103"/>
      <c r="P33" s="103"/>
      <c r="Q33" s="103"/>
      <c r="R33" s="103"/>
      <c r="S33" s="103"/>
      <c r="T33" s="103"/>
      <c r="U33" s="1062"/>
      <c r="V33" s="2020"/>
      <c r="W33" s="1065"/>
      <c r="AA33" s="391"/>
      <c r="AB33" s="391"/>
      <c r="AC33" s="391"/>
      <c r="AD33" s="391"/>
      <c r="AE33" s="391"/>
      <c r="AF33" s="391"/>
      <c r="AG33" s="391"/>
      <c r="AH33" s="391"/>
      <c r="AI33" s="391"/>
      <c r="AJ33" s="391"/>
      <c r="AK33" s="103"/>
      <c r="AL33" s="103"/>
      <c r="AM33" s="103"/>
      <c r="AN33" s="103"/>
      <c r="AP33" s="103"/>
      <c r="AQ33" s="103"/>
      <c r="AR33" s="1055"/>
      <c r="AS33" s="408"/>
      <c r="AT33" s="1148"/>
      <c r="AU33" s="55"/>
      <c r="AV33" s="55"/>
      <c r="AW33" s="55"/>
      <c r="AX33" s="55"/>
      <c r="AY33" s="55"/>
      <c r="BB33" s="2020"/>
      <c r="BD33" s="103"/>
      <c r="BE33" s="103"/>
      <c r="BG33" s="103"/>
      <c r="BH33" s="103"/>
      <c r="BI33" s="103"/>
      <c r="BJ33" s="103"/>
      <c r="BK33" s="103"/>
      <c r="BM33" s="103"/>
      <c r="BN33" s="103"/>
      <c r="BO33" s="103"/>
      <c r="BP33" s="1077"/>
      <c r="BQ33" s="103"/>
      <c r="BR33" s="103"/>
      <c r="BS33" s="398"/>
      <c r="BT33" s="103"/>
      <c r="BU33" s="103"/>
      <c r="BV33" s="103"/>
      <c r="BW33" s="103"/>
      <c r="BY33" s="103"/>
      <c r="BZ33" s="398"/>
      <c r="CA33" s="103"/>
      <c r="CB33" s="103"/>
      <c r="CC33" s="393"/>
      <c r="CD33" s="2023"/>
      <c r="CE33" s="43"/>
    </row>
    <row r="34" spans="2:84" ht="21" customHeight="1" x14ac:dyDescent="0.25">
      <c r="B34" s="2007"/>
      <c r="C34" s="392"/>
      <c r="D34" s="3383" t="str">
        <f>IF(ISBLANK('FORMULAIRE PGA Eaux usées'!D199)=TRUE,"",'FORMULAIRE PGA Eaux usées'!D199)</f>
        <v/>
      </c>
      <c r="E34" s="3383"/>
      <c r="F34" s="3383"/>
      <c r="G34" s="3383"/>
      <c r="H34" s="3383"/>
      <c r="I34" s="3383"/>
      <c r="K34" s="3389" t="str">
        <f>IF(ISBLANK('FORMULAIRE PGA Eaux usées'!J199)=TRUE,"",'FORMULAIRE PGA Eaux usées'!J199)</f>
        <v/>
      </c>
      <c r="L34" s="3383"/>
      <c r="M34" s="3383"/>
      <c r="N34" s="3383"/>
      <c r="O34" s="3383"/>
      <c r="P34" s="3383"/>
      <c r="Q34" s="3383"/>
      <c r="R34" s="3383"/>
      <c r="S34" s="3383"/>
      <c r="T34" s="3383"/>
      <c r="U34" s="3390"/>
      <c r="V34" s="2020"/>
      <c r="W34" s="1066"/>
      <c r="Y34" s="1059" t="s">
        <v>229</v>
      </c>
      <c r="Z34" s="589"/>
      <c r="AA34" s="590"/>
      <c r="AB34" s="590"/>
      <c r="AC34" s="590"/>
      <c r="AD34" s="590"/>
      <c r="AE34" s="591"/>
      <c r="AF34" s="591"/>
      <c r="AG34" s="591"/>
      <c r="AH34" s="591"/>
      <c r="AI34" s="591"/>
      <c r="AJ34" s="592"/>
      <c r="AK34" s="592"/>
      <c r="AL34" s="592"/>
      <c r="AM34" s="592"/>
      <c r="AN34" s="592"/>
      <c r="AO34" s="1052"/>
      <c r="AP34" s="1052"/>
      <c r="AQ34" s="1052"/>
      <c r="AR34" s="1056"/>
      <c r="AS34" s="1151" t="str">
        <f>IF('CALCULS Eaux usées'!J77&gt;0,"P","")</f>
        <v/>
      </c>
      <c r="AT34" s="1149"/>
      <c r="AU34" s="3328" t="str">
        <f>IF('CALCULS Eaux usées'!K77&gt;0,"P","")</f>
        <v/>
      </c>
      <c r="AV34" s="3328"/>
      <c r="AW34" s="3328"/>
      <c r="AX34" s="3328"/>
      <c r="AY34" s="591"/>
      <c r="BB34" s="2020"/>
      <c r="BD34" s="76"/>
      <c r="BE34" s="76"/>
      <c r="BF34" s="1079" t="str">
        <f>IF(ISBLANK('FORMULAIRE PGA Eaux usées'!D220)=TRUE,"",'FORMULAIRE PGA Eaux usées'!D220)</f>
        <v/>
      </c>
      <c r="BG34" s="1079"/>
      <c r="BH34" s="1079"/>
      <c r="BI34" s="1079"/>
      <c r="BJ34" s="1079"/>
      <c r="BK34" s="1079"/>
      <c r="BL34" s="1079"/>
      <c r="BM34" s="1079"/>
      <c r="BN34" s="1079"/>
      <c r="BO34" s="569"/>
      <c r="BP34" s="1080"/>
      <c r="BQ34" s="570"/>
      <c r="BR34" s="1081" t="str">
        <f>'CALCULS Eaux usées'!J92</f>
        <v/>
      </c>
      <c r="BS34" s="3324" t="str">
        <f>'CALCULS Eaux usées'!I92</f>
        <v/>
      </c>
      <c r="BT34" s="3324"/>
      <c r="BU34" s="72"/>
      <c r="BV34" s="1074"/>
      <c r="BW34" s="1074"/>
      <c r="BX34" s="72"/>
      <c r="BY34" s="1081" t="str">
        <f>'CALCULS Eaux usées'!L92</f>
        <v/>
      </c>
      <c r="BZ34" s="3325" t="str">
        <f>'CALCULS Eaux usées'!K92</f>
        <v/>
      </c>
      <c r="CA34" s="3325"/>
      <c r="CB34" s="3325"/>
      <c r="CC34" s="393"/>
      <c r="CD34" s="2023"/>
      <c r="CE34" s="43"/>
    </row>
    <row r="35" spans="2:84" ht="21" customHeight="1" x14ac:dyDescent="0.25">
      <c r="B35" s="2007"/>
      <c r="C35" s="392"/>
      <c r="D35" s="3383" t="str">
        <f>IF(ISBLANK('FORMULAIRE PGA Eaux usées'!D200)=TRUE,"",'FORMULAIRE PGA Eaux usées'!D200)</f>
        <v/>
      </c>
      <c r="E35" s="3383"/>
      <c r="F35" s="3383"/>
      <c r="G35" s="3383"/>
      <c r="H35" s="3383"/>
      <c r="I35" s="3383"/>
      <c r="K35" s="3389" t="str">
        <f>IF(ISBLANK('FORMULAIRE PGA Eaux usées'!J200)=TRUE,"",'FORMULAIRE PGA Eaux usées'!J200)</f>
        <v/>
      </c>
      <c r="L35" s="3383"/>
      <c r="M35" s="3383"/>
      <c r="N35" s="3383"/>
      <c r="O35" s="3383"/>
      <c r="P35" s="3383"/>
      <c r="Q35" s="3383"/>
      <c r="R35" s="3383"/>
      <c r="S35" s="3383"/>
      <c r="T35" s="3383"/>
      <c r="U35" s="3390"/>
      <c r="V35" s="2020"/>
      <c r="W35" s="1066"/>
      <c r="Y35" s="1060" t="s">
        <v>1802</v>
      </c>
      <c r="Z35" s="593"/>
      <c r="AA35" s="594"/>
      <c r="AB35" s="594"/>
      <c r="AC35" s="594"/>
      <c r="AD35" s="594"/>
      <c r="AE35" s="595"/>
      <c r="AF35" s="595"/>
      <c r="AG35" s="595"/>
      <c r="AH35" s="595"/>
      <c r="AI35" s="595"/>
      <c r="AJ35" s="596"/>
      <c r="AK35" s="596"/>
      <c r="AL35" s="596"/>
      <c r="AM35" s="596"/>
      <c r="AN35" s="596"/>
      <c r="AO35" s="1053"/>
      <c r="AP35" s="1053"/>
      <c r="AQ35" s="1053"/>
      <c r="AR35" s="1057"/>
      <c r="AS35" s="1152" t="str">
        <f>IF('CALCULS Eaux usées'!J78&gt;0,"P","")</f>
        <v/>
      </c>
      <c r="AT35" s="1150"/>
      <c r="AU35" s="3327" t="str">
        <f>IF('CALCULS Eaux usées'!K78&gt;0,"P","")</f>
        <v/>
      </c>
      <c r="AV35" s="3327"/>
      <c r="AW35" s="3327"/>
      <c r="AX35" s="3327"/>
      <c r="AY35" s="595"/>
      <c r="BB35" s="2020"/>
      <c r="BD35" s="76"/>
      <c r="BE35" s="76"/>
      <c r="BF35" s="1079" t="str">
        <f>IF(ISBLANK('FORMULAIRE PGA Eaux usées'!D221)=TRUE,"",'FORMULAIRE PGA Eaux usées'!D221)</f>
        <v/>
      </c>
      <c r="BG35" s="1079"/>
      <c r="BH35" s="1079"/>
      <c r="BI35" s="1079"/>
      <c r="BJ35" s="1079"/>
      <c r="BK35" s="1079"/>
      <c r="BL35" s="1079"/>
      <c r="BM35" s="1079"/>
      <c r="BN35" s="1079"/>
      <c r="BO35" s="569"/>
      <c r="BP35" s="1078"/>
      <c r="BQ35" s="570"/>
      <c r="BR35" s="1081" t="str">
        <f>'CALCULS Eaux usées'!J93</f>
        <v/>
      </c>
      <c r="BS35" s="3324" t="str">
        <f>'CALCULS Eaux usées'!I93</f>
        <v/>
      </c>
      <c r="BT35" s="3324"/>
      <c r="BU35" s="72"/>
      <c r="BV35" s="1074"/>
      <c r="BW35" s="1074"/>
      <c r="BX35" s="1074"/>
      <c r="BY35" s="1081" t="str">
        <f>'CALCULS Eaux usées'!L93</f>
        <v/>
      </c>
      <c r="BZ35" s="3325" t="str">
        <f>'CALCULS Eaux usées'!K93</f>
        <v/>
      </c>
      <c r="CA35" s="3325"/>
      <c r="CB35" s="3325"/>
      <c r="CC35" s="393"/>
      <c r="CD35" s="2023"/>
      <c r="CE35" s="43"/>
    </row>
    <row r="36" spans="2:84" ht="21" customHeight="1" x14ac:dyDescent="0.25">
      <c r="B36" s="2007"/>
      <c r="C36" s="392"/>
      <c r="D36" s="3383" t="str">
        <f>IF(ISBLANK('FORMULAIRE PGA Eaux usées'!D201)=TRUE,"",'FORMULAIRE PGA Eaux usées'!D201)</f>
        <v/>
      </c>
      <c r="E36" s="3383"/>
      <c r="F36" s="3383"/>
      <c r="G36" s="3383"/>
      <c r="H36" s="3383"/>
      <c r="I36" s="3383"/>
      <c r="K36" s="3389" t="str">
        <f>IF(ISBLANK('FORMULAIRE PGA Eaux usées'!J201)=TRUE,"",'FORMULAIRE PGA Eaux usées'!J201)</f>
        <v/>
      </c>
      <c r="L36" s="3383"/>
      <c r="M36" s="3383"/>
      <c r="N36" s="3383"/>
      <c r="O36" s="3383"/>
      <c r="P36" s="3383"/>
      <c r="Q36" s="3383"/>
      <c r="R36" s="3383"/>
      <c r="S36" s="3383"/>
      <c r="T36" s="3383"/>
      <c r="U36" s="3390"/>
      <c r="V36" s="2020"/>
      <c r="W36" s="1066"/>
      <c r="Y36" s="1060" t="s">
        <v>1803</v>
      </c>
      <c r="Z36" s="593"/>
      <c r="AA36" s="594"/>
      <c r="AB36" s="594"/>
      <c r="AC36" s="594"/>
      <c r="AD36" s="594"/>
      <c r="AE36" s="596"/>
      <c r="AF36" s="596"/>
      <c r="AG36" s="596"/>
      <c r="AH36" s="596"/>
      <c r="AI36" s="596"/>
      <c r="AJ36" s="596"/>
      <c r="AK36" s="596"/>
      <c r="AL36" s="596"/>
      <c r="AM36" s="596"/>
      <c r="AN36" s="596"/>
      <c r="AO36" s="1053"/>
      <c r="AP36" s="1053"/>
      <c r="AQ36" s="1053"/>
      <c r="AR36" s="1057"/>
      <c r="AS36" s="1152" t="str">
        <f>IF('CALCULS Eaux usées'!J79&gt;0,"P","")</f>
        <v/>
      </c>
      <c r="AT36" s="1150"/>
      <c r="AU36" s="3327" t="str">
        <f>IF('CALCULS Eaux usées'!K79&gt;0,"P","")</f>
        <v/>
      </c>
      <c r="AV36" s="3327"/>
      <c r="AW36" s="3327"/>
      <c r="AX36" s="3327"/>
      <c r="AY36" s="596"/>
      <c r="BB36" s="2024"/>
      <c r="BD36" s="76"/>
      <c r="BE36" s="76"/>
      <c r="BF36" s="1079" t="str">
        <f>IF(ISBLANK('FORMULAIRE PGA Eaux usées'!D222)=TRUE,"",'FORMULAIRE PGA Eaux usées'!D222)</f>
        <v/>
      </c>
      <c r="BG36" s="1079"/>
      <c r="BH36" s="1079"/>
      <c r="BI36" s="1079"/>
      <c r="BJ36" s="1079"/>
      <c r="BK36" s="1079"/>
      <c r="BL36" s="1079"/>
      <c r="BM36" s="1079"/>
      <c r="BN36" s="1079"/>
      <c r="BO36" s="570"/>
      <c r="BP36" s="1078"/>
      <c r="BQ36" s="570"/>
      <c r="BR36" s="1081" t="str">
        <f>'CALCULS Eaux usées'!J94</f>
        <v/>
      </c>
      <c r="BS36" s="3324" t="str">
        <f>'CALCULS Eaux usées'!I94</f>
        <v/>
      </c>
      <c r="BT36" s="3324"/>
      <c r="BU36" s="72"/>
      <c r="BV36" s="1074"/>
      <c r="BW36" s="1074"/>
      <c r="BX36" s="1074"/>
      <c r="BY36" s="1081" t="str">
        <f>'CALCULS Eaux usées'!L94</f>
        <v/>
      </c>
      <c r="BZ36" s="3325" t="str">
        <f>'CALCULS Eaux usées'!K94</f>
        <v/>
      </c>
      <c r="CA36" s="3325"/>
      <c r="CB36" s="3325"/>
      <c r="CC36" s="393"/>
      <c r="CD36" s="2023"/>
      <c r="CE36" s="43"/>
    </row>
    <row r="37" spans="2:84" ht="21" customHeight="1" x14ac:dyDescent="0.25">
      <c r="B37" s="2007"/>
      <c r="C37" s="392"/>
      <c r="D37" s="3383"/>
      <c r="E37" s="3383"/>
      <c r="F37" s="3383"/>
      <c r="G37" s="3383"/>
      <c r="H37" s="3383"/>
      <c r="I37" s="3383"/>
      <c r="K37" s="3383"/>
      <c r="L37" s="3383"/>
      <c r="M37" s="3383"/>
      <c r="N37" s="3383"/>
      <c r="O37" s="3383"/>
      <c r="P37" s="3383"/>
      <c r="Q37" s="3383"/>
      <c r="R37" s="3383"/>
      <c r="S37" s="3383"/>
      <c r="T37" s="3383"/>
      <c r="U37" s="3390"/>
      <c r="V37" s="2020"/>
      <c r="W37" s="1066"/>
      <c r="Y37" s="1060" t="s">
        <v>1804</v>
      </c>
      <c r="Z37" s="593"/>
      <c r="AA37" s="594"/>
      <c r="AB37" s="594"/>
      <c r="AC37" s="594"/>
      <c r="AD37" s="594"/>
      <c r="AE37" s="595"/>
      <c r="AF37" s="595"/>
      <c r="AG37" s="595"/>
      <c r="AH37" s="595"/>
      <c r="AI37" s="595"/>
      <c r="AJ37" s="596"/>
      <c r="AK37" s="596"/>
      <c r="AL37" s="596"/>
      <c r="AM37" s="596"/>
      <c r="AN37" s="596"/>
      <c r="AO37" s="1053"/>
      <c r="AP37" s="1053"/>
      <c r="AQ37" s="1053"/>
      <c r="AR37" s="1057"/>
      <c r="AS37" s="1152" t="str">
        <f>IF('CALCULS Eaux usées'!J80&gt;0,"P","")</f>
        <v/>
      </c>
      <c r="AT37" s="1150"/>
      <c r="AU37" s="3327" t="str">
        <f>IF('CALCULS Eaux usées'!K80&gt;0,"P","")</f>
        <v/>
      </c>
      <c r="AV37" s="3327"/>
      <c r="AW37" s="3327"/>
      <c r="AX37" s="3327"/>
      <c r="AY37" s="595"/>
      <c r="BB37" s="2024"/>
      <c r="BD37" s="76"/>
      <c r="BE37" s="76"/>
      <c r="BF37" s="1079"/>
      <c r="BG37" s="76"/>
      <c r="BH37" s="76"/>
      <c r="BI37" s="76"/>
      <c r="BJ37" s="76"/>
      <c r="BK37" s="76"/>
      <c r="BL37" s="72"/>
      <c r="BM37" s="570"/>
      <c r="BN37" s="570"/>
      <c r="BO37" s="570"/>
      <c r="BP37" s="570"/>
      <c r="BQ37" s="570"/>
      <c r="BR37" s="1081"/>
      <c r="BS37" s="3324"/>
      <c r="BT37" s="3324"/>
      <c r="BU37" s="72"/>
      <c r="BV37" s="570"/>
      <c r="BW37" s="570"/>
      <c r="BX37" s="570"/>
      <c r="BY37" s="1081"/>
      <c r="BZ37" s="3325"/>
      <c r="CA37" s="3325"/>
      <c r="CB37" s="3325"/>
      <c r="CC37" s="393"/>
      <c r="CD37" s="2023"/>
      <c r="CE37" s="43"/>
    </row>
    <row r="38" spans="2:84" ht="17.25" customHeight="1" x14ac:dyDescent="0.25">
      <c r="B38" s="2007"/>
      <c r="C38" s="392"/>
      <c r="D38" s="3383"/>
      <c r="E38" s="3383"/>
      <c r="F38" s="3383"/>
      <c r="G38" s="3383"/>
      <c r="H38" s="3383"/>
      <c r="I38" s="3383"/>
      <c r="K38" s="3383"/>
      <c r="L38" s="3383"/>
      <c r="M38" s="3383"/>
      <c r="N38" s="3383"/>
      <c r="O38" s="3383"/>
      <c r="P38" s="3383"/>
      <c r="Q38" s="3383"/>
      <c r="R38" s="3383"/>
      <c r="S38" s="3383"/>
      <c r="T38" s="3383"/>
      <c r="U38" s="3390"/>
      <c r="V38" s="2020"/>
      <c r="W38" s="1066"/>
      <c r="Y38" s="1171" t="s">
        <v>1812</v>
      </c>
      <c r="Z38" s="1165"/>
      <c r="AA38" s="1166"/>
      <c r="AB38" s="1166"/>
      <c r="AC38" s="1166"/>
      <c r="AD38" s="1166"/>
      <c r="AE38" s="1166"/>
      <c r="AF38" s="1166"/>
      <c r="AG38" s="1166"/>
      <c r="AH38" s="1166"/>
      <c r="AI38" s="1166"/>
      <c r="AJ38" s="1167"/>
      <c r="AK38" s="1167"/>
      <c r="AL38" s="1167"/>
      <c r="AM38" s="1167"/>
      <c r="AN38" s="1167"/>
      <c r="AO38" s="1168"/>
      <c r="AP38" s="1168"/>
      <c r="AQ38" s="1168"/>
      <c r="AR38" s="1169"/>
      <c r="AS38" s="1172" t="str">
        <f>IF('CALCULS Eaux usées'!J81&gt;0,"P","")</f>
        <v/>
      </c>
      <c r="AT38" s="1170"/>
      <c r="AU38" s="3372" t="str">
        <f>IF('CALCULS Eaux usées'!K81&gt;0,"P","")</f>
        <v/>
      </c>
      <c r="AV38" s="3373"/>
      <c r="AW38" s="3373"/>
      <c r="AX38" s="3373"/>
      <c r="AY38" s="1166"/>
      <c r="BB38" s="2024"/>
      <c r="BD38" s="76"/>
      <c r="BE38" s="76"/>
      <c r="BF38" s="1079"/>
      <c r="BG38" s="76"/>
      <c r="BH38" s="76"/>
      <c r="BI38" s="76"/>
      <c r="BJ38" s="76"/>
      <c r="BK38" s="76"/>
      <c r="BL38" s="72"/>
      <c r="BM38" s="570"/>
      <c r="BN38" s="570"/>
      <c r="BO38" s="570"/>
      <c r="BP38" s="570"/>
      <c r="BQ38" s="570"/>
      <c r="BR38" s="1081"/>
      <c r="BS38" s="3324"/>
      <c r="BT38" s="3324"/>
      <c r="BU38" s="72"/>
      <c r="BV38" s="570"/>
      <c r="BW38" s="570"/>
      <c r="BX38" s="570"/>
      <c r="BY38" s="1081"/>
      <c r="BZ38" s="3325"/>
      <c r="CA38" s="3325"/>
      <c r="CB38" s="3325"/>
      <c r="CC38" s="393"/>
      <c r="CD38" s="2023"/>
      <c r="CE38" s="43"/>
    </row>
    <row r="39" spans="2:84" ht="6.75" customHeight="1" x14ac:dyDescent="0.25">
      <c r="B39" s="2007"/>
      <c r="C39" s="394"/>
      <c r="D39" s="395"/>
      <c r="E39" s="396"/>
      <c r="F39" s="396"/>
      <c r="G39" s="396"/>
      <c r="H39" s="396"/>
      <c r="I39" s="396"/>
      <c r="J39" s="396"/>
      <c r="K39" s="396"/>
      <c r="L39" s="396"/>
      <c r="M39" s="396"/>
      <c r="N39" s="396"/>
      <c r="O39" s="396"/>
      <c r="P39" s="396"/>
      <c r="Q39" s="396"/>
      <c r="R39" s="396"/>
      <c r="S39" s="163"/>
      <c r="T39" s="396"/>
      <c r="U39" s="397"/>
      <c r="V39" s="2029"/>
      <c r="W39" s="394"/>
      <c r="X39" s="396"/>
      <c r="Y39" s="163"/>
      <c r="Z39" s="163"/>
      <c r="AA39" s="163"/>
      <c r="AB39" s="163"/>
      <c r="AC39" s="396"/>
      <c r="AD39" s="396"/>
      <c r="AE39" s="396"/>
      <c r="AF39" s="396"/>
      <c r="AG39" s="396"/>
      <c r="AH39" s="396"/>
      <c r="AI39" s="396"/>
      <c r="AJ39" s="396"/>
      <c r="AK39" s="396"/>
      <c r="AL39" s="396"/>
      <c r="AM39" s="396"/>
      <c r="AN39" s="396"/>
      <c r="AO39" s="396"/>
      <c r="AP39" s="396"/>
      <c r="AQ39" s="396"/>
      <c r="AR39" s="396"/>
      <c r="AS39" s="396"/>
      <c r="AT39" s="396"/>
      <c r="AU39" s="162"/>
      <c r="AV39" s="163"/>
      <c r="AW39" s="163"/>
      <c r="AX39" s="396"/>
      <c r="AY39" s="162"/>
      <c r="AZ39" s="163"/>
      <c r="BA39" s="163"/>
      <c r="BB39" s="2020"/>
      <c r="BC39" s="163"/>
      <c r="BD39" s="163"/>
      <c r="BE39" s="396"/>
      <c r="BF39" s="396"/>
      <c r="BG39" s="396"/>
      <c r="BH39" s="396"/>
      <c r="BI39" s="396"/>
      <c r="BJ39" s="396"/>
      <c r="BK39" s="396"/>
      <c r="BL39" s="396"/>
      <c r="BM39" s="396"/>
      <c r="BN39" s="396"/>
      <c r="BO39" s="396"/>
      <c r="BP39" s="396"/>
      <c r="BQ39" s="396"/>
      <c r="BR39" s="396"/>
      <c r="BS39" s="396"/>
      <c r="BT39" s="396"/>
      <c r="BU39" s="396"/>
      <c r="BV39" s="396"/>
      <c r="BW39" s="396"/>
      <c r="BX39" s="396"/>
      <c r="BY39" s="396"/>
      <c r="BZ39" s="396"/>
      <c r="CA39" s="396"/>
      <c r="CB39" s="396"/>
      <c r="CC39" s="397"/>
      <c r="CD39" s="2023"/>
      <c r="CE39" s="43"/>
    </row>
    <row r="40" spans="2:84" ht="12.75" customHeight="1" x14ac:dyDescent="0.25">
      <c r="B40" s="2010"/>
      <c r="C40" s="2018"/>
      <c r="D40" s="2018"/>
      <c r="E40" s="2018"/>
      <c r="F40" s="2018"/>
      <c r="G40" s="2018"/>
      <c r="H40" s="2018"/>
      <c r="I40" s="2018"/>
      <c r="J40" s="2018"/>
      <c r="K40" s="2018"/>
      <c r="L40" s="2018"/>
      <c r="M40" s="2018"/>
      <c r="N40" s="2018"/>
      <c r="O40" s="2018"/>
      <c r="P40" s="2018"/>
      <c r="Q40" s="2018"/>
      <c r="R40" s="2018"/>
      <c r="S40" s="2018"/>
      <c r="T40" s="2025"/>
      <c r="U40" s="2025"/>
      <c r="V40" s="2025"/>
      <c r="W40" s="2025"/>
      <c r="X40" s="2025"/>
      <c r="Y40" s="2025"/>
      <c r="Z40" s="2025"/>
      <c r="AA40" s="2025"/>
      <c r="AB40" s="2025"/>
      <c r="AC40" s="2025"/>
      <c r="AD40" s="2025"/>
      <c r="AE40" s="2025"/>
      <c r="AF40" s="2025"/>
      <c r="AG40" s="2025"/>
      <c r="AH40" s="2025"/>
      <c r="AI40" s="2025"/>
      <c r="AJ40" s="2025"/>
      <c r="AK40" s="2025"/>
      <c r="AL40" s="2025"/>
      <c r="AM40" s="2025"/>
      <c r="AN40" s="2025"/>
      <c r="AO40" s="2025"/>
      <c r="AP40" s="2025"/>
      <c r="AQ40" s="2025"/>
      <c r="AR40" s="2025"/>
      <c r="AS40" s="2025"/>
      <c r="AT40" s="2025"/>
      <c r="AU40" s="2025"/>
      <c r="AV40" s="2025"/>
      <c r="AW40" s="2025"/>
      <c r="AX40" s="2025"/>
      <c r="AY40" s="2025"/>
      <c r="AZ40" s="2025"/>
      <c r="BA40" s="2025"/>
      <c r="BB40" s="2025"/>
      <c r="BC40" s="2018"/>
      <c r="BD40" s="2018"/>
      <c r="BE40" s="2018"/>
      <c r="BF40" s="2018"/>
      <c r="BG40" s="2018"/>
      <c r="BH40" s="2018"/>
      <c r="BI40" s="2018"/>
      <c r="BJ40" s="2018"/>
      <c r="BK40" s="2018"/>
      <c r="BL40" s="2018"/>
      <c r="BM40" s="2018"/>
      <c r="BN40" s="2018"/>
      <c r="BO40" s="2018"/>
      <c r="BP40" s="2018"/>
      <c r="BQ40" s="2018"/>
      <c r="BR40" s="2018"/>
      <c r="BS40" s="2018"/>
      <c r="BT40" s="2018"/>
      <c r="BU40" s="2018"/>
      <c r="BV40" s="2018"/>
      <c r="BW40" s="2018"/>
      <c r="BX40" s="2018"/>
      <c r="BY40" s="2018"/>
      <c r="BZ40" s="2018"/>
      <c r="CA40" s="2018"/>
      <c r="CB40" s="2018"/>
      <c r="CC40" s="2018"/>
      <c r="CD40" s="2019"/>
      <c r="CE40" s="43"/>
    </row>
    <row r="41" spans="2:84" ht="15.75" customHeight="1" x14ac:dyDescent="0.25">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row>
    <row r="42" spans="2:84" ht="22.5" customHeight="1" x14ac:dyDescent="0.25">
      <c r="B42" s="1890"/>
      <c r="C42" s="1891" t="s">
        <v>28</v>
      </c>
      <c r="D42" s="1892"/>
      <c r="E42" s="1892"/>
      <c r="F42" s="1892"/>
      <c r="G42" s="1892"/>
      <c r="H42" s="1892"/>
      <c r="I42" s="1892"/>
      <c r="J42" s="1892"/>
      <c r="K42" s="1892"/>
      <c r="L42" s="1892"/>
      <c r="M42" s="1892"/>
      <c r="N42" s="1892"/>
      <c r="O42" s="1892"/>
      <c r="P42" s="1892"/>
      <c r="Q42" s="1892"/>
      <c r="R42" s="1892"/>
      <c r="S42" s="1892"/>
      <c r="T42" s="1894"/>
      <c r="U42" s="3411"/>
      <c r="V42" s="3411"/>
      <c r="W42" s="3411"/>
      <c r="X42" s="3411"/>
      <c r="Y42" s="1892"/>
      <c r="Z42" s="1907"/>
      <c r="AA42" s="1892"/>
      <c r="AB42" s="1892"/>
      <c r="AC42" s="1892"/>
      <c r="AD42" s="1892"/>
      <c r="AE42" s="1892"/>
      <c r="AF42" s="1907"/>
      <c r="AG42" s="1892"/>
      <c r="AH42" s="1892"/>
      <c r="AI42" s="1892"/>
      <c r="AJ42" s="1892"/>
      <c r="AK42" s="1892"/>
      <c r="AL42" s="1892"/>
      <c r="AM42" s="1892"/>
      <c r="AN42" s="1892"/>
      <c r="AO42" s="55"/>
      <c r="AP42" s="1892"/>
      <c r="AQ42" s="1908" t="s">
        <v>52</v>
      </c>
      <c r="AR42" s="1909"/>
      <c r="AS42" s="1894"/>
      <c r="AT42" s="1894"/>
      <c r="AU42" s="3411"/>
      <c r="AV42" s="3411"/>
      <c r="AW42" s="3411"/>
      <c r="AX42" s="3411"/>
      <c r="AY42" s="3411"/>
      <c r="AZ42" s="3411"/>
      <c r="BA42" s="3411"/>
      <c r="BB42" s="3411"/>
      <c r="BC42" s="3411"/>
      <c r="BD42" s="3411"/>
      <c r="BE42" s="3411"/>
      <c r="BF42" s="3411"/>
      <c r="BG42" s="3411"/>
      <c r="BH42" s="3411"/>
      <c r="BI42" s="1892"/>
      <c r="BJ42" s="1892"/>
      <c r="BK42" s="1892"/>
      <c r="BL42" s="1892"/>
      <c r="BM42" s="1892"/>
      <c r="BN42" s="1892"/>
      <c r="BO42" s="1892"/>
      <c r="BP42" s="1892"/>
      <c r="BQ42" s="1892"/>
      <c r="BR42" s="1892"/>
      <c r="BS42" s="1892"/>
      <c r="BT42" s="1892"/>
      <c r="BU42" s="1892"/>
      <c r="BV42" s="1892"/>
      <c r="BW42" s="1892"/>
      <c r="BX42" s="1892"/>
      <c r="BY42" s="1892"/>
      <c r="BZ42" s="1894"/>
      <c r="CA42" s="1890"/>
      <c r="CB42" s="3410"/>
      <c r="CC42" s="3410"/>
      <c r="CD42" s="1892"/>
    </row>
    <row r="43" spans="2:84" ht="6.75" customHeight="1" x14ac:dyDescent="0.25"/>
    <row r="44" spans="2:84" ht="14.25" customHeight="1" x14ac:dyDescent="0.25">
      <c r="B44" s="2009"/>
      <c r="C44" s="2011"/>
      <c r="D44" s="2011"/>
      <c r="E44" s="2011"/>
      <c r="F44" s="2011"/>
      <c r="G44" s="2011"/>
      <c r="H44" s="2011"/>
      <c r="I44" s="2011"/>
      <c r="J44" s="2011"/>
      <c r="K44" s="2011"/>
      <c r="L44" s="2011"/>
      <c r="M44" s="2011"/>
      <c r="N44" s="2011"/>
      <c r="O44" s="2011"/>
      <c r="P44" s="2011"/>
      <c r="Q44" s="2011"/>
      <c r="R44" s="2011"/>
      <c r="S44" s="2011"/>
      <c r="T44" s="2011"/>
      <c r="U44" s="2011"/>
      <c r="V44" s="2011"/>
      <c r="W44" s="2011"/>
      <c r="X44" s="2011"/>
      <c r="Y44" s="2011"/>
      <c r="Z44" s="2011"/>
      <c r="AA44" s="2011"/>
      <c r="AB44" s="2011"/>
      <c r="AC44" s="2011"/>
      <c r="AD44" s="2011"/>
      <c r="AE44" s="2011"/>
      <c r="AF44" s="2011"/>
      <c r="AG44" s="2030"/>
      <c r="AH44" s="2030"/>
      <c r="AI44" s="2030"/>
      <c r="AJ44" s="2030"/>
      <c r="AK44" s="2030"/>
      <c r="AL44" s="2030"/>
      <c r="AM44" s="2030"/>
      <c r="AN44" s="2030"/>
      <c r="AO44" s="110"/>
      <c r="AP44" s="2030"/>
      <c r="AQ44" s="2030"/>
      <c r="AR44" s="2030"/>
      <c r="AS44" s="2030"/>
      <c r="AT44" s="2030"/>
      <c r="AU44" s="2030"/>
      <c r="AV44" s="2030"/>
      <c r="AW44" s="2030"/>
      <c r="AX44" s="2030"/>
      <c r="AY44" s="2030"/>
      <c r="AZ44" s="2030"/>
      <c r="BA44" s="2011"/>
      <c r="BB44" s="2011"/>
      <c r="BC44" s="2011"/>
      <c r="BD44" s="2011"/>
      <c r="BE44" s="2011"/>
      <c r="BF44" s="2011"/>
      <c r="BG44" s="2011"/>
      <c r="BH44" s="2011"/>
      <c r="BI44" s="2011"/>
      <c r="BJ44" s="2011"/>
      <c r="BK44" s="2011"/>
      <c r="BL44" s="2011"/>
      <c r="BM44" s="2011"/>
      <c r="BN44" s="2011"/>
      <c r="BO44" s="2011"/>
      <c r="BP44" s="2011"/>
      <c r="BQ44" s="2011"/>
      <c r="BR44" s="2011"/>
      <c r="BS44" s="2011"/>
      <c r="BT44" s="2011"/>
      <c r="BU44" s="2011"/>
      <c r="BV44" s="2011"/>
      <c r="BW44" s="2011"/>
      <c r="BX44" s="2011"/>
      <c r="BY44" s="2011"/>
      <c r="BZ44" s="2011"/>
      <c r="CA44" s="2011"/>
      <c r="CB44" s="2011"/>
      <c r="CC44" s="2011"/>
      <c r="CD44" s="2012"/>
      <c r="CE44" s="43"/>
    </row>
    <row r="45" spans="2:84" ht="9.75" customHeight="1" x14ac:dyDescent="0.25">
      <c r="B45" s="2007"/>
      <c r="C45" s="45"/>
      <c r="D45" s="46"/>
      <c r="E45" s="46"/>
      <c r="F45" s="46"/>
      <c r="G45" s="46"/>
      <c r="H45" s="46"/>
      <c r="I45" s="46"/>
      <c r="J45" s="46"/>
      <c r="K45" s="46"/>
      <c r="L45" s="46"/>
      <c r="M45" s="46"/>
      <c r="N45" s="46"/>
      <c r="O45" s="46"/>
      <c r="P45" s="46"/>
      <c r="Q45" s="46"/>
      <c r="R45" s="46"/>
      <c r="S45" s="46"/>
      <c r="T45" s="46"/>
      <c r="U45" s="111"/>
      <c r="V45" s="111"/>
      <c r="W45" s="111"/>
      <c r="X45" s="111"/>
      <c r="Y45" s="111"/>
      <c r="Z45" s="111"/>
      <c r="AA45" s="111"/>
      <c r="AB45" s="111"/>
      <c r="AC45" s="111"/>
      <c r="AD45" s="111"/>
      <c r="AE45" s="111"/>
      <c r="AF45" s="111"/>
      <c r="AG45" s="111"/>
      <c r="AH45" s="111"/>
      <c r="AI45" s="111"/>
      <c r="AJ45" s="111"/>
      <c r="AK45" s="111"/>
      <c r="AL45" s="111"/>
      <c r="AM45" s="112"/>
      <c r="AN45" s="2031"/>
      <c r="AO45" s="110"/>
      <c r="AP45" s="2031"/>
      <c r="AQ45" s="113"/>
      <c r="AR45" s="111"/>
      <c r="AS45" s="111"/>
      <c r="AT45" s="111"/>
      <c r="AU45" s="111"/>
      <c r="AV45" s="111"/>
      <c r="AW45" s="111"/>
      <c r="AX45" s="111"/>
      <c r="AY45" s="111"/>
      <c r="AZ45" s="111"/>
      <c r="BA45" s="111"/>
      <c r="BB45" s="111"/>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7"/>
      <c r="CD45" s="2023"/>
      <c r="CE45" s="43"/>
    </row>
    <row r="46" spans="2:84" ht="18" customHeight="1" x14ac:dyDescent="0.25">
      <c r="B46" s="2007"/>
      <c r="C46" s="101"/>
      <c r="D46" s="51" t="s">
        <v>1836</v>
      </c>
      <c r="E46" s="59"/>
      <c r="F46" s="59"/>
      <c r="G46" s="59"/>
      <c r="H46" s="59"/>
      <c r="I46" s="59"/>
      <c r="J46" s="59"/>
      <c r="K46" s="59"/>
      <c r="L46" s="59"/>
      <c r="M46" s="59"/>
      <c r="N46" s="59"/>
      <c r="O46" s="59"/>
      <c r="P46" s="59"/>
      <c r="Q46" s="59"/>
      <c r="R46" s="59"/>
      <c r="S46" s="59"/>
      <c r="T46" s="59"/>
      <c r="U46" s="59"/>
      <c r="V46" s="59"/>
      <c r="W46" s="59"/>
      <c r="X46" s="59"/>
      <c r="Y46" s="59"/>
      <c r="Z46" s="55"/>
      <c r="AA46" s="59"/>
      <c r="AB46" s="57"/>
      <c r="AC46" s="59"/>
      <c r="AD46" s="59"/>
      <c r="AE46" s="59"/>
      <c r="AF46" s="59"/>
      <c r="AG46" s="59"/>
      <c r="AH46" s="59"/>
      <c r="AI46" s="59"/>
      <c r="AJ46" s="3322">
        <f>'CALCULS Eaux usées'!L148</f>
        <v>0</v>
      </c>
      <c r="AK46" s="3322"/>
      <c r="AL46" s="3322"/>
      <c r="AM46" s="114"/>
      <c r="AN46" s="2031"/>
      <c r="AO46" s="110"/>
      <c r="AP46" s="2031"/>
      <c r="AQ46" s="115"/>
      <c r="AR46" s="102" t="s">
        <v>1837</v>
      </c>
      <c r="AU46" s="59"/>
      <c r="AV46" s="59"/>
      <c r="AW46" s="59"/>
      <c r="AX46" s="59"/>
      <c r="AY46" s="59"/>
      <c r="AZ46" s="55"/>
      <c r="BA46" s="59"/>
      <c r="BB46" s="57"/>
      <c r="BC46" s="59"/>
      <c r="BE46" s="59"/>
      <c r="BG46" s="59"/>
      <c r="BH46" s="59"/>
      <c r="BI46" s="59"/>
      <c r="BJ46" s="59"/>
      <c r="BK46" s="59"/>
      <c r="BL46" s="59"/>
      <c r="BM46" s="59"/>
      <c r="BN46" s="59"/>
      <c r="BO46" s="59"/>
      <c r="BP46" s="59"/>
      <c r="BQ46" s="59"/>
      <c r="BR46" s="59"/>
      <c r="BS46" s="59"/>
      <c r="BT46" s="59"/>
      <c r="BU46" s="59"/>
      <c r="BV46" s="59"/>
      <c r="BW46" s="59"/>
      <c r="BX46" s="59"/>
      <c r="BY46" s="59"/>
      <c r="BZ46" s="3322">
        <f>'CALCULS Eaux usées'!L117</f>
        <v>0</v>
      </c>
      <c r="CA46" s="3322"/>
      <c r="CB46" s="3322"/>
      <c r="CC46" s="61"/>
      <c r="CD46" s="2023"/>
      <c r="CE46" s="43"/>
      <c r="CF46" s="55"/>
    </row>
    <row r="47" spans="2:84" ht="9" customHeight="1" x14ac:dyDescent="0.25">
      <c r="B47" s="2007"/>
      <c r="C47" s="50"/>
      <c r="D47" s="52"/>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114"/>
      <c r="AN47" s="2031"/>
      <c r="AO47" s="110"/>
      <c r="AP47" s="2031"/>
      <c r="AQ47" s="115"/>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61"/>
      <c r="CD47" s="2023"/>
      <c r="CE47" s="43"/>
    </row>
    <row r="48" spans="2:84" ht="140.25" customHeight="1" x14ac:dyDescent="0.25">
      <c r="B48" s="2007"/>
      <c r="C48" s="50"/>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114"/>
      <c r="AN48" s="2031"/>
      <c r="AO48" s="110"/>
      <c r="AP48" s="2031"/>
      <c r="AQ48" s="115"/>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61"/>
      <c r="CD48" s="2023"/>
      <c r="CE48" s="43"/>
    </row>
    <row r="49" spans="2:83" ht="12" customHeight="1" x14ac:dyDescent="0.25">
      <c r="B49" s="2007"/>
      <c r="C49" s="91"/>
      <c r="D49" s="105"/>
      <c r="E49" s="92"/>
      <c r="F49" s="92"/>
      <c r="G49" s="92"/>
      <c r="H49" s="92"/>
      <c r="I49" s="92"/>
      <c r="J49" s="92"/>
      <c r="K49" s="92"/>
      <c r="L49" s="92"/>
      <c r="M49" s="92"/>
      <c r="N49" s="92"/>
      <c r="O49" s="92"/>
      <c r="P49" s="92"/>
      <c r="Q49" s="92"/>
      <c r="R49" s="92"/>
      <c r="S49" s="92"/>
      <c r="T49" s="92"/>
      <c r="U49" s="116"/>
      <c r="V49" s="116"/>
      <c r="W49" s="116"/>
      <c r="X49" s="116"/>
      <c r="Y49" s="116"/>
      <c r="Z49" s="116"/>
      <c r="AA49" s="116"/>
      <c r="AB49" s="116"/>
      <c r="AC49" s="116"/>
      <c r="AD49" s="116"/>
      <c r="AE49" s="116"/>
      <c r="AF49" s="116"/>
      <c r="AG49" s="116"/>
      <c r="AH49" s="116"/>
      <c r="AI49" s="116"/>
      <c r="AJ49" s="116"/>
      <c r="AK49" s="116"/>
      <c r="AL49" s="116"/>
      <c r="AM49" s="117"/>
      <c r="AN49" s="2031"/>
      <c r="AO49" s="110"/>
      <c r="AP49" s="2031"/>
      <c r="AQ49" s="118"/>
      <c r="AR49" s="116"/>
      <c r="AS49" s="116"/>
      <c r="AT49" s="116"/>
      <c r="AU49" s="116"/>
      <c r="AV49" s="116"/>
      <c r="AW49" s="116"/>
      <c r="AX49" s="116"/>
      <c r="AY49" s="116"/>
      <c r="AZ49" s="116"/>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3"/>
      <c r="CD49" s="2023"/>
      <c r="CE49" s="43"/>
    </row>
    <row r="50" spans="2:83" ht="12.75" customHeight="1" x14ac:dyDescent="0.25">
      <c r="B50" s="2010"/>
      <c r="C50" s="2018"/>
      <c r="D50" s="2018"/>
      <c r="E50" s="2018"/>
      <c r="F50" s="2018"/>
      <c r="G50" s="2018"/>
      <c r="H50" s="2018"/>
      <c r="I50" s="2018"/>
      <c r="J50" s="2018"/>
      <c r="K50" s="2018"/>
      <c r="L50" s="2018"/>
      <c r="M50" s="2018"/>
      <c r="N50" s="2018"/>
      <c r="O50" s="2018"/>
      <c r="P50" s="2018"/>
      <c r="Q50" s="2018"/>
      <c r="R50" s="2018"/>
      <c r="S50" s="2018"/>
      <c r="T50" s="2018"/>
      <c r="U50" s="2018"/>
      <c r="V50" s="2018"/>
      <c r="W50" s="2018"/>
      <c r="X50" s="2018"/>
      <c r="Y50" s="2018"/>
      <c r="Z50" s="2018"/>
      <c r="AA50" s="2018"/>
      <c r="AB50" s="2018"/>
      <c r="AC50" s="2018"/>
      <c r="AD50" s="2018"/>
      <c r="AE50" s="2018"/>
      <c r="AF50" s="2018"/>
      <c r="AG50" s="2032"/>
      <c r="AH50" s="2032"/>
      <c r="AI50" s="2032"/>
      <c r="AJ50" s="2032"/>
      <c r="AK50" s="2032"/>
      <c r="AL50" s="2032"/>
      <c r="AM50" s="2032"/>
      <c r="AN50" s="2032"/>
      <c r="AO50" s="110"/>
      <c r="AP50" s="2032"/>
      <c r="AQ50" s="2032"/>
      <c r="AR50" s="2032"/>
      <c r="AS50" s="2032"/>
      <c r="AT50" s="2032"/>
      <c r="AU50" s="2032"/>
      <c r="AV50" s="2032"/>
      <c r="AW50" s="2032"/>
      <c r="AX50" s="2032"/>
      <c r="AY50" s="2032"/>
      <c r="AZ50" s="2032"/>
      <c r="BA50" s="2018"/>
      <c r="BB50" s="2018"/>
      <c r="BC50" s="2018"/>
      <c r="BD50" s="2018"/>
      <c r="BE50" s="2018"/>
      <c r="BF50" s="2018"/>
      <c r="BG50" s="2018"/>
      <c r="BH50" s="2018"/>
      <c r="BI50" s="2018"/>
      <c r="BJ50" s="2018"/>
      <c r="BK50" s="2018"/>
      <c r="BL50" s="2018"/>
      <c r="BM50" s="2018"/>
      <c r="BN50" s="2018"/>
      <c r="BO50" s="2018"/>
      <c r="BP50" s="2018"/>
      <c r="BQ50" s="2018"/>
      <c r="BR50" s="2018"/>
      <c r="BS50" s="2018"/>
      <c r="BT50" s="2018"/>
      <c r="BU50" s="2018"/>
      <c r="BV50" s="2018"/>
      <c r="BW50" s="2018"/>
      <c r="BX50" s="2018"/>
      <c r="BY50" s="2018"/>
      <c r="BZ50" s="2018"/>
      <c r="CA50" s="2018"/>
      <c r="CB50" s="2018"/>
      <c r="CC50" s="2018"/>
      <c r="CD50" s="2019"/>
      <c r="CE50" s="43"/>
    </row>
    <row r="51" spans="2:83" ht="15.75" customHeight="1" x14ac:dyDescent="0.25">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row>
    <row r="52" spans="2:83" ht="22.5" customHeight="1" x14ac:dyDescent="0.25">
      <c r="B52" s="1890"/>
      <c r="C52" s="1891" t="s">
        <v>1841</v>
      </c>
      <c r="D52" s="1892"/>
      <c r="E52" s="1892"/>
      <c r="F52" s="1892"/>
      <c r="G52" s="1892"/>
      <c r="H52" s="1892"/>
      <c r="I52" s="1892"/>
      <c r="J52" s="1892"/>
      <c r="K52" s="1892"/>
      <c r="L52" s="1892"/>
      <c r="M52" s="1892"/>
      <c r="N52" s="1892"/>
      <c r="O52" s="1892"/>
      <c r="P52" s="1892"/>
      <c r="Q52" s="1892"/>
      <c r="R52" s="1892"/>
      <c r="S52" s="1892"/>
      <c r="T52" s="1892"/>
      <c r="U52" s="1892"/>
      <c r="V52" s="1892"/>
      <c r="W52" s="1892"/>
      <c r="X52" s="1892"/>
      <c r="Y52" s="1892"/>
      <c r="Z52" s="1892"/>
      <c r="AA52" s="1892"/>
      <c r="AB52" s="1892"/>
      <c r="AC52" s="1892"/>
      <c r="AD52" s="1892"/>
      <c r="AE52" s="1892"/>
      <c r="AF52" s="1892"/>
      <c r="AG52" s="1892"/>
      <c r="AH52" s="1892"/>
      <c r="AI52" s="1892"/>
      <c r="AJ52" s="1892"/>
      <c r="AK52" s="1892"/>
      <c r="AL52" s="1892"/>
      <c r="AM52" s="1892"/>
      <c r="AN52" s="1892"/>
      <c r="AO52" s="1892"/>
      <c r="AP52" s="1892"/>
      <c r="AQ52" s="1893"/>
      <c r="AR52" s="1893"/>
      <c r="AS52" s="1892"/>
      <c r="AT52" s="1892"/>
      <c r="AU52" s="1892"/>
      <c r="AV52" s="1892"/>
      <c r="AW52" s="1892"/>
      <c r="AX52" s="1892"/>
      <c r="AY52" s="1892"/>
      <c r="AZ52" s="1892"/>
      <c r="BA52" s="1892"/>
      <c r="BB52" s="1892"/>
      <c r="BC52" s="1892"/>
      <c r="BD52" s="1892"/>
      <c r="BE52" s="1892"/>
      <c r="BF52" s="1892"/>
      <c r="BG52" s="1892"/>
      <c r="BH52" s="1892"/>
      <c r="BI52" s="1892"/>
      <c r="BJ52" s="1892"/>
      <c r="BK52" s="1892"/>
      <c r="BL52" s="1892"/>
      <c r="BM52" s="1892"/>
      <c r="BN52" s="1892"/>
      <c r="BO52" s="1892"/>
      <c r="BP52" s="1892"/>
      <c r="BQ52" s="1892"/>
      <c r="BR52" s="1892"/>
      <c r="BS52" s="1892"/>
      <c r="BT52" s="1892"/>
      <c r="BU52" s="1892"/>
      <c r="BV52" s="1892"/>
      <c r="BW52" s="1892"/>
      <c r="BX52" s="1892"/>
      <c r="BY52" s="1890"/>
      <c r="BZ52" s="1894"/>
      <c r="CA52" s="1890"/>
      <c r="CB52" s="3410"/>
      <c r="CC52" s="3410"/>
      <c r="CD52" s="1892"/>
    </row>
    <row r="53" spans="2:83" ht="6.75" customHeight="1" x14ac:dyDescent="0.25"/>
    <row r="54" spans="2:83" ht="15" customHeight="1" x14ac:dyDescent="0.25">
      <c r="B54" s="2009"/>
      <c r="C54" s="2011"/>
      <c r="D54" s="2011"/>
      <c r="E54" s="2011"/>
      <c r="F54" s="2011"/>
      <c r="G54" s="2011"/>
      <c r="H54" s="2011"/>
      <c r="I54" s="2011"/>
      <c r="J54" s="2011"/>
      <c r="K54" s="2011"/>
      <c r="L54" s="2011"/>
      <c r="M54" s="2011"/>
      <c r="N54" s="2011"/>
      <c r="O54" s="2011"/>
      <c r="P54" s="2011"/>
      <c r="Q54" s="2011"/>
      <c r="R54" s="2011"/>
      <c r="S54" s="2011"/>
      <c r="T54" s="2011"/>
      <c r="U54" s="2011"/>
      <c r="V54" s="2011"/>
      <c r="W54" s="2011"/>
      <c r="X54" s="2011"/>
      <c r="Y54" s="2011"/>
      <c r="Z54" s="2011"/>
      <c r="AA54" s="2011"/>
      <c r="AB54" s="2011"/>
      <c r="AC54" s="2011"/>
      <c r="AD54" s="2011"/>
      <c r="AE54" s="2011"/>
      <c r="AF54" s="2011"/>
      <c r="AG54" s="2011"/>
      <c r="AH54" s="2011"/>
      <c r="AI54" s="2011"/>
      <c r="AJ54" s="2011"/>
      <c r="AK54" s="2011"/>
      <c r="AL54" s="2011"/>
      <c r="AM54" s="2011"/>
      <c r="AN54" s="2011"/>
      <c r="AO54" s="2011"/>
      <c r="AP54" s="2011"/>
      <c r="AQ54" s="2011"/>
      <c r="AR54" s="2011"/>
      <c r="AS54" s="2011"/>
      <c r="AT54" s="2011"/>
      <c r="AU54" s="2011"/>
      <c r="AV54" s="2011"/>
      <c r="AW54" s="2011"/>
      <c r="AX54" s="2011"/>
      <c r="AY54" s="2011"/>
      <c r="AZ54" s="2011"/>
      <c r="BA54" s="2011"/>
      <c r="BB54" s="2011"/>
      <c r="BC54" s="2011"/>
      <c r="BD54" s="2011"/>
      <c r="BE54" s="2011"/>
      <c r="BF54" s="2011"/>
      <c r="BG54" s="2011"/>
      <c r="BH54" s="2011"/>
      <c r="BI54" s="2011"/>
      <c r="BJ54" s="2011"/>
      <c r="BK54" s="2011"/>
      <c r="BL54" s="2011"/>
      <c r="BM54" s="2011"/>
      <c r="BN54" s="2011"/>
      <c r="BO54" s="2011"/>
      <c r="BP54" s="2011"/>
      <c r="BQ54" s="2011"/>
      <c r="BR54" s="2011"/>
      <c r="BS54" s="2011"/>
      <c r="BT54" s="2011"/>
      <c r="BU54" s="2011"/>
      <c r="BV54" s="2011"/>
      <c r="BW54" s="2011"/>
      <c r="BX54" s="2011"/>
      <c r="BY54" s="2011"/>
      <c r="BZ54" s="2011"/>
      <c r="CA54" s="2011"/>
      <c r="CB54" s="2011"/>
      <c r="CC54" s="2011"/>
      <c r="CD54" s="2012"/>
      <c r="CE54" s="43"/>
    </row>
    <row r="55" spans="2:83" ht="9" customHeight="1" x14ac:dyDescent="0.25">
      <c r="B55" s="2007"/>
      <c r="C55" s="45"/>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7"/>
      <c r="AD55" s="2026"/>
      <c r="AE55" s="45"/>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7"/>
      <c r="BI55" s="2031"/>
      <c r="BJ55" s="45"/>
      <c r="BK55" s="46"/>
      <c r="BL55" s="46"/>
      <c r="BM55" s="46"/>
      <c r="BN55" s="46"/>
      <c r="BO55" s="46"/>
      <c r="BP55" s="46"/>
      <c r="BQ55" s="46"/>
      <c r="BR55" s="46"/>
      <c r="BS55" s="46"/>
      <c r="BT55" s="46"/>
      <c r="BU55" s="46"/>
      <c r="BV55" s="46"/>
      <c r="BW55" s="46"/>
      <c r="BX55" s="46"/>
      <c r="BY55" s="46"/>
      <c r="BZ55" s="46"/>
      <c r="CA55" s="46"/>
      <c r="CB55" s="46"/>
      <c r="CC55" s="47"/>
      <c r="CD55" s="2023"/>
      <c r="CE55" s="43"/>
    </row>
    <row r="56" spans="2:83" ht="19.5" customHeight="1" x14ac:dyDescent="0.25">
      <c r="B56" s="2007"/>
      <c r="C56" s="50"/>
      <c r="D56" s="1158" t="s">
        <v>1838</v>
      </c>
      <c r="E56" s="59"/>
      <c r="F56" s="59"/>
      <c r="G56" s="59"/>
      <c r="H56" s="59"/>
      <c r="I56" s="59"/>
      <c r="J56" s="59"/>
      <c r="K56" s="59"/>
      <c r="L56" s="59"/>
      <c r="M56" s="59"/>
      <c r="N56" s="59"/>
      <c r="O56" s="59"/>
      <c r="P56" s="59"/>
      <c r="Q56" s="59"/>
      <c r="R56" s="59"/>
      <c r="S56" s="59"/>
      <c r="T56" s="76"/>
      <c r="U56" s="76"/>
      <c r="V56" s="55"/>
      <c r="W56" s="76"/>
      <c r="X56" s="76"/>
      <c r="Y56" s="76"/>
      <c r="Z56" s="3323">
        <f>'CALCULS Eaux usées'!H203</f>
        <v>0</v>
      </c>
      <c r="AA56" s="3323"/>
      <c r="AB56" s="3323"/>
      <c r="AC56" s="120"/>
      <c r="AD56" s="2037"/>
      <c r="AE56" s="122"/>
      <c r="AF56" s="1159" t="s">
        <v>1839</v>
      </c>
      <c r="AG56" s="1164"/>
      <c r="AH56" s="1164"/>
      <c r="AI56" s="123"/>
      <c r="AJ56" s="1164"/>
      <c r="AK56" s="1164"/>
      <c r="AL56" s="1164"/>
      <c r="AM56" s="124"/>
      <c r="AN56" s="124"/>
      <c r="AO56" s="124"/>
      <c r="AP56" s="124"/>
      <c r="AQ56" s="124"/>
      <c r="AR56" s="124"/>
      <c r="AS56" s="125"/>
      <c r="AT56" s="125"/>
      <c r="AU56" s="124"/>
      <c r="AV56" s="124"/>
      <c r="AW56" s="124"/>
      <c r="AX56" s="124"/>
      <c r="AY56" s="59"/>
      <c r="AZ56" s="59"/>
      <c r="BA56" s="59"/>
      <c r="BB56" s="59"/>
      <c r="BC56" s="59"/>
      <c r="BD56" s="57"/>
      <c r="BE56" s="59"/>
      <c r="BF56" s="59"/>
      <c r="BG56" s="59"/>
      <c r="BH56" s="61"/>
      <c r="BI56" s="2031"/>
      <c r="BJ56" s="1160" t="s">
        <v>1888</v>
      </c>
      <c r="BL56" s="76"/>
      <c r="BM56" s="76"/>
      <c r="BN56" s="76"/>
      <c r="BO56" s="76"/>
      <c r="BP56" s="76"/>
      <c r="BQ56" s="103"/>
      <c r="BR56" s="76"/>
      <c r="BS56" s="76"/>
      <c r="BT56" s="76"/>
      <c r="BU56" s="126"/>
      <c r="BV56" s="76"/>
      <c r="BW56" s="76"/>
      <c r="BX56" s="76"/>
      <c r="BY56" s="59"/>
      <c r="BZ56" s="76"/>
      <c r="CA56" s="59"/>
      <c r="CB56" s="59"/>
      <c r="CC56" s="61"/>
      <c r="CD56" s="2023"/>
      <c r="CE56" s="43"/>
    </row>
    <row r="57" spans="2:83" ht="21" customHeight="1" x14ac:dyDescent="0.25">
      <c r="B57" s="2007"/>
      <c r="C57" s="50"/>
      <c r="D57" s="124"/>
      <c r="E57" s="59"/>
      <c r="F57" s="59"/>
      <c r="G57" s="59"/>
      <c r="H57" s="59"/>
      <c r="I57" s="59"/>
      <c r="J57" s="59"/>
      <c r="K57" s="59"/>
      <c r="L57" s="59"/>
      <c r="M57" s="59"/>
      <c r="N57" s="59"/>
      <c r="O57" s="59"/>
      <c r="P57" s="59"/>
      <c r="Q57" s="59"/>
      <c r="R57" s="59"/>
      <c r="S57" s="59"/>
      <c r="T57" s="59"/>
      <c r="U57" s="59"/>
      <c r="V57" s="59"/>
      <c r="W57" s="59"/>
      <c r="X57" s="59"/>
      <c r="Y57" s="59"/>
      <c r="Z57" s="59"/>
      <c r="AA57" s="59"/>
      <c r="AB57" s="55"/>
      <c r="AC57" s="120"/>
      <c r="AD57" s="2037"/>
      <c r="AE57" s="122"/>
      <c r="AF57" s="127"/>
      <c r="AG57" s="127"/>
      <c r="AH57" s="127"/>
      <c r="AI57" s="127"/>
      <c r="AJ57" s="127"/>
      <c r="AK57" s="127"/>
      <c r="AL57" s="127"/>
      <c r="AM57" s="59"/>
      <c r="AN57" s="59"/>
      <c r="AO57" s="59"/>
      <c r="AP57" s="59"/>
      <c r="AQ57" s="423" t="s">
        <v>128</v>
      </c>
      <c r="AS57" s="423"/>
      <c r="AT57" s="423"/>
      <c r="AU57" s="3349" t="s">
        <v>129</v>
      </c>
      <c r="AV57" s="3349"/>
      <c r="AW57" s="3349"/>
      <c r="AX57" s="3349"/>
      <c r="AY57" s="3349"/>
      <c r="AZ57" s="3349"/>
      <c r="BA57" s="434"/>
      <c r="BB57" s="434"/>
      <c r="BC57" s="434"/>
      <c r="BD57" s="3349" t="s">
        <v>171</v>
      </c>
      <c r="BE57" s="3349"/>
      <c r="BF57" s="3349"/>
      <c r="BG57" s="128"/>
      <c r="BH57" s="61"/>
      <c r="BI57" s="2031"/>
      <c r="BJ57" s="180" t="s">
        <v>1887</v>
      </c>
      <c r="BL57" s="59"/>
      <c r="BM57" s="59"/>
      <c r="BN57" s="59"/>
      <c r="BO57" s="59"/>
      <c r="BP57" s="59"/>
      <c r="BQ57" s="59"/>
      <c r="BR57" s="128"/>
      <c r="BS57" s="128"/>
      <c r="BT57" s="128"/>
      <c r="BU57" s="128"/>
      <c r="BV57" s="128"/>
      <c r="BW57" s="128"/>
      <c r="BX57" s="128"/>
      <c r="BY57" s="59"/>
      <c r="BZ57" s="59"/>
      <c r="CA57" s="59"/>
      <c r="CB57" s="129"/>
      <c r="CC57" s="61"/>
      <c r="CD57" s="2023"/>
      <c r="CE57" s="43"/>
    </row>
    <row r="58" spans="2:83" ht="7.5" customHeight="1" x14ac:dyDescent="0.25">
      <c r="B58" s="2007"/>
      <c r="C58" s="50"/>
      <c r="D58" s="124"/>
      <c r="E58" s="59"/>
      <c r="F58" s="59"/>
      <c r="G58" s="59"/>
      <c r="H58" s="59"/>
      <c r="I58" s="59"/>
      <c r="J58" s="59"/>
      <c r="K58" s="59"/>
      <c r="L58" s="59"/>
      <c r="M58" s="59"/>
      <c r="N58" s="59"/>
      <c r="O58" s="59"/>
      <c r="P58" s="59"/>
      <c r="Q58" s="59"/>
      <c r="R58" s="59"/>
      <c r="S58" s="59"/>
      <c r="T58" s="59"/>
      <c r="U58" s="59"/>
      <c r="V58" s="59"/>
      <c r="W58" s="59"/>
      <c r="X58" s="59"/>
      <c r="Y58" s="59"/>
      <c r="Z58" s="59"/>
      <c r="AA58" s="59"/>
      <c r="AB58" s="55"/>
      <c r="AC58" s="120"/>
      <c r="AD58" s="2037"/>
      <c r="AE58" s="122"/>
      <c r="AF58" s="127"/>
      <c r="AG58" s="127"/>
      <c r="AH58" s="127"/>
      <c r="AI58" s="127"/>
      <c r="AJ58" s="127"/>
      <c r="AK58" s="127"/>
      <c r="AL58" s="127"/>
      <c r="AM58" s="59"/>
      <c r="AN58" s="59"/>
      <c r="AO58" s="59"/>
      <c r="AP58" s="59"/>
      <c r="AQ58" s="59"/>
      <c r="AR58" s="59"/>
      <c r="AS58" s="130"/>
      <c r="AT58" s="130"/>
      <c r="AU58" s="130"/>
      <c r="AV58" s="128"/>
      <c r="AW58" s="128"/>
      <c r="AX58" s="128"/>
      <c r="AY58" s="128"/>
      <c r="AZ58" s="130"/>
      <c r="BA58" s="130"/>
      <c r="BB58" s="130"/>
      <c r="BC58" s="130"/>
      <c r="BD58" s="130"/>
      <c r="BE58" s="130"/>
      <c r="BF58" s="130"/>
      <c r="BG58" s="128"/>
      <c r="BH58" s="61"/>
      <c r="BI58" s="2031"/>
      <c r="BJ58" s="466"/>
      <c r="BK58" s="1073"/>
      <c r="BL58" s="1073"/>
      <c r="BM58" s="3323"/>
      <c r="BN58" s="3323"/>
      <c r="BO58" s="3323"/>
      <c r="BP58" s="3323"/>
      <c r="BQ58" s="3323"/>
      <c r="BR58" s="3323"/>
      <c r="BS58" s="127"/>
      <c r="BT58" s="127"/>
      <c r="BU58" s="127"/>
      <c r="BV58" s="127"/>
      <c r="BW58" s="127"/>
      <c r="BX58" s="127"/>
      <c r="BY58" s="59"/>
      <c r="BZ58" s="59"/>
      <c r="CA58" s="59"/>
      <c r="CB58" s="129"/>
      <c r="CC58" s="61"/>
      <c r="CD58" s="2023"/>
      <c r="CE58" s="43"/>
    </row>
    <row r="59" spans="2:83" s="72" customFormat="1" ht="19.5" customHeight="1" thickBot="1" x14ac:dyDescent="0.3">
      <c r="B59" s="2008"/>
      <c r="C59" s="64"/>
      <c r="D59" s="83"/>
      <c r="E59" s="75"/>
      <c r="F59" s="75"/>
      <c r="G59" s="75"/>
      <c r="H59" s="75"/>
      <c r="I59" s="75"/>
      <c r="J59" s="75"/>
      <c r="K59" s="75"/>
      <c r="L59" s="75"/>
      <c r="M59" s="75"/>
      <c r="N59" s="75"/>
      <c r="O59" s="75"/>
      <c r="P59" s="75"/>
      <c r="Q59" s="75"/>
      <c r="R59" s="75"/>
      <c r="S59" s="75"/>
      <c r="T59" s="75"/>
      <c r="U59" s="75"/>
      <c r="V59" s="82"/>
      <c r="W59" s="75"/>
      <c r="X59" s="82"/>
      <c r="Y59" s="75"/>
      <c r="Z59" s="75"/>
      <c r="AA59" s="75"/>
      <c r="AB59" s="82"/>
      <c r="AC59" s="84"/>
      <c r="AD59" s="2038"/>
      <c r="AE59" s="132"/>
      <c r="AF59" s="75"/>
      <c r="AG59" s="133"/>
      <c r="AH59" s="426" t="s">
        <v>9</v>
      </c>
      <c r="AI59" s="134"/>
      <c r="AJ59" s="134"/>
      <c r="AK59" s="134"/>
      <c r="AL59" s="134"/>
      <c r="AM59" s="135"/>
      <c r="AN59" s="135"/>
      <c r="AO59" s="134"/>
      <c r="AP59" s="134"/>
      <c r="AQ59" s="136"/>
      <c r="AR59" s="3355">
        <f>'CALCULS Eaux usées'!E222</f>
        <v>0</v>
      </c>
      <c r="AS59" s="3355"/>
      <c r="AT59" s="1138">
        <f>'CALCULS Eaux usées'!L222</f>
        <v>0</v>
      </c>
      <c r="AU59" s="3363">
        <f>'CALCULS Eaux usées'!F222</f>
        <v>0</v>
      </c>
      <c r="AV59" s="3363"/>
      <c r="AW59" s="3363"/>
      <c r="AX59" s="3363"/>
      <c r="AY59" s="1119"/>
      <c r="AZ59" s="1138">
        <f>'CALCULS Eaux usées'!F201</f>
        <v>0</v>
      </c>
      <c r="BA59" s="234"/>
      <c r="BB59" s="3334">
        <f>'CALCULS Eaux usées'!G222</f>
        <v>0</v>
      </c>
      <c r="BC59" s="3334"/>
      <c r="BD59" s="3334"/>
      <c r="BE59" s="3334"/>
      <c r="BF59" s="3334"/>
      <c r="BG59" s="3334"/>
      <c r="BH59" s="69"/>
      <c r="BI59" s="2034"/>
      <c r="BJ59" s="1162"/>
      <c r="BK59" s="1073">
        <f>'CALCULS Eaux usées'!D294</f>
        <v>0</v>
      </c>
      <c r="BL59" s="1073"/>
      <c r="BM59" s="3323"/>
      <c r="BN59" s="3323"/>
      <c r="BO59" s="3323"/>
      <c r="BP59" s="3323"/>
      <c r="BQ59" s="3323"/>
      <c r="BR59" s="3323"/>
      <c r="BS59" s="75"/>
      <c r="BT59" s="75"/>
      <c r="BU59" s="75"/>
      <c r="BV59" s="75"/>
      <c r="BW59" s="75"/>
      <c r="BX59" s="73"/>
      <c r="BY59" s="75"/>
      <c r="BZ59" s="75"/>
      <c r="CA59" s="75"/>
      <c r="CB59" s="75"/>
      <c r="CC59" s="69"/>
      <c r="CD59" s="2033"/>
      <c r="CE59" s="71"/>
    </row>
    <row r="60" spans="2:83" ht="6.75" customHeight="1" x14ac:dyDescent="0.25">
      <c r="B60" s="2007"/>
      <c r="C60" s="50"/>
      <c r="D60" s="59"/>
      <c r="E60" s="59"/>
      <c r="F60" s="59"/>
      <c r="G60" s="59"/>
      <c r="H60" s="59"/>
      <c r="I60" s="59"/>
      <c r="J60" s="59"/>
      <c r="K60" s="59"/>
      <c r="L60" s="59"/>
      <c r="M60" s="59"/>
      <c r="N60" s="59"/>
      <c r="O60" s="59"/>
      <c r="P60" s="59"/>
      <c r="Q60" s="59"/>
      <c r="R60" s="59"/>
      <c r="S60" s="59"/>
      <c r="T60" s="59"/>
      <c r="U60" s="59"/>
      <c r="V60" s="55"/>
      <c r="W60" s="59"/>
      <c r="X60" s="55"/>
      <c r="Y60" s="59"/>
      <c r="Z60" s="59"/>
      <c r="AA60" s="59"/>
      <c r="AB60" s="55"/>
      <c r="AC60" s="120"/>
      <c r="AD60" s="2037"/>
      <c r="AE60" s="122"/>
      <c r="AF60" s="59"/>
      <c r="AG60" s="59"/>
      <c r="AH60" s="427"/>
      <c r="AI60" s="59"/>
      <c r="AJ60" s="59"/>
      <c r="AK60" s="59"/>
      <c r="AL60" s="59"/>
      <c r="AM60" s="139"/>
      <c r="AN60" s="139"/>
      <c r="AO60" s="59"/>
      <c r="AP60" s="59"/>
      <c r="AR60" s="1128"/>
      <c r="AS60" s="1129"/>
      <c r="AT60" s="1137"/>
      <c r="AU60" s="1127"/>
      <c r="AV60" s="1126"/>
      <c r="AW60" s="1127"/>
      <c r="AX60" s="1126"/>
      <c r="AY60" s="435"/>
      <c r="AZ60" s="1146"/>
      <c r="BA60" s="88"/>
      <c r="BB60" s="1133"/>
      <c r="BC60" s="1134"/>
      <c r="BD60" s="1134"/>
      <c r="BE60" s="1134"/>
      <c r="BF60" s="1134"/>
      <c r="BG60" s="1134"/>
      <c r="BH60" s="61"/>
      <c r="BI60" s="2031"/>
      <c r="BJ60" s="50"/>
      <c r="BK60" s="59"/>
      <c r="BL60" s="55"/>
      <c r="BM60" s="59"/>
      <c r="BN60" s="55"/>
      <c r="BO60" s="59"/>
      <c r="BP60" s="59"/>
      <c r="BQ60" s="59"/>
      <c r="BR60" s="59"/>
      <c r="BS60" s="59"/>
      <c r="BT60" s="59"/>
      <c r="BU60" s="59"/>
      <c r="BV60" s="59"/>
      <c r="BW60" s="59"/>
      <c r="BX60" s="89"/>
      <c r="BY60" s="59"/>
      <c r="BZ60" s="59"/>
      <c r="CA60" s="59"/>
      <c r="CB60" s="59"/>
      <c r="CC60" s="61"/>
      <c r="CD60" s="2023"/>
      <c r="CE60" s="43"/>
    </row>
    <row r="61" spans="2:83" s="72" customFormat="1" ht="19.5" customHeight="1" thickBot="1" x14ac:dyDescent="0.3">
      <c r="B61" s="2008"/>
      <c r="C61" s="64"/>
      <c r="D61" s="75"/>
      <c r="E61" s="75"/>
      <c r="F61" s="75"/>
      <c r="G61" s="75"/>
      <c r="H61" s="75"/>
      <c r="I61" s="75"/>
      <c r="J61" s="75"/>
      <c r="K61" s="75"/>
      <c r="L61" s="75"/>
      <c r="M61" s="75"/>
      <c r="N61" s="75"/>
      <c r="O61" s="75"/>
      <c r="P61" s="75"/>
      <c r="Q61" s="75"/>
      <c r="R61" s="75"/>
      <c r="S61" s="75"/>
      <c r="T61" s="75"/>
      <c r="U61" s="75"/>
      <c r="V61" s="82"/>
      <c r="W61" s="75"/>
      <c r="X61" s="82"/>
      <c r="Y61" s="75"/>
      <c r="Z61" s="75"/>
      <c r="AA61" s="75"/>
      <c r="AB61" s="82"/>
      <c r="AC61" s="84"/>
      <c r="AD61" s="2038"/>
      <c r="AE61" s="132"/>
      <c r="AF61" s="75"/>
      <c r="AG61" s="140"/>
      <c r="AH61" s="428" t="s">
        <v>10</v>
      </c>
      <c r="AI61" s="141"/>
      <c r="AJ61" s="141"/>
      <c r="AK61" s="141"/>
      <c r="AL61" s="141"/>
      <c r="AM61" s="142"/>
      <c r="AN61" s="142"/>
      <c r="AO61" s="141"/>
      <c r="AP61" s="141"/>
      <c r="AQ61" s="143"/>
      <c r="AR61" s="3354">
        <f>'CALCULS Eaux usées'!E223</f>
        <v>0</v>
      </c>
      <c r="AS61" s="3354"/>
      <c r="AT61" s="1139">
        <f>'CALCULS Eaux usées'!L222</f>
        <v>0</v>
      </c>
      <c r="AU61" s="3360">
        <f>'CALCULS Eaux usées'!F223</f>
        <v>0</v>
      </c>
      <c r="AV61" s="3360"/>
      <c r="AW61" s="3360"/>
      <c r="AX61" s="3360"/>
      <c r="AY61" s="1120"/>
      <c r="AZ61" s="1139">
        <f>'CALCULS Eaux usées'!F201</f>
        <v>0</v>
      </c>
      <c r="BA61" s="235"/>
      <c r="BB61" s="3333">
        <f>'CALCULS Eaux usées'!G223</f>
        <v>0</v>
      </c>
      <c r="BC61" s="3333"/>
      <c r="BD61" s="3333"/>
      <c r="BE61" s="3333"/>
      <c r="BF61" s="3333"/>
      <c r="BG61" s="3333"/>
      <c r="BH61" s="69"/>
      <c r="BI61" s="2034"/>
      <c r="BJ61" s="64"/>
      <c r="BK61" s="75"/>
      <c r="BL61" s="82"/>
      <c r="BM61" s="75"/>
      <c r="BN61" s="82"/>
      <c r="BO61" s="75"/>
      <c r="BP61" s="75"/>
      <c r="BQ61" s="75"/>
      <c r="BR61" s="75"/>
      <c r="BS61" s="75"/>
      <c r="BT61" s="75"/>
      <c r="BU61" s="75"/>
      <c r="BV61" s="75"/>
      <c r="BW61" s="75"/>
      <c r="BX61" s="73"/>
      <c r="BY61" s="75"/>
      <c r="BZ61" s="75"/>
      <c r="CA61" s="75"/>
      <c r="CB61" s="75"/>
      <c r="CC61" s="69"/>
      <c r="CD61" s="2033"/>
      <c r="CE61" s="71"/>
    </row>
    <row r="62" spans="2:83" ht="6.75" customHeight="1" x14ac:dyDescent="0.25">
      <c r="B62" s="2007"/>
      <c r="C62" s="50"/>
      <c r="D62" s="59"/>
      <c r="E62" s="59"/>
      <c r="F62" s="59"/>
      <c r="G62" s="59"/>
      <c r="H62" s="59"/>
      <c r="I62" s="59"/>
      <c r="J62" s="59"/>
      <c r="K62" s="59"/>
      <c r="L62" s="59"/>
      <c r="M62" s="59"/>
      <c r="N62" s="59"/>
      <c r="O62" s="59"/>
      <c r="P62" s="59"/>
      <c r="Q62" s="59"/>
      <c r="R62" s="59"/>
      <c r="S62" s="59"/>
      <c r="T62" s="59"/>
      <c r="U62" s="59"/>
      <c r="V62" s="55"/>
      <c r="W62" s="59"/>
      <c r="X62" s="55"/>
      <c r="Y62" s="59"/>
      <c r="Z62" s="59"/>
      <c r="AA62" s="59"/>
      <c r="AB62" s="55"/>
      <c r="AC62" s="120"/>
      <c r="AD62" s="2037"/>
      <c r="AE62" s="122"/>
      <c r="AF62" s="59"/>
      <c r="AG62" s="59"/>
      <c r="AH62" s="427"/>
      <c r="AI62" s="59"/>
      <c r="AJ62" s="59"/>
      <c r="AK62" s="59"/>
      <c r="AL62" s="59"/>
      <c r="AM62" s="139"/>
      <c r="AN62" s="139"/>
      <c r="AO62" s="59"/>
      <c r="AP62" s="59"/>
      <c r="AR62" s="1128"/>
      <c r="AS62" s="1130"/>
      <c r="AT62" s="1140"/>
      <c r="AU62" s="1127"/>
      <c r="AV62" s="1125"/>
      <c r="AW62" s="1127"/>
      <c r="AX62" s="1125"/>
      <c r="AY62" s="435"/>
      <c r="AZ62" s="1144"/>
      <c r="BA62" s="88"/>
      <c r="BB62" s="1133"/>
      <c r="BC62" s="1134"/>
      <c r="BD62" s="1134"/>
      <c r="BE62" s="1134"/>
      <c r="BF62" s="1134"/>
      <c r="BG62" s="1134"/>
      <c r="BH62" s="61"/>
      <c r="BI62" s="2031"/>
      <c r="BJ62" s="50"/>
      <c r="BK62" s="59"/>
      <c r="BL62" s="55"/>
      <c r="BM62" s="59"/>
      <c r="BN62" s="55"/>
      <c r="BO62" s="59"/>
      <c r="BP62" s="59"/>
      <c r="BQ62" s="59"/>
      <c r="BR62" s="59"/>
      <c r="BS62" s="59"/>
      <c r="BT62" s="59"/>
      <c r="BU62" s="59"/>
      <c r="BV62" s="59"/>
      <c r="BW62" s="59"/>
      <c r="BX62" s="89"/>
      <c r="BY62" s="59"/>
      <c r="BZ62" s="59"/>
      <c r="CA62" s="59"/>
      <c r="CB62" s="59"/>
      <c r="CC62" s="61"/>
      <c r="CD62" s="2023"/>
      <c r="CE62" s="43"/>
    </row>
    <row r="63" spans="2:83" s="72" customFormat="1" ht="19.5" customHeight="1" thickBot="1" x14ac:dyDescent="0.3">
      <c r="B63" s="2008"/>
      <c r="C63" s="64"/>
      <c r="D63" s="75"/>
      <c r="E63" s="75"/>
      <c r="F63" s="75"/>
      <c r="G63" s="75"/>
      <c r="H63" s="75"/>
      <c r="I63" s="75"/>
      <c r="J63" s="75"/>
      <c r="K63" s="75"/>
      <c r="L63" s="75"/>
      <c r="M63" s="75"/>
      <c r="N63" s="75"/>
      <c r="O63" s="75"/>
      <c r="P63" s="75"/>
      <c r="Q63" s="75"/>
      <c r="R63" s="75"/>
      <c r="S63" s="75"/>
      <c r="T63" s="75"/>
      <c r="U63" s="75"/>
      <c r="V63" s="82"/>
      <c r="W63" s="75"/>
      <c r="X63" s="82"/>
      <c r="Y63" s="75"/>
      <c r="Z63" s="75"/>
      <c r="AA63" s="75"/>
      <c r="AB63" s="82"/>
      <c r="AC63" s="84"/>
      <c r="AD63" s="2038"/>
      <c r="AE63" s="132"/>
      <c r="AF63" s="75"/>
      <c r="AG63" s="144"/>
      <c r="AH63" s="429" t="s">
        <v>123</v>
      </c>
      <c r="AI63" s="145"/>
      <c r="AJ63" s="145"/>
      <c r="AK63" s="145"/>
      <c r="AL63" s="145"/>
      <c r="AM63" s="146"/>
      <c r="AN63" s="146"/>
      <c r="AO63" s="145"/>
      <c r="AP63" s="145"/>
      <c r="AQ63" s="147"/>
      <c r="AR63" s="3353">
        <f>'CALCULS Eaux usées'!E224</f>
        <v>0</v>
      </c>
      <c r="AS63" s="3353"/>
      <c r="AT63" s="1141">
        <f>'CALCULS Eaux usées'!L223</f>
        <v>0</v>
      </c>
      <c r="AU63" s="3359">
        <f>'CALCULS Eaux usées'!F224</f>
        <v>0</v>
      </c>
      <c r="AV63" s="3359"/>
      <c r="AW63" s="3359"/>
      <c r="AX63" s="3359"/>
      <c r="AY63" s="1121"/>
      <c r="AZ63" s="1141">
        <f>'CALCULS Eaux usées'!F202</f>
        <v>0</v>
      </c>
      <c r="BA63" s="236"/>
      <c r="BB63" s="3332">
        <f>'CALCULS Eaux usées'!G224</f>
        <v>0</v>
      </c>
      <c r="BC63" s="3332"/>
      <c r="BD63" s="3332"/>
      <c r="BE63" s="3332"/>
      <c r="BF63" s="3332"/>
      <c r="BG63" s="3332"/>
      <c r="BH63" s="69"/>
      <c r="BI63" s="2034"/>
      <c r="BJ63" s="64"/>
      <c r="BK63" s="75"/>
      <c r="BL63" s="82"/>
      <c r="BM63" s="75"/>
      <c r="BN63" s="82"/>
      <c r="BO63" s="75"/>
      <c r="BP63" s="75"/>
      <c r="BQ63" s="75"/>
      <c r="BR63" s="75"/>
      <c r="BS63" s="75"/>
      <c r="BT63" s="75"/>
      <c r="BU63" s="75"/>
      <c r="BV63" s="75"/>
      <c r="BW63" s="75"/>
      <c r="BX63" s="73"/>
      <c r="BY63" s="75"/>
      <c r="BZ63" s="75"/>
      <c r="CA63" s="75"/>
      <c r="CB63" s="75"/>
      <c r="CC63" s="69"/>
      <c r="CD63" s="2033"/>
      <c r="CE63" s="71"/>
    </row>
    <row r="64" spans="2:83" ht="6.75" customHeight="1" x14ac:dyDescent="0.25">
      <c r="B64" s="2007"/>
      <c r="C64" s="50"/>
      <c r="D64" s="59"/>
      <c r="E64" s="59"/>
      <c r="F64" s="59"/>
      <c r="G64" s="59"/>
      <c r="H64" s="59"/>
      <c r="I64" s="59"/>
      <c r="J64" s="59"/>
      <c r="K64" s="59"/>
      <c r="L64" s="59"/>
      <c r="M64" s="59"/>
      <c r="N64" s="59"/>
      <c r="O64" s="59"/>
      <c r="P64" s="59"/>
      <c r="Q64" s="59"/>
      <c r="R64" s="59"/>
      <c r="S64" s="59"/>
      <c r="T64" s="59"/>
      <c r="U64" s="59"/>
      <c r="V64" s="55"/>
      <c r="W64" s="59"/>
      <c r="X64" s="55"/>
      <c r="Y64" s="59"/>
      <c r="Z64" s="59"/>
      <c r="AA64" s="59"/>
      <c r="AB64" s="55"/>
      <c r="AC64" s="120"/>
      <c r="AD64" s="2037"/>
      <c r="AE64" s="122"/>
      <c r="AF64" s="59"/>
      <c r="AG64" s="59"/>
      <c r="AH64" s="425"/>
      <c r="AI64" s="59"/>
      <c r="AJ64" s="59"/>
      <c r="AK64" s="59"/>
      <c r="AL64" s="59"/>
      <c r="AM64" s="139"/>
      <c r="AN64" s="139"/>
      <c r="AO64" s="59"/>
      <c r="AP64" s="59"/>
      <c r="AQ64" s="89"/>
      <c r="AR64" s="88"/>
      <c r="AS64" s="1130"/>
      <c r="AT64" s="1140"/>
      <c r="AU64" s="89"/>
      <c r="AV64" s="1125"/>
      <c r="AW64" s="89"/>
      <c r="AX64" s="1125"/>
      <c r="AY64" s="435"/>
      <c r="AZ64" s="1144"/>
      <c r="BA64" s="88"/>
      <c r="BB64" s="1135"/>
      <c r="BC64" s="1134"/>
      <c r="BD64" s="1134"/>
      <c r="BE64" s="1134"/>
      <c r="BF64" s="1134"/>
      <c r="BG64" s="1134"/>
      <c r="BH64" s="61"/>
      <c r="BI64" s="2031"/>
      <c r="BJ64" s="50"/>
      <c r="BK64" s="59"/>
      <c r="BL64" s="55"/>
      <c r="BM64" s="59"/>
      <c r="BN64" s="55"/>
      <c r="BO64" s="59"/>
      <c r="BP64" s="59"/>
      <c r="BQ64" s="59"/>
      <c r="BR64" s="59"/>
      <c r="BS64" s="59"/>
      <c r="BT64" s="59"/>
      <c r="BU64" s="59"/>
      <c r="BV64" s="59"/>
      <c r="BW64" s="59"/>
      <c r="BX64" s="89"/>
      <c r="BY64" s="59"/>
      <c r="BZ64" s="59"/>
      <c r="CA64" s="59"/>
      <c r="CB64" s="59"/>
      <c r="CC64" s="61"/>
      <c r="CD64" s="2023"/>
      <c r="CE64" s="43"/>
    </row>
    <row r="65" spans="2:83" s="72" customFormat="1" ht="19.5" customHeight="1" thickBot="1" x14ac:dyDescent="0.3">
      <c r="B65" s="2008"/>
      <c r="C65" s="64"/>
      <c r="D65" s="75"/>
      <c r="E65" s="75"/>
      <c r="F65" s="75"/>
      <c r="G65" s="75"/>
      <c r="H65" s="75"/>
      <c r="I65" s="75"/>
      <c r="J65" s="75"/>
      <c r="K65" s="75"/>
      <c r="L65" s="75"/>
      <c r="M65" s="75"/>
      <c r="N65" s="75"/>
      <c r="O65" s="75"/>
      <c r="P65" s="75"/>
      <c r="Q65" s="75"/>
      <c r="R65" s="75"/>
      <c r="S65" s="75"/>
      <c r="T65" s="75"/>
      <c r="U65" s="75"/>
      <c r="V65" s="82"/>
      <c r="W65" s="75"/>
      <c r="X65" s="82"/>
      <c r="Y65" s="75"/>
      <c r="Z65" s="75"/>
      <c r="AA65" s="75"/>
      <c r="AB65" s="82"/>
      <c r="AC65" s="84"/>
      <c r="AD65" s="2038"/>
      <c r="AE65" s="132"/>
      <c r="AF65" s="75"/>
      <c r="AG65" s="148"/>
      <c r="AH65" s="430" t="s">
        <v>7</v>
      </c>
      <c r="AI65" s="149"/>
      <c r="AJ65" s="149"/>
      <c r="AK65" s="149"/>
      <c r="AL65" s="149"/>
      <c r="AM65" s="150"/>
      <c r="AN65" s="150"/>
      <c r="AO65" s="149"/>
      <c r="AP65" s="149"/>
      <c r="AQ65" s="151"/>
      <c r="AR65" s="3352">
        <f>'CALCULS Eaux usées'!E225</f>
        <v>0</v>
      </c>
      <c r="AS65" s="3352"/>
      <c r="AT65" s="1142">
        <f>'CALCULS Eaux usées'!L224</f>
        <v>0</v>
      </c>
      <c r="AU65" s="3358">
        <f>'CALCULS Eaux usées'!F225</f>
        <v>0</v>
      </c>
      <c r="AV65" s="3358"/>
      <c r="AW65" s="3358"/>
      <c r="AX65" s="3358"/>
      <c r="AY65" s="1122"/>
      <c r="AZ65" s="1142">
        <f>'CALCULS Eaux usées'!F202</f>
        <v>0</v>
      </c>
      <c r="BA65" s="237"/>
      <c r="BB65" s="3337">
        <f>'CALCULS Eaux usées'!G225</f>
        <v>0</v>
      </c>
      <c r="BC65" s="3337"/>
      <c r="BD65" s="3337"/>
      <c r="BE65" s="3337"/>
      <c r="BF65" s="3337"/>
      <c r="BG65" s="3337"/>
      <c r="BH65" s="69"/>
      <c r="BI65" s="2034"/>
      <c r="BJ65" s="64"/>
      <c r="BK65" s="75"/>
      <c r="BL65" s="82"/>
      <c r="BM65" s="75"/>
      <c r="BN65" s="82"/>
      <c r="BO65" s="75"/>
      <c r="BP65" s="75"/>
      <c r="BQ65" s="75"/>
      <c r="BR65" s="75"/>
      <c r="BS65" s="75"/>
      <c r="BT65" s="75"/>
      <c r="BU65" s="75"/>
      <c r="BV65" s="75"/>
      <c r="BW65" s="75"/>
      <c r="BX65" s="73"/>
      <c r="BY65" s="75"/>
      <c r="BZ65" s="75"/>
      <c r="CA65" s="75"/>
      <c r="CB65" s="75"/>
      <c r="CC65" s="69"/>
      <c r="CD65" s="2033"/>
      <c r="CE65" s="71"/>
    </row>
    <row r="66" spans="2:83" ht="6.75" customHeight="1" x14ac:dyDescent="0.25">
      <c r="B66" s="2007"/>
      <c r="C66" s="50"/>
      <c r="D66" s="59"/>
      <c r="E66" s="59"/>
      <c r="F66" s="59"/>
      <c r="G66" s="59"/>
      <c r="H66" s="59"/>
      <c r="I66" s="59"/>
      <c r="J66" s="59"/>
      <c r="K66" s="59"/>
      <c r="L66" s="59"/>
      <c r="M66" s="59"/>
      <c r="N66" s="59"/>
      <c r="O66" s="59"/>
      <c r="P66" s="59"/>
      <c r="Q66" s="59"/>
      <c r="R66" s="59"/>
      <c r="S66" s="59"/>
      <c r="T66" s="59"/>
      <c r="U66" s="59"/>
      <c r="V66" s="55"/>
      <c r="W66" s="59"/>
      <c r="X66" s="55"/>
      <c r="Y66" s="59"/>
      <c r="Z66" s="59"/>
      <c r="AA66" s="59"/>
      <c r="AB66" s="55"/>
      <c r="AC66" s="120"/>
      <c r="AD66" s="2037"/>
      <c r="AE66" s="122"/>
      <c r="AF66" s="59"/>
      <c r="AG66" s="59"/>
      <c r="AH66" s="425"/>
      <c r="AI66" s="59"/>
      <c r="AJ66" s="59"/>
      <c r="AK66" s="59"/>
      <c r="AL66" s="59"/>
      <c r="AM66" s="139"/>
      <c r="AN66" s="139"/>
      <c r="AO66" s="59"/>
      <c r="AP66" s="59"/>
      <c r="AQ66" s="89"/>
      <c r="AR66" s="88"/>
      <c r="AS66" s="1130"/>
      <c r="AT66" s="1140"/>
      <c r="AU66" s="89"/>
      <c r="AV66" s="1125"/>
      <c r="AW66" s="89"/>
      <c r="AX66" s="1125"/>
      <c r="AY66" s="435"/>
      <c r="AZ66" s="1144"/>
      <c r="BA66" s="88"/>
      <c r="BB66" s="1135"/>
      <c r="BC66" s="1134"/>
      <c r="BD66" s="1134"/>
      <c r="BE66" s="1134"/>
      <c r="BF66" s="1134"/>
      <c r="BG66" s="1134"/>
      <c r="BH66" s="61"/>
      <c r="BI66" s="2031"/>
      <c r="BJ66" s="50"/>
      <c r="BK66" s="59"/>
      <c r="BL66" s="55"/>
      <c r="BM66" s="59"/>
      <c r="BN66" s="55"/>
      <c r="BO66" s="59"/>
      <c r="BP66" s="59"/>
      <c r="BQ66" s="59"/>
      <c r="BR66" s="59"/>
      <c r="BS66" s="59"/>
      <c r="BT66" s="59"/>
      <c r="BU66" s="59"/>
      <c r="BV66" s="59"/>
      <c r="BW66" s="59"/>
      <c r="BX66" s="89"/>
      <c r="BY66" s="59"/>
      <c r="BZ66" s="59"/>
      <c r="CA66" s="59"/>
      <c r="CB66" s="59"/>
      <c r="CC66" s="61"/>
      <c r="CD66" s="2023"/>
      <c r="CE66" s="43"/>
    </row>
    <row r="67" spans="2:83" s="72" customFormat="1" ht="19.5" customHeight="1" thickBot="1" x14ac:dyDescent="0.3">
      <c r="B67" s="2008"/>
      <c r="C67" s="64"/>
      <c r="D67" s="75"/>
      <c r="E67" s="75"/>
      <c r="F67" s="75"/>
      <c r="G67" s="75"/>
      <c r="H67" s="75"/>
      <c r="I67" s="75"/>
      <c r="J67" s="75"/>
      <c r="K67" s="75"/>
      <c r="L67" s="75"/>
      <c r="M67" s="75"/>
      <c r="N67" s="75"/>
      <c r="O67" s="75"/>
      <c r="P67" s="75"/>
      <c r="Q67" s="75"/>
      <c r="R67" s="75"/>
      <c r="S67" s="75"/>
      <c r="T67" s="75"/>
      <c r="U67" s="75"/>
      <c r="V67" s="82"/>
      <c r="W67" s="75"/>
      <c r="X67" s="82"/>
      <c r="Y67" s="75"/>
      <c r="Z67" s="75"/>
      <c r="AA67" s="75"/>
      <c r="AB67" s="82"/>
      <c r="AC67" s="84"/>
      <c r="AD67" s="2038"/>
      <c r="AE67" s="132"/>
      <c r="AF67" s="75"/>
      <c r="AG67" s="153"/>
      <c r="AH67" s="431" t="s">
        <v>8</v>
      </c>
      <c r="AI67" s="154"/>
      <c r="AJ67" s="154"/>
      <c r="AK67" s="154"/>
      <c r="AL67" s="154"/>
      <c r="AM67" s="155"/>
      <c r="AN67" s="155"/>
      <c r="AO67" s="154"/>
      <c r="AP67" s="154"/>
      <c r="AQ67" s="156"/>
      <c r="AR67" s="3351">
        <f>'CALCULS Eaux usées'!E226</f>
        <v>0</v>
      </c>
      <c r="AS67" s="3351"/>
      <c r="AT67" s="1143">
        <f>'CALCULS Eaux usées'!L224</f>
        <v>0</v>
      </c>
      <c r="AU67" s="3357">
        <f>'CALCULS Eaux usées'!F226</f>
        <v>0</v>
      </c>
      <c r="AV67" s="3357"/>
      <c r="AW67" s="3357"/>
      <c r="AX67" s="3357"/>
      <c r="AY67" s="1123"/>
      <c r="AZ67" s="1143">
        <f>'CALCULS Eaux usées'!F202</f>
        <v>0</v>
      </c>
      <c r="BA67" s="238"/>
      <c r="BB67" s="3336">
        <f>'CALCULS Eaux usées'!G226</f>
        <v>0</v>
      </c>
      <c r="BC67" s="3336"/>
      <c r="BD67" s="3336"/>
      <c r="BE67" s="3336"/>
      <c r="BF67" s="3336"/>
      <c r="BG67" s="3336"/>
      <c r="BH67" s="69"/>
      <c r="BI67" s="2034"/>
      <c r="BJ67" s="64"/>
      <c r="BK67" s="75"/>
      <c r="BL67" s="82"/>
      <c r="BM67" s="75"/>
      <c r="BN67" s="82"/>
      <c r="BO67" s="75"/>
      <c r="BP67" s="75"/>
      <c r="BQ67" s="75"/>
      <c r="BR67" s="75"/>
      <c r="BS67" s="75"/>
      <c r="BT67" s="75"/>
      <c r="BU67" s="75"/>
      <c r="BV67" s="75"/>
      <c r="BW67" s="75"/>
      <c r="BX67" s="73"/>
      <c r="BY67" s="75"/>
      <c r="BZ67" s="75"/>
      <c r="CA67" s="75"/>
      <c r="CB67" s="75"/>
      <c r="CC67" s="69"/>
      <c r="CD67" s="2033"/>
      <c r="CE67" s="71"/>
    </row>
    <row r="68" spans="2:83" ht="9" customHeight="1" x14ac:dyDescent="0.25">
      <c r="B68" s="2007"/>
      <c r="C68" s="50"/>
      <c r="D68" s="59"/>
      <c r="E68" s="59"/>
      <c r="F68" s="59"/>
      <c r="G68" s="59"/>
      <c r="H68" s="59"/>
      <c r="I68" s="59"/>
      <c r="J68" s="59"/>
      <c r="K68" s="59"/>
      <c r="L68" s="59"/>
      <c r="M68" s="59"/>
      <c r="N68" s="59"/>
      <c r="O68" s="59"/>
      <c r="P68" s="59"/>
      <c r="Q68" s="59"/>
      <c r="R68" s="59"/>
      <c r="S68" s="59"/>
      <c r="T68" s="59"/>
      <c r="U68" s="59"/>
      <c r="V68" s="59"/>
      <c r="W68" s="59"/>
      <c r="X68" s="59"/>
      <c r="Y68" s="59"/>
      <c r="Z68" s="59"/>
      <c r="AA68" s="59"/>
      <c r="AB68" s="55"/>
      <c r="AC68" s="120"/>
      <c r="AD68" s="2037"/>
      <c r="AE68" s="122"/>
      <c r="AF68" s="59"/>
      <c r="AG68" s="59"/>
      <c r="AH68" s="432"/>
      <c r="AI68" s="59"/>
      <c r="AJ68" s="59"/>
      <c r="AK68" s="59"/>
      <c r="AL68" s="59"/>
      <c r="AM68" s="59"/>
      <c r="AN68" s="59"/>
      <c r="AO68" s="59"/>
      <c r="AP68" s="59"/>
      <c r="AQ68" s="59"/>
      <c r="AR68" s="139"/>
      <c r="AS68" s="1131"/>
      <c r="AT68" s="1144"/>
      <c r="AU68" s="444"/>
      <c r="AV68" s="1132"/>
      <c r="AW68" s="444"/>
      <c r="AX68" s="1132"/>
      <c r="AY68" s="424"/>
      <c r="AZ68" s="126"/>
      <c r="BA68" s="103"/>
      <c r="BB68" s="1136"/>
      <c r="BC68" s="1136"/>
      <c r="BD68" s="1135"/>
      <c r="BE68" s="1135"/>
      <c r="BF68" s="1135"/>
      <c r="BG68" s="1135"/>
      <c r="BH68" s="61"/>
      <c r="BI68" s="2031"/>
      <c r="BJ68" s="50"/>
      <c r="BK68" s="59"/>
      <c r="BL68" s="59"/>
      <c r="BM68" s="59"/>
      <c r="BN68" s="59"/>
      <c r="BO68" s="59"/>
      <c r="BP68" s="59"/>
      <c r="BQ68" s="59"/>
      <c r="BR68" s="59"/>
      <c r="BS68" s="59"/>
      <c r="BT68" s="59"/>
      <c r="BU68" s="59"/>
      <c r="BV68" s="59"/>
      <c r="BW68" s="59"/>
      <c r="BX68" s="59"/>
      <c r="BY68" s="59"/>
      <c r="BZ68" s="59"/>
      <c r="CA68" s="59"/>
      <c r="CB68" s="59"/>
      <c r="CC68" s="61"/>
      <c r="CD68" s="2023"/>
      <c r="CE68" s="43"/>
    </row>
    <row r="69" spans="2:83" ht="9" customHeight="1" x14ac:dyDescent="0.25">
      <c r="B69" s="2007"/>
      <c r="C69" s="50"/>
      <c r="D69" s="59"/>
      <c r="E69" s="59"/>
      <c r="F69" s="59"/>
      <c r="G69" s="59"/>
      <c r="H69" s="59"/>
      <c r="I69" s="59"/>
      <c r="J69" s="59"/>
      <c r="K69" s="59"/>
      <c r="L69" s="59"/>
      <c r="M69" s="59"/>
      <c r="N69" s="59"/>
      <c r="O69" s="59"/>
      <c r="P69" s="59"/>
      <c r="Q69" s="59"/>
      <c r="R69" s="59"/>
      <c r="S69" s="59"/>
      <c r="T69" s="59"/>
      <c r="U69" s="59"/>
      <c r="V69" s="59"/>
      <c r="W69" s="59"/>
      <c r="X69" s="59"/>
      <c r="Y69" s="59"/>
      <c r="Z69" s="59"/>
      <c r="AA69" s="59"/>
      <c r="AB69" s="55"/>
      <c r="AC69" s="120"/>
      <c r="AD69" s="2037"/>
      <c r="AE69" s="122"/>
      <c r="AF69" s="59"/>
      <c r="AG69" s="59"/>
      <c r="AH69" s="432"/>
      <c r="AI69" s="59"/>
      <c r="AJ69" s="59"/>
      <c r="AK69" s="59"/>
      <c r="AL69" s="59"/>
      <c r="AM69" s="59"/>
      <c r="AN69" s="59"/>
      <c r="AO69" s="59"/>
      <c r="AP69" s="59"/>
      <c r="AQ69" s="59"/>
      <c r="AR69" s="139"/>
      <c r="AS69" s="1131"/>
      <c r="AT69" s="1144"/>
      <c r="AU69" s="444"/>
      <c r="AV69" s="1132"/>
      <c r="AW69" s="444"/>
      <c r="AX69" s="1132"/>
      <c r="AY69" s="424"/>
      <c r="AZ69" s="126"/>
      <c r="BA69" s="103"/>
      <c r="BB69" s="1136"/>
      <c r="BC69" s="1136"/>
      <c r="BD69" s="1135"/>
      <c r="BE69" s="1135"/>
      <c r="BF69" s="1135"/>
      <c r="BG69" s="1135"/>
      <c r="BH69" s="61"/>
      <c r="BI69" s="2031"/>
      <c r="BJ69" s="50"/>
      <c r="BK69" s="59"/>
      <c r="BL69" s="59"/>
      <c r="BM69" s="59"/>
      <c r="BN69" s="59"/>
      <c r="BO69" s="59"/>
      <c r="BP69" s="59"/>
      <c r="BQ69" s="59"/>
      <c r="BR69" s="59"/>
      <c r="BS69" s="59"/>
      <c r="BT69" s="59"/>
      <c r="BU69" s="59"/>
      <c r="BV69" s="59"/>
      <c r="BW69" s="59"/>
      <c r="BX69" s="59"/>
      <c r="BY69" s="59"/>
      <c r="BZ69" s="59"/>
      <c r="CA69" s="59"/>
      <c r="CB69" s="59"/>
      <c r="CC69" s="61"/>
      <c r="CD69" s="2023"/>
      <c r="CE69" s="43"/>
    </row>
    <row r="70" spans="2:83" s="72" customFormat="1" ht="19.5" customHeight="1" thickBot="1" x14ac:dyDescent="0.3">
      <c r="B70" s="2008"/>
      <c r="C70" s="64"/>
      <c r="D70" s="75"/>
      <c r="E70" s="75"/>
      <c r="F70" s="75"/>
      <c r="G70" s="75"/>
      <c r="H70" s="75"/>
      <c r="I70" s="75"/>
      <c r="J70" s="75"/>
      <c r="K70" s="75"/>
      <c r="L70" s="75"/>
      <c r="M70" s="75"/>
      <c r="N70" s="75"/>
      <c r="O70" s="75"/>
      <c r="P70" s="75"/>
      <c r="Q70" s="75"/>
      <c r="R70" s="75"/>
      <c r="S70" s="75"/>
      <c r="T70" s="75"/>
      <c r="U70" s="75"/>
      <c r="V70" s="82"/>
      <c r="W70" s="75"/>
      <c r="X70" s="82"/>
      <c r="Y70" s="75"/>
      <c r="Z70" s="75"/>
      <c r="AA70" s="75"/>
      <c r="AB70" s="75"/>
      <c r="AC70" s="69"/>
      <c r="AD70" s="2039"/>
      <c r="AE70" s="64"/>
      <c r="AF70" s="75"/>
      <c r="AG70" s="158"/>
      <c r="AH70" s="433" t="s">
        <v>6</v>
      </c>
      <c r="AI70" s="159"/>
      <c r="AJ70" s="159"/>
      <c r="AK70" s="159"/>
      <c r="AL70" s="160"/>
      <c r="AM70" s="159"/>
      <c r="AN70" s="159"/>
      <c r="AO70" s="159"/>
      <c r="AP70" s="159"/>
      <c r="AQ70" s="161"/>
      <c r="AR70" s="3350">
        <f>'CALCULS Eaux usées'!E227</f>
        <v>0</v>
      </c>
      <c r="AS70" s="3350"/>
      <c r="AT70" s="1145">
        <f>'CALCULS Eaux usées'!H203</f>
        <v>0</v>
      </c>
      <c r="AU70" s="3356">
        <f>'CALCULS Eaux usées'!F227</f>
        <v>0</v>
      </c>
      <c r="AV70" s="3356"/>
      <c r="AW70" s="3356"/>
      <c r="AX70" s="3356"/>
      <c r="AY70" s="1124"/>
      <c r="AZ70" s="1145">
        <f>'CALCULS Eaux usées'!H201</f>
        <v>0</v>
      </c>
      <c r="BA70" s="239"/>
      <c r="BB70" s="3335">
        <f>'CALCULS Eaux usées'!G227</f>
        <v>0</v>
      </c>
      <c r="BC70" s="3335"/>
      <c r="BD70" s="3335"/>
      <c r="BE70" s="3335"/>
      <c r="BF70" s="3335"/>
      <c r="BG70" s="3335"/>
      <c r="BH70" s="69"/>
      <c r="BI70" s="2034"/>
      <c r="BJ70" s="64"/>
      <c r="BK70" s="75"/>
      <c r="BL70" s="3383"/>
      <c r="BM70" s="3383"/>
      <c r="BN70" s="3383"/>
      <c r="BO70" s="3383"/>
      <c r="BP70" s="3383"/>
      <c r="BQ70" s="3383"/>
      <c r="BR70" s="3383"/>
      <c r="BS70" s="3383"/>
      <c r="BT70" s="3383"/>
      <c r="BU70" s="3383"/>
      <c r="BV70" s="3383"/>
      <c r="BW70" s="3383"/>
      <c r="BX70" s="3383"/>
      <c r="BY70" s="3383"/>
      <c r="BZ70" s="3383"/>
      <c r="CA70" s="3383"/>
      <c r="CB70" s="75"/>
      <c r="CC70" s="69"/>
      <c r="CD70" s="2033"/>
      <c r="CE70" s="71"/>
    </row>
    <row r="71" spans="2:83" ht="16.5" customHeight="1" thickTop="1" thickBot="1" x14ac:dyDescent="0.35">
      <c r="B71" s="2007"/>
      <c r="C71" s="91"/>
      <c r="D71" s="92"/>
      <c r="E71" s="92"/>
      <c r="F71" s="92"/>
      <c r="G71" s="92"/>
      <c r="H71" s="92"/>
      <c r="I71" s="92"/>
      <c r="J71" s="92"/>
      <c r="K71" s="92"/>
      <c r="L71" s="92"/>
      <c r="M71" s="92"/>
      <c r="N71" s="92"/>
      <c r="O71" s="92"/>
      <c r="P71" s="92"/>
      <c r="Q71" s="92"/>
      <c r="R71" s="92"/>
      <c r="S71" s="92"/>
      <c r="T71" s="92"/>
      <c r="U71" s="92"/>
      <c r="V71" s="162"/>
      <c r="W71" s="92"/>
      <c r="X71" s="162"/>
      <c r="Y71" s="92"/>
      <c r="Z71" s="92"/>
      <c r="AA71" s="92"/>
      <c r="AB71" s="92"/>
      <c r="AC71" s="93"/>
      <c r="AD71" s="2026"/>
      <c r="AE71" s="91"/>
      <c r="AF71" s="92"/>
      <c r="AG71" s="92"/>
      <c r="AH71" s="163"/>
      <c r="AI71" s="92"/>
      <c r="AJ71" s="92"/>
      <c r="AK71" s="92"/>
      <c r="AL71" s="92"/>
      <c r="AM71" s="92"/>
      <c r="AN71" s="92"/>
      <c r="AO71" s="92"/>
      <c r="AP71" s="92"/>
      <c r="AQ71" s="164"/>
      <c r="AR71" s="164"/>
      <c r="AS71" s="165"/>
      <c r="AT71" s="165"/>
      <c r="AU71" s="165"/>
      <c r="AV71" s="165"/>
      <c r="AW71" s="165"/>
      <c r="AX71" s="165"/>
      <c r="AY71" s="92"/>
      <c r="AZ71" s="92"/>
      <c r="BA71" s="92"/>
      <c r="BB71" s="92"/>
      <c r="BC71" s="92"/>
      <c r="BD71" s="92"/>
      <c r="BE71" s="92"/>
      <c r="BF71" s="92"/>
      <c r="BG71" s="92"/>
      <c r="BH71" s="93"/>
      <c r="BI71" s="2031"/>
      <c r="BJ71" s="50"/>
      <c r="BK71" s="437"/>
      <c r="BL71" s="3383"/>
      <c r="BM71" s="3383"/>
      <c r="BN71" s="3383"/>
      <c r="BO71" s="3383"/>
      <c r="BP71" s="3383"/>
      <c r="BQ71" s="3383"/>
      <c r="BR71" s="3383"/>
      <c r="BS71" s="3383"/>
      <c r="BT71" s="3383"/>
      <c r="BU71" s="3383"/>
      <c r="BV71" s="3383"/>
      <c r="BW71" s="3383"/>
      <c r="BX71" s="3383"/>
      <c r="BY71" s="3383"/>
      <c r="BZ71" s="3383"/>
      <c r="CA71" s="3383"/>
      <c r="CB71" s="1272"/>
      <c r="CC71" s="61"/>
      <c r="CD71" s="2023"/>
      <c r="CE71" s="43"/>
    </row>
    <row r="72" spans="2:83" ht="13.5" customHeight="1" thickTop="1" x14ac:dyDescent="0.25">
      <c r="B72" s="2007"/>
      <c r="C72" s="2031"/>
      <c r="D72" s="2031"/>
      <c r="E72" s="2031"/>
      <c r="F72" s="2031"/>
      <c r="G72" s="2031"/>
      <c r="H72" s="2031"/>
      <c r="I72" s="2031"/>
      <c r="J72" s="2031"/>
      <c r="K72" s="2031"/>
      <c r="L72" s="2031"/>
      <c r="M72" s="2031"/>
      <c r="N72" s="2031"/>
      <c r="O72" s="2031"/>
      <c r="P72" s="2031"/>
      <c r="Q72" s="2031"/>
      <c r="R72" s="2031"/>
      <c r="S72" s="2031"/>
      <c r="T72" s="2031"/>
      <c r="U72" s="2031"/>
      <c r="V72" s="1949"/>
      <c r="W72" s="2031"/>
      <c r="X72" s="1949"/>
      <c r="Y72" s="2031"/>
      <c r="Z72" s="2031"/>
      <c r="AA72" s="2031"/>
      <c r="AB72" s="2031"/>
      <c r="AC72" s="2031"/>
      <c r="AD72" s="2031"/>
      <c r="AE72" s="2031"/>
      <c r="AF72" s="2031"/>
      <c r="AG72" s="2031"/>
      <c r="AH72" s="1949"/>
      <c r="AI72" s="2031"/>
      <c r="AJ72" s="2031"/>
      <c r="AK72" s="2031"/>
      <c r="AL72" s="2031"/>
      <c r="AM72" s="2031"/>
      <c r="AN72" s="2031"/>
      <c r="AO72" s="2031"/>
      <c r="AP72" s="2031"/>
      <c r="AQ72" s="2035"/>
      <c r="AR72" s="2035"/>
      <c r="AS72" s="2036"/>
      <c r="AT72" s="2036"/>
      <c r="AU72" s="2036"/>
      <c r="AV72" s="2036"/>
      <c r="AW72" s="2036"/>
      <c r="AX72" s="2036"/>
      <c r="AY72" s="2031"/>
      <c r="AZ72" s="2031"/>
      <c r="BA72" s="2031"/>
      <c r="BB72" s="2031"/>
      <c r="BC72" s="2031"/>
      <c r="BD72" s="2031"/>
      <c r="BE72" s="2031"/>
      <c r="BF72" s="2031"/>
      <c r="BG72" s="2031"/>
      <c r="BH72" s="2031"/>
      <c r="BI72" s="2023"/>
      <c r="BJ72" s="59"/>
      <c r="BK72" s="59"/>
      <c r="BL72" s="3383"/>
      <c r="BM72" s="3383"/>
      <c r="BN72" s="3383"/>
      <c r="BO72" s="3383"/>
      <c r="BP72" s="3383"/>
      <c r="BQ72" s="3383"/>
      <c r="BR72" s="3383"/>
      <c r="BS72" s="3383"/>
      <c r="BT72" s="3383"/>
      <c r="BU72" s="3383"/>
      <c r="BV72" s="3383"/>
      <c r="BW72" s="3383"/>
      <c r="BX72" s="3383"/>
      <c r="BY72" s="3383"/>
      <c r="BZ72" s="3383"/>
      <c r="CA72" s="3383"/>
      <c r="CB72" s="59"/>
      <c r="CC72" s="61"/>
      <c r="CD72" s="2023"/>
      <c r="CE72" s="43"/>
    </row>
    <row r="73" spans="2:83" ht="9" customHeight="1" thickBot="1" x14ac:dyDescent="0.3">
      <c r="B73" s="2007"/>
      <c r="C73" s="113"/>
      <c r="D73" s="111"/>
      <c r="E73" s="111"/>
      <c r="F73" s="111"/>
      <c r="G73" s="111"/>
      <c r="H73" s="111"/>
      <c r="I73" s="111"/>
      <c r="J73" s="111"/>
      <c r="K73" s="111"/>
      <c r="L73" s="111"/>
      <c r="M73" s="111"/>
      <c r="N73" s="111"/>
      <c r="O73" s="111"/>
      <c r="P73" s="111"/>
      <c r="Q73" s="111"/>
      <c r="R73" s="111"/>
      <c r="S73" s="111"/>
      <c r="T73" s="111"/>
      <c r="U73" s="111"/>
      <c r="V73" s="169"/>
      <c r="W73" s="111"/>
      <c r="X73" s="169"/>
      <c r="Y73" s="111"/>
      <c r="Z73" s="111"/>
      <c r="AA73" s="111"/>
      <c r="AB73" s="111"/>
      <c r="AC73" s="111"/>
      <c r="AD73" s="111"/>
      <c r="AE73" s="111"/>
      <c r="AF73" s="111"/>
      <c r="AG73" s="111"/>
      <c r="AH73" s="169"/>
      <c r="AI73" s="111"/>
      <c r="AJ73" s="111"/>
      <c r="AK73" s="111"/>
      <c r="AL73" s="111"/>
      <c r="AM73" s="111"/>
      <c r="AN73" s="111"/>
      <c r="AO73" s="111"/>
      <c r="AP73" s="111"/>
      <c r="AQ73" s="170"/>
      <c r="AR73" s="170"/>
      <c r="AS73" s="171"/>
      <c r="AT73" s="171"/>
      <c r="AU73" s="171"/>
      <c r="AV73" s="171"/>
      <c r="AW73" s="171"/>
      <c r="AX73" s="171"/>
      <c r="AY73" s="111"/>
      <c r="AZ73" s="111"/>
      <c r="BA73" s="111"/>
      <c r="BB73" s="111"/>
      <c r="BC73" s="111"/>
      <c r="BD73" s="111"/>
      <c r="BE73" s="111"/>
      <c r="BF73" s="111"/>
      <c r="BG73" s="111"/>
      <c r="BH73" s="112"/>
      <c r="BI73" s="2031"/>
      <c r="BJ73" s="50"/>
      <c r="BM73" s="436"/>
      <c r="BN73" s="436"/>
      <c r="BO73" s="436"/>
      <c r="BP73" s="436"/>
      <c r="BQ73" s="436"/>
      <c r="BR73" s="436"/>
      <c r="BS73" s="436"/>
      <c r="BT73" s="436"/>
      <c r="BU73" s="436"/>
      <c r="BV73" s="436"/>
      <c r="BW73" s="436"/>
      <c r="BX73" s="436"/>
      <c r="BY73" s="436"/>
      <c r="BZ73" s="436"/>
      <c r="CA73" s="436"/>
      <c r="CB73" s="59"/>
      <c r="CC73" s="61"/>
      <c r="CD73" s="2023"/>
      <c r="CE73" s="43"/>
    </row>
    <row r="74" spans="2:83" s="72" customFormat="1" ht="16.5" customHeight="1" thickTop="1" thickBot="1" x14ac:dyDescent="0.35">
      <c r="B74" s="2008"/>
      <c r="C74" s="172"/>
      <c r="D74" s="51" t="s">
        <v>1889</v>
      </c>
      <c r="AB74" s="75"/>
      <c r="AC74" s="75"/>
      <c r="AD74" s="75"/>
      <c r="AE74" s="75"/>
      <c r="AF74" s="75"/>
      <c r="AG74" s="62"/>
      <c r="AH74" s="173"/>
      <c r="AI74" s="173"/>
      <c r="AJ74" s="174"/>
      <c r="AK74" s="174"/>
      <c r="AL74" s="174"/>
      <c r="AM74" s="174"/>
      <c r="AN74" s="174"/>
      <c r="AO74" s="174"/>
      <c r="AP74" s="174"/>
      <c r="AQ74" s="174"/>
      <c r="AR74" s="174"/>
      <c r="AS74" s="174"/>
      <c r="AT74" s="174"/>
      <c r="AU74" s="174"/>
      <c r="AV74" s="174"/>
      <c r="AW74" s="174"/>
      <c r="AX74" s="174"/>
      <c r="AY74" s="174"/>
      <c r="AZ74" s="174"/>
      <c r="BA74" s="174"/>
      <c r="BB74" s="174"/>
      <c r="BC74" s="174"/>
      <c r="BD74" s="174"/>
      <c r="BE74" s="174"/>
      <c r="BF74" s="174"/>
      <c r="BG74" s="75"/>
      <c r="BH74" s="175"/>
      <c r="BI74" s="2034"/>
      <c r="BJ74" s="64"/>
      <c r="BK74" s="437"/>
      <c r="BL74" s="3379"/>
      <c r="BM74" s="3379"/>
      <c r="BN74" s="3379"/>
      <c r="BO74" s="3379"/>
      <c r="BP74" s="3379"/>
      <c r="BQ74" s="3379"/>
      <c r="BR74" s="3379"/>
      <c r="BS74" s="3379"/>
      <c r="BT74" s="3379"/>
      <c r="BU74" s="3379"/>
      <c r="BV74" s="3379"/>
      <c r="BW74" s="3379"/>
      <c r="BX74" s="3379"/>
      <c r="BY74" s="3379"/>
      <c r="BZ74" s="3379"/>
      <c r="CA74" s="3379"/>
      <c r="CB74" s="3307"/>
      <c r="CC74" s="3308"/>
      <c r="CD74" s="2033"/>
      <c r="CE74" s="71"/>
    </row>
    <row r="75" spans="2:83" ht="10.5" customHeight="1" thickTop="1" thickBot="1" x14ac:dyDescent="0.3">
      <c r="B75" s="2007"/>
      <c r="C75" s="115"/>
      <c r="D75" s="59"/>
      <c r="E75" s="59"/>
      <c r="F75" s="59"/>
      <c r="G75" s="59"/>
      <c r="H75" s="59"/>
      <c r="I75" s="59"/>
      <c r="J75" s="59"/>
      <c r="K75" s="59"/>
      <c r="L75" s="59"/>
      <c r="M75" s="59"/>
      <c r="N75" s="59"/>
      <c r="O75" s="59"/>
      <c r="P75" s="59"/>
      <c r="Q75" s="59"/>
      <c r="R75" s="59"/>
      <c r="S75" s="59"/>
      <c r="T75" s="59"/>
      <c r="U75" s="59"/>
      <c r="V75" s="55"/>
      <c r="W75" s="59"/>
      <c r="X75" s="55"/>
      <c r="Y75" s="59"/>
      <c r="Z75" s="59"/>
      <c r="AA75" s="59"/>
      <c r="AB75" s="59"/>
      <c r="AC75" s="59"/>
      <c r="AD75" s="59"/>
      <c r="AE75" s="59"/>
      <c r="AF75" s="59"/>
      <c r="AG75" s="59"/>
      <c r="AH75" s="55"/>
      <c r="AI75" s="59"/>
      <c r="AJ75" s="59"/>
      <c r="AK75" s="59"/>
      <c r="AL75" s="59"/>
      <c r="AM75" s="59"/>
      <c r="AN75" s="59"/>
      <c r="AO75" s="59"/>
      <c r="AP75" s="59"/>
      <c r="AQ75" s="89"/>
      <c r="AR75" s="89"/>
      <c r="AS75" s="139"/>
      <c r="AT75" s="139"/>
      <c r="AU75" s="139"/>
      <c r="AV75" s="139"/>
      <c r="AW75" s="139"/>
      <c r="AX75" s="139"/>
      <c r="AY75" s="59"/>
      <c r="AZ75" s="59"/>
      <c r="BA75" s="59"/>
      <c r="BB75" s="59"/>
      <c r="BC75" s="59"/>
      <c r="BD75" s="59"/>
      <c r="BE75" s="59"/>
      <c r="BF75" s="59"/>
      <c r="BG75" s="59"/>
      <c r="BH75" s="114"/>
      <c r="BI75" s="2031"/>
      <c r="BJ75" s="50"/>
      <c r="BK75" s="59"/>
      <c r="BL75" s="3379"/>
      <c r="BM75" s="3379"/>
      <c r="BN75" s="3379"/>
      <c r="BO75" s="3379"/>
      <c r="BP75" s="3379"/>
      <c r="BQ75" s="3379"/>
      <c r="BR75" s="3379"/>
      <c r="BS75" s="3379"/>
      <c r="BT75" s="3379"/>
      <c r="BU75" s="3379"/>
      <c r="BV75" s="3379"/>
      <c r="BW75" s="3379"/>
      <c r="BX75" s="3379"/>
      <c r="BY75" s="3379"/>
      <c r="BZ75" s="3379"/>
      <c r="CA75" s="3379"/>
      <c r="CC75" s="61"/>
      <c r="CD75" s="2023"/>
      <c r="CE75" s="43"/>
    </row>
    <row r="76" spans="2:83" ht="16.5" customHeight="1" thickTop="1" thickBot="1" x14ac:dyDescent="0.35">
      <c r="B76" s="2007"/>
      <c r="C76" s="115"/>
      <c r="D76" s="1916" t="s">
        <v>2043</v>
      </c>
      <c r="E76" s="1917"/>
      <c r="F76" s="1917"/>
      <c r="G76" s="1918"/>
      <c r="H76" s="1919"/>
      <c r="I76" s="1918"/>
      <c r="J76" s="1920"/>
      <c r="K76" s="1918"/>
      <c r="L76" s="1921"/>
      <c r="M76" s="1918"/>
      <c r="N76" s="1921"/>
      <c r="O76" s="1918"/>
      <c r="P76" s="1921"/>
      <c r="Q76" s="1918"/>
      <c r="R76" s="1921"/>
      <c r="S76" s="1921"/>
      <c r="T76" s="1922"/>
      <c r="U76" s="1923"/>
      <c r="V76" s="1923"/>
      <c r="W76" s="1923"/>
      <c r="X76" s="1923"/>
      <c r="Y76" s="1923"/>
      <c r="Z76" s="1923"/>
      <c r="AA76" s="1923"/>
      <c r="AB76" s="2559" t="str">
        <f>IF(('FORMULAIRE PGA Eaux usées'!$H$81='MENU DÉROULANT'!$C$41),"(Aucun actif)","")</f>
        <v/>
      </c>
      <c r="AC76" s="1924"/>
      <c r="AD76" s="59"/>
      <c r="AE76" s="1916" t="s">
        <v>2044</v>
      </c>
      <c r="AF76" s="1917"/>
      <c r="AG76" s="1917"/>
      <c r="AH76" s="1918"/>
      <c r="AI76" s="1919"/>
      <c r="AJ76" s="1918"/>
      <c r="AK76" s="1920"/>
      <c r="AL76" s="1918"/>
      <c r="AM76" s="1921"/>
      <c r="AN76" s="1918"/>
      <c r="AO76" s="1921"/>
      <c r="AP76" s="1918"/>
      <c r="AQ76" s="1921"/>
      <c r="AR76" s="1921"/>
      <c r="AS76" s="1918"/>
      <c r="AT76" s="1918"/>
      <c r="AU76" s="1921"/>
      <c r="AV76" s="1921"/>
      <c r="AW76" s="1922"/>
      <c r="AX76" s="1923"/>
      <c r="AY76" s="1923"/>
      <c r="AZ76" s="1923"/>
      <c r="BA76" s="1923"/>
      <c r="BB76" s="1923"/>
      <c r="BC76" s="1923"/>
      <c r="BD76" s="1923"/>
      <c r="BE76" s="1923"/>
      <c r="BF76" s="2559" t="str">
        <f>IF(('FORMULAIRE PGA Eaux usées'!$H$120='MENU DÉROULANT'!$F$41),"(Aucun actif)","")</f>
        <v/>
      </c>
      <c r="BG76" s="1924"/>
      <c r="BH76" s="114"/>
      <c r="BI76" s="2031"/>
      <c r="BJ76" s="50"/>
      <c r="BK76" s="437"/>
      <c r="BL76" s="3379"/>
      <c r="BM76" s="3379"/>
      <c r="BN76" s="3379"/>
      <c r="BO76" s="3379"/>
      <c r="BP76" s="3379"/>
      <c r="BQ76" s="3379"/>
      <c r="BR76" s="3379"/>
      <c r="BS76" s="3379"/>
      <c r="BT76" s="3379"/>
      <c r="BU76" s="3379"/>
      <c r="BV76" s="3379"/>
      <c r="BW76" s="3379"/>
      <c r="BX76" s="3379"/>
      <c r="BY76" s="3379"/>
      <c r="BZ76" s="3379"/>
      <c r="CA76" s="3379"/>
      <c r="CB76" s="3307"/>
      <c r="CC76" s="3308"/>
      <c r="CD76" s="2023"/>
      <c r="CE76" s="43"/>
    </row>
    <row r="77" spans="2:83" ht="10.5" customHeight="1" thickTop="1" x14ac:dyDescent="0.25">
      <c r="B77" s="2007"/>
      <c r="C77" s="115"/>
      <c r="D77" s="1087"/>
      <c r="E77" s="1082"/>
      <c r="F77" s="1082"/>
      <c r="G77" s="1082"/>
      <c r="H77" s="1082"/>
      <c r="I77" s="1082"/>
      <c r="J77" s="1082"/>
      <c r="K77" s="1082"/>
      <c r="L77" s="1082"/>
      <c r="M77" s="1082"/>
      <c r="N77" s="1082"/>
      <c r="O77" s="1082"/>
      <c r="P77" s="1082"/>
      <c r="Q77" s="1082"/>
      <c r="R77" s="1082"/>
      <c r="S77" s="1082"/>
      <c r="T77" s="1082"/>
      <c r="U77" s="1082"/>
      <c r="V77" s="1082"/>
      <c r="W77" s="46"/>
      <c r="X77" s="468"/>
      <c r="Y77" s="46"/>
      <c r="Z77" s="46"/>
      <c r="AA77" s="46"/>
      <c r="AB77" s="46"/>
      <c r="AC77" s="47"/>
      <c r="AD77" s="59"/>
      <c r="AE77" s="45"/>
      <c r="AF77" s="46"/>
      <c r="AG77" s="46"/>
      <c r="AH77" s="1082"/>
      <c r="AI77" s="1082"/>
      <c r="AJ77" s="1082"/>
      <c r="AK77" s="1082"/>
      <c r="AL77" s="1082"/>
      <c r="AM77" s="1082"/>
      <c r="AN77" s="1082"/>
      <c r="AO77" s="1082"/>
      <c r="AP77" s="1082"/>
      <c r="AQ77" s="1082"/>
      <c r="AR77" s="1082"/>
      <c r="AS77" s="1082"/>
      <c r="AT77" s="1082"/>
      <c r="AU77" s="1082"/>
      <c r="AV77" s="1082"/>
      <c r="AW77" s="1082"/>
      <c r="AX77" s="1082"/>
      <c r="AY77" s="1082"/>
      <c r="AZ77" s="1082"/>
      <c r="BA77" s="1082"/>
      <c r="BB77" s="1082"/>
      <c r="BC77" s="46"/>
      <c r="BD77" s="46"/>
      <c r="BE77" s="46"/>
      <c r="BF77" s="46"/>
      <c r="BG77" s="47"/>
      <c r="BH77" s="114"/>
      <c r="BI77" s="2031"/>
      <c r="BJ77" s="50"/>
      <c r="BK77" s="55"/>
      <c r="BL77" s="3379"/>
      <c r="BM77" s="3379"/>
      <c r="BN77" s="3379"/>
      <c r="BO77" s="3379"/>
      <c r="BP77" s="3379"/>
      <c r="BQ77" s="3379"/>
      <c r="BR77" s="3379"/>
      <c r="BS77" s="3379"/>
      <c r="BT77" s="3379"/>
      <c r="BU77" s="3379"/>
      <c r="BV77" s="3379"/>
      <c r="BW77" s="3379"/>
      <c r="BX77" s="3379"/>
      <c r="BY77" s="3379"/>
      <c r="BZ77" s="3379"/>
      <c r="CA77" s="3379"/>
      <c r="CC77" s="61"/>
      <c r="CD77" s="2023"/>
      <c r="CE77" s="43"/>
    </row>
    <row r="78" spans="2:83" ht="18" customHeight="1" x14ac:dyDescent="0.3">
      <c r="B78" s="2007"/>
      <c r="C78" s="115"/>
      <c r="D78" s="1157">
        <f>'CALCULS Eaux usées'!O244</f>
        <v>0</v>
      </c>
      <c r="E78" s="1088" t="s">
        <v>41</v>
      </c>
      <c r="F78" s="3380">
        <f>'CALCULS Eaux usées'!P244</f>
        <v>0</v>
      </c>
      <c r="G78" s="3380"/>
      <c r="H78" s="3380"/>
      <c r="I78" s="441"/>
      <c r="J78" s="440" t="s">
        <v>2062</v>
      </c>
      <c r="K78" s="441"/>
      <c r="L78" s="1084"/>
      <c r="M78" s="1084"/>
      <c r="N78" s="1083"/>
      <c r="O78" s="1083"/>
      <c r="P78" s="1083"/>
      <c r="Q78" s="441"/>
      <c r="R78" s="441"/>
      <c r="S78" s="441"/>
      <c r="T78" s="441"/>
      <c r="U78" s="441"/>
      <c r="V78" s="441"/>
      <c r="W78" s="1084"/>
      <c r="X78" s="1084"/>
      <c r="Y78" s="1084"/>
      <c r="Z78" s="3318">
        <f>'CALCULS Eaux usées'!D248</f>
        <v>0</v>
      </c>
      <c r="AA78" s="3318"/>
      <c r="AB78" s="3318"/>
      <c r="AC78" s="3319"/>
      <c r="AD78" s="59"/>
      <c r="AE78" s="50"/>
      <c r="AF78" s="3344">
        <f>'CALCULS Eaux usées'!O261</f>
        <v>0</v>
      </c>
      <c r="AG78" s="3344"/>
      <c r="AH78" s="3344"/>
      <c r="AI78" s="3344"/>
      <c r="AJ78" s="3344"/>
      <c r="AK78" s="3344"/>
      <c r="AL78" s="3344"/>
      <c r="AM78" s="3344"/>
      <c r="AN78" s="3343" t="s">
        <v>41</v>
      </c>
      <c r="AO78" s="3343"/>
      <c r="AP78" s="3343"/>
      <c r="AQ78" s="3380">
        <f>'CALCULS Eaux usées'!P261</f>
        <v>0</v>
      </c>
      <c r="AR78" s="3380"/>
      <c r="AS78" s="440" t="s">
        <v>2062</v>
      </c>
      <c r="AT78" s="440"/>
      <c r="AU78" s="1083"/>
      <c r="AV78" s="1083"/>
      <c r="AW78" s="441"/>
      <c r="AX78" s="441"/>
      <c r="AY78" s="441"/>
      <c r="AZ78" s="1084"/>
      <c r="BA78" s="1084"/>
      <c r="BB78" s="1084"/>
      <c r="BC78" s="1084"/>
      <c r="BD78" s="3318">
        <f>'CALCULS Eaux usées'!D265</f>
        <v>0</v>
      </c>
      <c r="BE78" s="3318"/>
      <c r="BF78" s="3318"/>
      <c r="BG78" s="3319"/>
      <c r="BH78" s="114"/>
      <c r="BI78" s="2031"/>
      <c r="BJ78" s="50"/>
      <c r="BK78" s="55"/>
      <c r="BL78" s="3379"/>
      <c r="BM78" s="3379"/>
      <c r="BN78" s="3379"/>
      <c r="BO78" s="3379"/>
      <c r="BP78" s="3379"/>
      <c r="BQ78" s="3379"/>
      <c r="BR78" s="3379"/>
      <c r="BS78" s="3379"/>
      <c r="BT78" s="3379"/>
      <c r="BU78" s="3379"/>
      <c r="BV78" s="3379"/>
      <c r="BW78" s="3379"/>
      <c r="BX78" s="3379"/>
      <c r="BY78" s="3379"/>
      <c r="BZ78" s="3379"/>
      <c r="CA78" s="3379"/>
      <c r="CB78" s="3307"/>
      <c r="CC78" s="3308"/>
      <c r="CD78" s="2023"/>
      <c r="CE78" s="43"/>
    </row>
    <row r="79" spans="2:83" ht="10.5" customHeight="1" thickBot="1" x14ac:dyDescent="0.3">
      <c r="B79" s="2007"/>
      <c r="C79" s="115"/>
      <c r="D79" s="1089"/>
      <c r="E79" s="439"/>
      <c r="F79" s="1083"/>
      <c r="G79" s="441"/>
      <c r="H79" s="441"/>
      <c r="I79" s="441"/>
      <c r="J79" s="441"/>
      <c r="K79" s="441"/>
      <c r="L79" s="441"/>
      <c r="M79" s="441"/>
      <c r="N79" s="1083"/>
      <c r="O79" s="1083"/>
      <c r="P79" s="1083"/>
      <c r="Q79" s="441"/>
      <c r="R79" s="441"/>
      <c r="S79" s="441"/>
      <c r="T79" s="441"/>
      <c r="U79" s="442"/>
      <c r="V79" s="442"/>
      <c r="W79" s="1084"/>
      <c r="X79" s="1084"/>
      <c r="Y79" s="1084"/>
      <c r="Z79" s="1084"/>
      <c r="AA79" s="59"/>
      <c r="AB79" s="59"/>
      <c r="AC79" s="61"/>
      <c r="AD79" s="59"/>
      <c r="AE79" s="50"/>
      <c r="AF79" s="423"/>
      <c r="AG79" s="423"/>
      <c r="AH79" s="438"/>
      <c r="AI79" s="439"/>
      <c r="AJ79" s="1083"/>
      <c r="AK79" s="441"/>
      <c r="AL79" s="441"/>
      <c r="AM79" s="441"/>
      <c r="AN79" s="441"/>
      <c r="AO79" s="441"/>
      <c r="AP79" s="441"/>
      <c r="AQ79" s="441"/>
      <c r="AR79" s="441"/>
      <c r="AS79" s="1083"/>
      <c r="AT79" s="1083"/>
      <c r="AU79" s="1083"/>
      <c r="AV79" s="1083"/>
      <c r="AW79" s="441"/>
      <c r="AX79" s="441"/>
      <c r="AY79" s="441"/>
      <c r="AZ79" s="442"/>
      <c r="BA79" s="442"/>
      <c r="BB79" s="442"/>
      <c r="BC79" s="1084"/>
      <c r="BD79" s="423"/>
      <c r="BE79" s="59"/>
      <c r="BF79" s="59"/>
      <c r="BG79" s="61"/>
      <c r="BH79" s="114"/>
      <c r="BI79" s="2031"/>
      <c r="BJ79" s="50"/>
      <c r="BK79" s="55"/>
      <c r="BL79" s="3379"/>
      <c r="BM79" s="3379"/>
      <c r="BN79" s="3379"/>
      <c r="BO79" s="3379"/>
      <c r="BP79" s="3379"/>
      <c r="BQ79" s="3379"/>
      <c r="BR79" s="3379"/>
      <c r="BS79" s="3379"/>
      <c r="BT79" s="3379"/>
      <c r="BU79" s="3379"/>
      <c r="BV79" s="3379"/>
      <c r="BW79" s="3379"/>
      <c r="BX79" s="3379"/>
      <c r="BY79" s="3379"/>
      <c r="BZ79" s="3379"/>
      <c r="CA79" s="3379"/>
      <c r="CC79" s="61"/>
      <c r="CD79" s="2023"/>
      <c r="CE79" s="43"/>
    </row>
    <row r="80" spans="2:83" ht="16.5" customHeight="1" thickTop="1" thickBot="1" x14ac:dyDescent="0.35">
      <c r="B80" s="2007"/>
      <c r="C80" s="115"/>
      <c r="D80" s="1090" t="s">
        <v>252</v>
      </c>
      <c r="E80" s="1084"/>
      <c r="F80" s="1084"/>
      <c r="G80" s="1084"/>
      <c r="H80" s="1084"/>
      <c r="I80" s="1084"/>
      <c r="J80" s="1084"/>
      <c r="K80" s="1084"/>
      <c r="L80" s="1084"/>
      <c r="M80" s="1084"/>
      <c r="N80" s="1084"/>
      <c r="O80" s="1084"/>
      <c r="P80" s="1084"/>
      <c r="Q80" s="1084"/>
      <c r="R80" s="1084"/>
      <c r="S80" s="1084"/>
      <c r="T80" s="1084"/>
      <c r="U80" s="1084"/>
      <c r="V80" s="1084"/>
      <c r="W80" s="1084"/>
      <c r="X80" s="1084"/>
      <c r="Y80" s="1084"/>
      <c r="Z80" s="1084"/>
      <c r="AA80" s="59"/>
      <c r="AB80" s="59"/>
      <c r="AC80" s="61"/>
      <c r="AD80" s="59"/>
      <c r="AE80" s="50"/>
      <c r="AF80" s="1085" t="s">
        <v>252</v>
      </c>
      <c r="AG80" s="423"/>
      <c r="AH80" s="1086"/>
      <c r="AI80" s="1084"/>
      <c r="AJ80" s="1084"/>
      <c r="AK80" s="1084"/>
      <c r="AL80" s="1084"/>
      <c r="AM80" s="1084"/>
      <c r="AN80" s="1084"/>
      <c r="AO80" s="1084"/>
      <c r="AP80" s="1084"/>
      <c r="AQ80" s="1084"/>
      <c r="AR80" s="1084"/>
      <c r="AS80" s="1084"/>
      <c r="AT80" s="1084"/>
      <c r="AU80" s="1084"/>
      <c r="AV80" s="1084"/>
      <c r="AW80" s="1084"/>
      <c r="AX80" s="1084"/>
      <c r="AY80" s="1084"/>
      <c r="AZ80" s="1084"/>
      <c r="BA80" s="1084"/>
      <c r="BB80" s="1084"/>
      <c r="BC80" s="1084"/>
      <c r="BD80" s="423"/>
      <c r="BE80" s="59"/>
      <c r="BF80" s="59"/>
      <c r="BG80" s="61"/>
      <c r="BH80" s="114"/>
      <c r="BI80" s="2031"/>
      <c r="BJ80" s="50"/>
      <c r="BK80" s="437"/>
      <c r="BL80" s="3379"/>
      <c r="BM80" s="3379"/>
      <c r="BN80" s="3379"/>
      <c r="BO80" s="3379"/>
      <c r="BP80" s="3379"/>
      <c r="BQ80" s="3379"/>
      <c r="BR80" s="3379"/>
      <c r="BS80" s="3379"/>
      <c r="BT80" s="3379"/>
      <c r="BU80" s="3379"/>
      <c r="BV80" s="3379"/>
      <c r="BW80" s="3379"/>
      <c r="BX80" s="3379"/>
      <c r="BY80" s="3379"/>
      <c r="BZ80" s="3379"/>
      <c r="CA80" s="3379"/>
      <c r="CB80" s="3307"/>
      <c r="CC80" s="3308"/>
      <c r="CD80" s="2023"/>
      <c r="CE80" s="43"/>
    </row>
    <row r="81" spans="2:83" ht="10.5" customHeight="1" thickTop="1" x14ac:dyDescent="0.25">
      <c r="B81" s="2007"/>
      <c r="C81" s="115"/>
      <c r="D81" s="50"/>
      <c r="E81" s="59"/>
      <c r="F81" s="59"/>
      <c r="G81" s="59"/>
      <c r="H81" s="59"/>
      <c r="I81" s="59"/>
      <c r="J81" s="59"/>
      <c r="K81" s="59"/>
      <c r="L81" s="59"/>
      <c r="M81" s="59"/>
      <c r="N81" s="59"/>
      <c r="O81" s="59"/>
      <c r="P81" s="59"/>
      <c r="Q81" s="59"/>
      <c r="R81" s="59"/>
      <c r="S81" s="59"/>
      <c r="T81" s="59"/>
      <c r="U81" s="59"/>
      <c r="V81" s="55"/>
      <c r="W81" s="59"/>
      <c r="X81" s="55"/>
      <c r="Y81" s="59"/>
      <c r="Z81" s="59"/>
      <c r="AA81" s="59"/>
      <c r="AB81" s="59"/>
      <c r="AC81" s="61"/>
      <c r="AD81" s="59"/>
      <c r="AE81" s="50"/>
      <c r="AF81" s="59"/>
      <c r="AG81" s="59"/>
      <c r="AH81" s="55"/>
      <c r="AI81" s="59"/>
      <c r="AJ81" s="59"/>
      <c r="AK81" s="59"/>
      <c r="AL81" s="59"/>
      <c r="AM81" s="59"/>
      <c r="AN81" s="59"/>
      <c r="AO81" s="59"/>
      <c r="AP81" s="59"/>
      <c r="AQ81" s="89"/>
      <c r="AR81" s="89"/>
      <c r="AS81" s="139"/>
      <c r="AT81" s="139"/>
      <c r="AU81" s="139"/>
      <c r="AV81" s="139"/>
      <c r="AW81" s="139"/>
      <c r="AX81" s="139"/>
      <c r="AY81" s="59"/>
      <c r="AZ81" s="59"/>
      <c r="BA81" s="59"/>
      <c r="BB81" s="59"/>
      <c r="BC81" s="59"/>
      <c r="BD81" s="59"/>
      <c r="BE81" s="59"/>
      <c r="BF81" s="59"/>
      <c r="BG81" s="61"/>
      <c r="BH81" s="114"/>
      <c r="BI81" s="2031"/>
      <c r="BJ81" s="50"/>
      <c r="BK81" s="55"/>
      <c r="BL81" s="3379"/>
      <c r="BM81" s="3379"/>
      <c r="BN81" s="3379"/>
      <c r="BO81" s="3379"/>
      <c r="BP81" s="3379"/>
      <c r="BQ81" s="3379"/>
      <c r="BR81" s="3379"/>
      <c r="BS81" s="3379"/>
      <c r="BT81" s="3379"/>
      <c r="BU81" s="3379"/>
      <c r="BV81" s="3379"/>
      <c r="BW81" s="3379"/>
      <c r="BX81" s="3379"/>
      <c r="BY81" s="3379"/>
      <c r="BZ81" s="3379"/>
      <c r="CA81" s="3379"/>
      <c r="CB81" s="59"/>
      <c r="CC81" s="61"/>
      <c r="CD81" s="2023"/>
      <c r="CE81" s="43"/>
    </row>
    <row r="82" spans="2:83" ht="16.5" customHeight="1" x14ac:dyDescent="0.3">
      <c r="B82" s="2007"/>
      <c r="C82" s="115"/>
      <c r="D82" s="50"/>
      <c r="E82" s="59"/>
      <c r="F82" s="59"/>
      <c r="G82" s="59"/>
      <c r="H82" s="59"/>
      <c r="I82" s="59"/>
      <c r="J82" s="59"/>
      <c r="K82" s="59"/>
      <c r="L82" s="59"/>
      <c r="M82" s="59"/>
      <c r="N82" s="59"/>
      <c r="O82" s="59"/>
      <c r="P82" s="59"/>
      <c r="Q82" s="59"/>
      <c r="R82" s="59"/>
      <c r="S82" s="59"/>
      <c r="T82" s="59"/>
      <c r="U82" s="59"/>
      <c r="V82" s="55"/>
      <c r="W82" s="59"/>
      <c r="X82" s="55"/>
      <c r="Y82" s="59"/>
      <c r="Z82" s="59"/>
      <c r="AA82" s="59"/>
      <c r="AB82" s="59"/>
      <c r="AC82" s="61"/>
      <c r="AD82" s="59"/>
      <c r="AE82" s="50"/>
      <c r="AF82" s="59"/>
      <c r="AG82" s="59"/>
      <c r="AH82" s="55"/>
      <c r="AI82" s="59"/>
      <c r="AJ82" s="59"/>
      <c r="AK82" s="59"/>
      <c r="AL82" s="59"/>
      <c r="AM82" s="59"/>
      <c r="AN82" s="59"/>
      <c r="AO82" s="59"/>
      <c r="AP82" s="59"/>
      <c r="AQ82" s="89"/>
      <c r="AR82" s="89"/>
      <c r="AS82" s="139"/>
      <c r="AT82" s="139"/>
      <c r="AU82" s="139"/>
      <c r="AV82" s="139"/>
      <c r="AW82" s="139"/>
      <c r="AX82" s="139"/>
      <c r="AY82" s="59"/>
      <c r="AZ82" s="59"/>
      <c r="BA82" s="59"/>
      <c r="BB82" s="59"/>
      <c r="BC82" s="59"/>
      <c r="BD82" s="59"/>
      <c r="BE82" s="59"/>
      <c r="BF82" s="59"/>
      <c r="BG82" s="61"/>
      <c r="BH82" s="114"/>
      <c r="BI82" s="2031"/>
      <c r="BJ82" s="50"/>
      <c r="BK82" s="55"/>
      <c r="BL82" s="3379"/>
      <c r="BM82" s="3379"/>
      <c r="BN82" s="3379"/>
      <c r="BO82" s="3379"/>
      <c r="BP82" s="3379"/>
      <c r="BQ82" s="3379"/>
      <c r="BR82" s="3379"/>
      <c r="BS82" s="3379"/>
      <c r="BT82" s="3379"/>
      <c r="BU82" s="3379"/>
      <c r="BV82" s="3379"/>
      <c r="BW82" s="3379"/>
      <c r="BX82" s="3379"/>
      <c r="BY82" s="3379"/>
      <c r="BZ82" s="3379"/>
      <c r="CA82" s="3379"/>
      <c r="CB82" s="1272"/>
      <c r="CC82" s="61"/>
      <c r="CD82" s="2023"/>
      <c r="CE82" s="43"/>
    </row>
    <row r="83" spans="2:83" ht="5.25" customHeight="1" x14ac:dyDescent="0.25">
      <c r="B83" s="2007"/>
      <c r="C83" s="115"/>
      <c r="D83" s="50"/>
      <c r="E83" s="59"/>
      <c r="F83" s="59"/>
      <c r="G83" s="59"/>
      <c r="H83" s="59"/>
      <c r="I83" s="59"/>
      <c r="J83" s="59"/>
      <c r="K83" s="59"/>
      <c r="L83" s="59"/>
      <c r="M83" s="59"/>
      <c r="N83" s="59"/>
      <c r="O83" s="59"/>
      <c r="P83" s="59"/>
      <c r="Q83" s="59"/>
      <c r="R83" s="59"/>
      <c r="S83" s="59"/>
      <c r="T83" s="59"/>
      <c r="U83" s="59"/>
      <c r="V83" s="55"/>
      <c r="W83" s="59"/>
      <c r="X83" s="55"/>
      <c r="Y83" s="59"/>
      <c r="Z83" s="59"/>
      <c r="AA83" s="59"/>
      <c r="AB83" s="59"/>
      <c r="AC83" s="61"/>
      <c r="AD83" s="59"/>
      <c r="AE83" s="50"/>
      <c r="AF83" s="59"/>
      <c r="AG83" s="59"/>
      <c r="AH83" s="55"/>
      <c r="AI83" s="59"/>
      <c r="AJ83" s="59"/>
      <c r="AK83" s="59"/>
      <c r="AL83" s="59"/>
      <c r="AM83" s="59"/>
      <c r="AN83" s="59"/>
      <c r="AO83" s="59"/>
      <c r="AP83" s="59"/>
      <c r="AQ83" s="89"/>
      <c r="AR83" s="89"/>
      <c r="AS83" s="139"/>
      <c r="AT83" s="139"/>
      <c r="AU83" s="139"/>
      <c r="AV83" s="139"/>
      <c r="AW83" s="139"/>
      <c r="AX83" s="139"/>
      <c r="AY83" s="59"/>
      <c r="AZ83" s="59"/>
      <c r="BA83" s="59"/>
      <c r="BB83" s="59"/>
      <c r="BC83" s="59"/>
      <c r="BD83" s="59"/>
      <c r="BE83" s="59"/>
      <c r="BF83" s="59"/>
      <c r="BG83" s="61"/>
      <c r="BH83" s="114"/>
      <c r="BI83" s="2031"/>
      <c r="BJ83" s="50"/>
      <c r="BK83" s="55"/>
      <c r="CB83" s="59"/>
      <c r="CC83" s="61"/>
      <c r="CD83" s="2023"/>
      <c r="CE83" s="43"/>
    </row>
    <row r="84" spans="2:83" ht="5.25" customHeight="1" thickBot="1" x14ac:dyDescent="0.3">
      <c r="B84" s="2007"/>
      <c r="C84" s="115"/>
      <c r="D84" s="50"/>
      <c r="E84" s="59"/>
      <c r="F84" s="59"/>
      <c r="G84" s="59"/>
      <c r="H84" s="59"/>
      <c r="I84" s="59"/>
      <c r="J84" s="59"/>
      <c r="K84" s="59"/>
      <c r="L84" s="59"/>
      <c r="M84" s="59"/>
      <c r="N84" s="59"/>
      <c r="O84" s="59"/>
      <c r="P84" s="59"/>
      <c r="Q84" s="59"/>
      <c r="R84" s="59"/>
      <c r="S84" s="59"/>
      <c r="T84" s="59"/>
      <c r="U84" s="59"/>
      <c r="V84" s="55"/>
      <c r="W84" s="59"/>
      <c r="X84" s="55"/>
      <c r="Y84" s="59"/>
      <c r="Z84" s="59"/>
      <c r="AA84" s="59"/>
      <c r="AB84" s="59"/>
      <c r="AC84" s="61"/>
      <c r="AD84" s="59"/>
      <c r="AE84" s="50"/>
      <c r="AF84" s="59"/>
      <c r="AG84" s="59"/>
      <c r="AH84" s="55"/>
      <c r="AI84" s="59"/>
      <c r="AJ84" s="59"/>
      <c r="AK84" s="59"/>
      <c r="AL84" s="59"/>
      <c r="AM84" s="59"/>
      <c r="AN84" s="59"/>
      <c r="AO84" s="59"/>
      <c r="AP84" s="59"/>
      <c r="AQ84" s="89"/>
      <c r="AR84" s="89"/>
      <c r="AS84" s="139"/>
      <c r="AT84" s="139"/>
      <c r="AU84" s="139"/>
      <c r="AV84" s="139"/>
      <c r="AW84" s="139"/>
      <c r="AX84" s="139"/>
      <c r="AY84" s="59"/>
      <c r="AZ84" s="59"/>
      <c r="BA84" s="59"/>
      <c r="BB84" s="59"/>
      <c r="BC84" s="59"/>
      <c r="BD84" s="59"/>
      <c r="BE84" s="59"/>
      <c r="BF84" s="59"/>
      <c r="BG84" s="61"/>
      <c r="BH84" s="114"/>
      <c r="BI84" s="2031"/>
      <c r="BJ84" s="50"/>
      <c r="BK84" s="55"/>
      <c r="BL84" s="3379"/>
      <c r="BM84" s="3379"/>
      <c r="BN84" s="3379"/>
      <c r="BO84" s="3379"/>
      <c r="BP84" s="3379"/>
      <c r="BQ84" s="3379"/>
      <c r="BR84" s="3379"/>
      <c r="BS84" s="3379"/>
      <c r="BT84" s="3379"/>
      <c r="BU84" s="3379"/>
      <c r="BV84" s="3379"/>
      <c r="BW84" s="3379"/>
      <c r="BX84" s="3379"/>
      <c r="BY84" s="3379"/>
      <c r="BZ84" s="3379"/>
      <c r="CA84" s="3379"/>
      <c r="CC84" s="61"/>
      <c r="CD84" s="2023"/>
      <c r="CE84" s="43"/>
    </row>
    <row r="85" spans="2:83" ht="16.5" customHeight="1" thickTop="1" thickBot="1" x14ac:dyDescent="0.35">
      <c r="B85" s="2007"/>
      <c r="C85" s="115"/>
      <c r="D85" s="50"/>
      <c r="E85" s="59"/>
      <c r="F85" s="59"/>
      <c r="G85" s="59"/>
      <c r="H85" s="59"/>
      <c r="I85" s="59"/>
      <c r="J85" s="59"/>
      <c r="K85" s="59"/>
      <c r="L85" s="59"/>
      <c r="M85" s="59"/>
      <c r="N85" s="59"/>
      <c r="O85" s="59"/>
      <c r="P85" s="59"/>
      <c r="Q85" s="59"/>
      <c r="R85" s="59"/>
      <c r="S85" s="59"/>
      <c r="T85" s="59"/>
      <c r="U85" s="59"/>
      <c r="V85" s="55"/>
      <c r="W85" s="59"/>
      <c r="X85" s="55"/>
      <c r="Y85" s="59"/>
      <c r="Z85" s="59"/>
      <c r="AA85" s="59"/>
      <c r="AB85" s="59"/>
      <c r="AC85" s="61"/>
      <c r="AD85" s="59"/>
      <c r="AE85" s="50"/>
      <c r="AF85" s="59"/>
      <c r="AG85" s="59"/>
      <c r="AH85" s="55"/>
      <c r="AI85" s="59"/>
      <c r="AJ85" s="59"/>
      <c r="AK85" s="59"/>
      <c r="AL85" s="59"/>
      <c r="AM85" s="59"/>
      <c r="AN85" s="59"/>
      <c r="AO85" s="59"/>
      <c r="AP85" s="59"/>
      <c r="AQ85" s="89"/>
      <c r="AR85" s="89"/>
      <c r="AS85" s="139"/>
      <c r="AT85" s="139"/>
      <c r="AU85" s="139"/>
      <c r="AV85" s="139"/>
      <c r="AW85" s="139"/>
      <c r="AX85" s="139"/>
      <c r="AY85" s="59"/>
      <c r="AZ85" s="59"/>
      <c r="BA85" s="59"/>
      <c r="BB85" s="59"/>
      <c r="BC85" s="59"/>
      <c r="BD85" s="59"/>
      <c r="BE85" s="59"/>
      <c r="BF85" s="59"/>
      <c r="BG85" s="61"/>
      <c r="BH85" s="114"/>
      <c r="BI85" s="2031"/>
      <c r="BJ85" s="50"/>
      <c r="BK85" s="1154"/>
      <c r="BL85" s="3379"/>
      <c r="BM85" s="3379"/>
      <c r="BN85" s="3379"/>
      <c r="BO85" s="3379"/>
      <c r="BP85" s="3379"/>
      <c r="BQ85" s="3379"/>
      <c r="BR85" s="3379"/>
      <c r="BS85" s="3379"/>
      <c r="BT85" s="3379"/>
      <c r="BU85" s="3379"/>
      <c r="BV85" s="3379"/>
      <c r="BW85" s="3379"/>
      <c r="BX85" s="3379"/>
      <c r="BY85" s="3379"/>
      <c r="BZ85" s="3379"/>
      <c r="CA85" s="3379"/>
      <c r="CB85" s="3307"/>
      <c r="CC85" s="3308"/>
      <c r="CD85" s="2023"/>
      <c r="CE85" s="43"/>
    </row>
    <row r="86" spans="2:83" ht="4.5" customHeight="1" thickTop="1" x14ac:dyDescent="0.25">
      <c r="B86" s="2007"/>
      <c r="C86" s="115"/>
      <c r="D86" s="50"/>
      <c r="E86" s="59"/>
      <c r="F86" s="59"/>
      <c r="G86" s="59"/>
      <c r="H86" s="59"/>
      <c r="I86" s="59"/>
      <c r="J86" s="59"/>
      <c r="K86" s="59"/>
      <c r="L86" s="59"/>
      <c r="M86" s="59"/>
      <c r="N86" s="59"/>
      <c r="O86" s="59"/>
      <c r="P86" s="59"/>
      <c r="Q86" s="59"/>
      <c r="R86" s="59"/>
      <c r="S86" s="59"/>
      <c r="T86" s="59"/>
      <c r="U86" s="59"/>
      <c r="V86" s="55"/>
      <c r="W86" s="59"/>
      <c r="X86" s="55"/>
      <c r="Y86" s="59"/>
      <c r="Z86" s="59"/>
      <c r="AA86" s="59"/>
      <c r="AB86" s="59"/>
      <c r="AC86" s="61"/>
      <c r="AD86" s="59"/>
      <c r="AE86" s="50"/>
      <c r="AF86" s="59"/>
      <c r="AG86" s="59"/>
      <c r="AH86" s="55"/>
      <c r="AI86" s="59"/>
      <c r="AJ86" s="59"/>
      <c r="AK86" s="59"/>
      <c r="AL86" s="59"/>
      <c r="AM86" s="59"/>
      <c r="AN86" s="59"/>
      <c r="AO86" s="59"/>
      <c r="AP86" s="59"/>
      <c r="AQ86" s="89"/>
      <c r="AR86" s="89"/>
      <c r="AS86" s="139"/>
      <c r="AT86" s="139"/>
      <c r="AU86" s="139"/>
      <c r="AV86" s="139"/>
      <c r="AW86" s="139"/>
      <c r="AX86" s="139"/>
      <c r="AY86" s="59"/>
      <c r="AZ86" s="59"/>
      <c r="BA86" s="59"/>
      <c r="BB86" s="59"/>
      <c r="BC86" s="59"/>
      <c r="BD86" s="59"/>
      <c r="BE86" s="59"/>
      <c r="BF86" s="59"/>
      <c r="BG86" s="61"/>
      <c r="BH86" s="114"/>
      <c r="BI86" s="2031"/>
      <c r="BJ86" s="50"/>
      <c r="BK86" s="55"/>
      <c r="BL86" s="3379"/>
      <c r="BM86" s="3379"/>
      <c r="BN86" s="3379"/>
      <c r="BO86" s="3379"/>
      <c r="BP86" s="3379"/>
      <c r="BQ86" s="3379"/>
      <c r="BR86" s="3379"/>
      <c r="BS86" s="3379"/>
      <c r="BT86" s="3379"/>
      <c r="BU86" s="3379"/>
      <c r="BV86" s="3379"/>
      <c r="BW86" s="3379"/>
      <c r="BX86" s="3379"/>
      <c r="BY86" s="3379"/>
      <c r="BZ86" s="3379"/>
      <c r="CA86" s="3379"/>
      <c r="CC86" s="61"/>
      <c r="CD86" s="2023"/>
      <c r="CE86" s="43"/>
    </row>
    <row r="87" spans="2:83" ht="5.25" customHeight="1" thickBot="1" x14ac:dyDescent="0.3">
      <c r="B87" s="2007"/>
      <c r="C87" s="115"/>
      <c r="D87" s="50"/>
      <c r="E87" s="59"/>
      <c r="F87" s="59"/>
      <c r="G87" s="59"/>
      <c r="H87" s="59"/>
      <c r="I87" s="59"/>
      <c r="J87" s="59"/>
      <c r="K87" s="59"/>
      <c r="L87" s="59"/>
      <c r="M87" s="59"/>
      <c r="N87" s="59"/>
      <c r="O87" s="59"/>
      <c r="P87" s="59"/>
      <c r="Q87" s="59"/>
      <c r="R87" s="59"/>
      <c r="S87" s="59"/>
      <c r="T87" s="59"/>
      <c r="U87" s="59"/>
      <c r="V87" s="55"/>
      <c r="W87" s="59"/>
      <c r="X87" s="55"/>
      <c r="Y87" s="59"/>
      <c r="Z87" s="59"/>
      <c r="AA87" s="59"/>
      <c r="AB87" s="59"/>
      <c r="AC87" s="61"/>
      <c r="AD87" s="59"/>
      <c r="AE87" s="50"/>
      <c r="AF87" s="59"/>
      <c r="AG87" s="59"/>
      <c r="AH87" s="55"/>
      <c r="AI87" s="59"/>
      <c r="AJ87" s="59"/>
      <c r="AK87" s="59"/>
      <c r="AL87" s="59"/>
      <c r="AM87" s="59"/>
      <c r="AN87" s="59"/>
      <c r="AO87" s="59"/>
      <c r="AP87" s="59"/>
      <c r="AQ87" s="89"/>
      <c r="AR87" s="89"/>
      <c r="AS87" s="139"/>
      <c r="AT87" s="139"/>
      <c r="AU87" s="139"/>
      <c r="AV87" s="139"/>
      <c r="AW87" s="139"/>
      <c r="AX87" s="139"/>
      <c r="AY87" s="59"/>
      <c r="AZ87" s="59"/>
      <c r="BA87" s="59"/>
      <c r="BB87" s="59"/>
      <c r="BC87" s="59"/>
      <c r="BD87" s="59"/>
      <c r="BE87" s="59"/>
      <c r="BF87" s="59"/>
      <c r="BG87" s="61"/>
      <c r="BH87" s="114"/>
      <c r="BI87" s="2031"/>
      <c r="BJ87" s="50"/>
      <c r="BK87" s="55"/>
      <c r="BL87" s="3379"/>
      <c r="BM87" s="3379"/>
      <c r="BN87" s="3379"/>
      <c r="BO87" s="3379"/>
      <c r="BP87" s="3379"/>
      <c r="BQ87" s="3379"/>
      <c r="BR87" s="3379"/>
      <c r="BS87" s="3379"/>
      <c r="BT87" s="3379"/>
      <c r="BU87" s="3379"/>
      <c r="BV87" s="3379"/>
      <c r="BW87" s="3379"/>
      <c r="BX87" s="3379"/>
      <c r="BY87" s="3379"/>
      <c r="BZ87" s="3379"/>
      <c r="CA87" s="3379"/>
      <c r="CB87" s="59"/>
      <c r="CC87" s="61"/>
      <c r="CD87" s="2023"/>
      <c r="CE87" s="43"/>
    </row>
    <row r="88" spans="2:83" ht="18" customHeight="1" thickTop="1" thickBot="1" x14ac:dyDescent="0.35">
      <c r="B88" s="2007"/>
      <c r="C88" s="115"/>
      <c r="D88" s="50"/>
      <c r="E88" s="59"/>
      <c r="F88" s="59"/>
      <c r="G88" s="59"/>
      <c r="H88" s="59"/>
      <c r="I88" s="59"/>
      <c r="J88" s="59"/>
      <c r="K88" s="59"/>
      <c r="L88" s="59"/>
      <c r="M88" s="59"/>
      <c r="N88" s="59"/>
      <c r="O88" s="59"/>
      <c r="P88" s="59"/>
      <c r="Q88" s="59"/>
      <c r="R88" s="59"/>
      <c r="S88" s="59"/>
      <c r="T88" s="59"/>
      <c r="U88" s="59"/>
      <c r="V88" s="55"/>
      <c r="W88" s="59"/>
      <c r="X88" s="55"/>
      <c r="Y88" s="59"/>
      <c r="Z88" s="59"/>
      <c r="AA88" s="59"/>
      <c r="AB88" s="59"/>
      <c r="AC88" s="61"/>
      <c r="AD88" s="59"/>
      <c r="AE88" s="50"/>
      <c r="AF88" s="59"/>
      <c r="AG88" s="59"/>
      <c r="AH88" s="55"/>
      <c r="AI88" s="59"/>
      <c r="AJ88" s="59"/>
      <c r="AK88" s="59"/>
      <c r="AL88" s="59"/>
      <c r="AM88" s="59"/>
      <c r="AN88" s="59"/>
      <c r="AO88" s="59"/>
      <c r="AP88" s="59"/>
      <c r="AQ88" s="89"/>
      <c r="AR88" s="89"/>
      <c r="AS88" s="139"/>
      <c r="AT88" s="139"/>
      <c r="AU88" s="139"/>
      <c r="AV88" s="139"/>
      <c r="AW88" s="139"/>
      <c r="AX88" s="139"/>
      <c r="AY88" s="59"/>
      <c r="AZ88" s="59"/>
      <c r="BA88" s="59"/>
      <c r="BB88" s="59"/>
      <c r="BC88" s="59"/>
      <c r="BD88" s="59"/>
      <c r="BE88" s="59"/>
      <c r="BF88" s="59"/>
      <c r="BG88" s="61"/>
      <c r="BH88" s="114"/>
      <c r="BI88" s="2031"/>
      <c r="BJ88" s="50"/>
      <c r="BK88" s="437"/>
      <c r="BL88" s="3379"/>
      <c r="BM88" s="3379"/>
      <c r="BN88" s="3379"/>
      <c r="BO88" s="3379"/>
      <c r="BP88" s="3379"/>
      <c r="BQ88" s="3379"/>
      <c r="BR88" s="3379"/>
      <c r="BS88" s="3379"/>
      <c r="BT88" s="3379"/>
      <c r="BU88" s="3379"/>
      <c r="BV88" s="3379"/>
      <c r="BW88" s="3379"/>
      <c r="BX88" s="3379"/>
      <c r="BY88" s="3379"/>
      <c r="BZ88" s="3379"/>
      <c r="CA88" s="3379"/>
      <c r="CB88" s="3307"/>
      <c r="CC88" s="3308"/>
      <c r="CD88" s="2023"/>
      <c r="CE88" s="43"/>
    </row>
    <row r="89" spans="2:83" ht="8.25" customHeight="1" thickTop="1" x14ac:dyDescent="0.25">
      <c r="B89" s="2007"/>
      <c r="C89" s="115"/>
      <c r="D89" s="91"/>
      <c r="E89" s="92"/>
      <c r="F89" s="92"/>
      <c r="G89" s="92"/>
      <c r="H89" s="92"/>
      <c r="I89" s="92"/>
      <c r="J89" s="92"/>
      <c r="K89" s="92"/>
      <c r="L89" s="92"/>
      <c r="M89" s="92"/>
      <c r="N89" s="92"/>
      <c r="O89" s="92"/>
      <c r="P89" s="92"/>
      <c r="Q89" s="92"/>
      <c r="R89" s="92"/>
      <c r="S89" s="92"/>
      <c r="T89" s="92"/>
      <c r="U89" s="92"/>
      <c r="V89" s="162"/>
      <c r="W89" s="92"/>
      <c r="X89" s="162"/>
      <c r="Y89" s="92"/>
      <c r="Z89" s="92"/>
      <c r="AA89" s="92"/>
      <c r="AB89" s="92"/>
      <c r="AC89" s="93"/>
      <c r="AD89" s="59"/>
      <c r="AE89" s="91"/>
      <c r="AF89" s="92"/>
      <c r="AG89" s="92"/>
      <c r="AH89" s="162"/>
      <c r="AI89" s="92"/>
      <c r="AJ89" s="92"/>
      <c r="AK89" s="92"/>
      <c r="AL89" s="92"/>
      <c r="AM89" s="92"/>
      <c r="AN89" s="92"/>
      <c r="AO89" s="92"/>
      <c r="AP89" s="92"/>
      <c r="AQ89" s="164"/>
      <c r="AR89" s="164"/>
      <c r="AS89" s="165"/>
      <c r="AT89" s="165"/>
      <c r="AU89" s="165"/>
      <c r="AV89" s="165"/>
      <c r="AW89" s="165"/>
      <c r="AX89" s="165"/>
      <c r="AY89" s="92"/>
      <c r="AZ89" s="92"/>
      <c r="BA89" s="92"/>
      <c r="BB89" s="92"/>
      <c r="BC89" s="92"/>
      <c r="BD89" s="92"/>
      <c r="BE89" s="92"/>
      <c r="BF89" s="92"/>
      <c r="BG89" s="93"/>
      <c r="BH89" s="114"/>
      <c r="BI89" s="2031"/>
      <c r="BJ89" s="50"/>
      <c r="BK89" s="55"/>
      <c r="BL89" s="1273"/>
      <c r="BM89" s="1273"/>
      <c r="BN89" s="1273"/>
      <c r="BO89" s="1273"/>
      <c r="BP89" s="1273"/>
      <c r="BQ89" s="1273"/>
      <c r="BR89" s="1273"/>
      <c r="BS89" s="1273"/>
      <c r="BT89" s="1273"/>
      <c r="BU89" s="1273"/>
      <c r="BV89" s="1273"/>
      <c r="BW89" s="1273"/>
      <c r="BX89" s="1273"/>
      <c r="BY89" s="1273"/>
      <c r="BZ89" s="1273"/>
      <c r="CA89" s="1273"/>
      <c r="CC89" s="61"/>
      <c r="CD89" s="2023"/>
      <c r="CE89" s="43"/>
    </row>
    <row r="90" spans="2:83" ht="12" customHeight="1" x14ac:dyDescent="0.25">
      <c r="B90" s="2007"/>
      <c r="C90" s="118"/>
      <c r="D90" s="116"/>
      <c r="E90" s="116"/>
      <c r="F90" s="116"/>
      <c r="G90" s="116"/>
      <c r="H90" s="116"/>
      <c r="I90" s="116"/>
      <c r="J90" s="116"/>
      <c r="K90" s="116"/>
      <c r="L90" s="116"/>
      <c r="M90" s="116"/>
      <c r="N90" s="116"/>
      <c r="O90" s="116"/>
      <c r="P90" s="116"/>
      <c r="Q90" s="116"/>
      <c r="R90" s="116"/>
      <c r="S90" s="116"/>
      <c r="T90" s="116"/>
      <c r="U90" s="116"/>
      <c r="V90" s="176"/>
      <c r="W90" s="116"/>
      <c r="X90" s="176"/>
      <c r="Y90" s="116"/>
      <c r="Z90" s="116"/>
      <c r="AA90" s="116"/>
      <c r="AB90" s="116"/>
      <c r="AC90" s="116"/>
      <c r="AD90" s="116"/>
      <c r="AE90" s="116"/>
      <c r="AF90" s="116"/>
      <c r="AG90" s="116"/>
      <c r="AH90" s="176"/>
      <c r="AI90" s="116"/>
      <c r="AJ90" s="116"/>
      <c r="AK90" s="116"/>
      <c r="AL90" s="116"/>
      <c r="AM90" s="116"/>
      <c r="AN90" s="116"/>
      <c r="AO90" s="116"/>
      <c r="AP90" s="116"/>
      <c r="AQ90" s="177"/>
      <c r="AR90" s="177" t="s">
        <v>124</v>
      </c>
      <c r="AS90" s="178"/>
      <c r="AT90" s="178"/>
      <c r="AU90" s="178"/>
      <c r="AV90" s="178"/>
      <c r="AW90" s="178"/>
      <c r="AX90" s="178"/>
      <c r="AY90" s="116"/>
      <c r="AZ90" s="116"/>
      <c r="BA90" s="116"/>
      <c r="BB90" s="116"/>
      <c r="BC90" s="116"/>
      <c r="BD90" s="116"/>
      <c r="BE90" s="116"/>
      <c r="BF90" s="116"/>
      <c r="BG90" s="116"/>
      <c r="BH90" s="117"/>
      <c r="BI90" s="2031"/>
      <c r="BJ90" s="91"/>
      <c r="BK90" s="92"/>
      <c r="BL90" s="162"/>
      <c r="BM90" s="92"/>
      <c r="BN90" s="162"/>
      <c r="BO90" s="92"/>
      <c r="BP90" s="92"/>
      <c r="BQ90" s="92"/>
      <c r="BR90" s="92"/>
      <c r="BS90" s="92"/>
      <c r="BT90" s="92"/>
      <c r="BU90" s="92"/>
      <c r="BV90" s="92"/>
      <c r="BW90" s="92"/>
      <c r="BX90" s="164"/>
      <c r="BY90" s="92"/>
      <c r="BZ90" s="92"/>
      <c r="CA90" s="92"/>
      <c r="CB90" s="92"/>
      <c r="CC90" s="93"/>
      <c r="CD90" s="2023"/>
      <c r="CE90" s="43"/>
    </row>
    <row r="91" spans="2:83" ht="13.5" customHeight="1" x14ac:dyDescent="0.25">
      <c r="B91" s="2010"/>
      <c r="C91" s="2018"/>
      <c r="D91" s="2018"/>
      <c r="E91" s="2018"/>
      <c r="F91" s="2018"/>
      <c r="G91" s="2018"/>
      <c r="H91" s="2018"/>
      <c r="I91" s="2018"/>
      <c r="J91" s="2018"/>
      <c r="K91" s="2018"/>
      <c r="L91" s="2018"/>
      <c r="M91" s="2018"/>
      <c r="N91" s="2018"/>
      <c r="O91" s="2018"/>
      <c r="P91" s="2018"/>
      <c r="Q91" s="2018"/>
      <c r="R91" s="2018"/>
      <c r="S91" s="2018"/>
      <c r="T91" s="2018"/>
      <c r="U91" s="2018"/>
      <c r="V91" s="2018"/>
      <c r="W91" s="2018"/>
      <c r="X91" s="2018"/>
      <c r="Y91" s="2018"/>
      <c r="Z91" s="2018"/>
      <c r="AA91" s="2018"/>
      <c r="AB91" s="2018"/>
      <c r="AC91" s="2018"/>
      <c r="AD91" s="2018"/>
      <c r="AE91" s="2018"/>
      <c r="AF91" s="2018"/>
      <c r="AG91" s="2018"/>
      <c r="AH91" s="2018"/>
      <c r="AI91" s="2018"/>
      <c r="AJ91" s="2018"/>
      <c r="AK91" s="2018"/>
      <c r="AL91" s="2018"/>
      <c r="AM91" s="2018"/>
      <c r="AN91" s="2018"/>
      <c r="AO91" s="2018"/>
      <c r="AP91" s="2018"/>
      <c r="AQ91" s="2018"/>
      <c r="AR91" s="2018"/>
      <c r="AS91" s="2018"/>
      <c r="AT91" s="2018"/>
      <c r="AU91" s="2018"/>
      <c r="AV91" s="2018"/>
      <c r="AW91" s="2018"/>
      <c r="AX91" s="2018"/>
      <c r="AY91" s="2018"/>
      <c r="AZ91" s="2018"/>
      <c r="BA91" s="2018"/>
      <c r="BB91" s="2018"/>
      <c r="BC91" s="2018"/>
      <c r="BD91" s="2018"/>
      <c r="BE91" s="2018"/>
      <c r="BF91" s="2018"/>
      <c r="BG91" s="2018"/>
      <c r="BH91" s="2018"/>
      <c r="BI91" s="2018"/>
      <c r="BJ91" s="2018"/>
      <c r="BK91" s="2018"/>
      <c r="BL91" s="2018"/>
      <c r="BM91" s="2018"/>
      <c r="BN91" s="2018"/>
      <c r="BO91" s="2018"/>
      <c r="BP91" s="2018"/>
      <c r="BQ91" s="2018"/>
      <c r="BR91" s="2018"/>
      <c r="BS91" s="2018"/>
      <c r="BT91" s="2018"/>
      <c r="BU91" s="2018"/>
      <c r="BV91" s="2018"/>
      <c r="BW91" s="2018"/>
      <c r="BX91" s="2018"/>
      <c r="BY91" s="2018"/>
      <c r="BZ91" s="2018"/>
      <c r="CA91" s="2018"/>
      <c r="CB91" s="2018"/>
      <c r="CC91" s="2018"/>
      <c r="CD91" s="2019"/>
      <c r="CE91" s="43"/>
    </row>
    <row r="92" spans="2:83" ht="9.75" customHeight="1" x14ac:dyDescent="0.25">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c r="CA92" s="59"/>
      <c r="CB92" s="59"/>
      <c r="CC92" s="59"/>
      <c r="CD92" s="59"/>
      <c r="CE92" s="59"/>
    </row>
    <row r="93" spans="2:83" ht="22.5" customHeight="1" x14ac:dyDescent="0.25">
      <c r="B93" s="1890"/>
      <c r="C93" s="1891" t="s">
        <v>1840</v>
      </c>
      <c r="D93" s="1892"/>
      <c r="E93" s="1892"/>
      <c r="F93" s="1892"/>
      <c r="G93" s="1892"/>
      <c r="H93" s="1892"/>
      <c r="I93" s="1892"/>
      <c r="J93" s="1892"/>
      <c r="K93" s="1892"/>
      <c r="L93" s="1892"/>
      <c r="M93" s="1892"/>
      <c r="N93" s="1892"/>
      <c r="O93" s="1892"/>
      <c r="P93" s="1892"/>
      <c r="Q93" s="1892"/>
      <c r="R93" s="1892"/>
      <c r="S93" s="1892"/>
      <c r="T93" s="1892"/>
      <c r="U93" s="1892"/>
      <c r="V93" s="1892"/>
      <c r="W93" s="1892"/>
      <c r="X93" s="1892"/>
      <c r="Y93" s="1892"/>
      <c r="Z93" s="1892"/>
      <c r="AA93" s="1892"/>
      <c r="AB93" s="1892"/>
      <c r="AC93" s="1892"/>
      <c r="AD93" s="1892"/>
      <c r="AE93" s="1892"/>
      <c r="AF93" s="1892"/>
      <c r="AG93" s="1892"/>
      <c r="AH93" s="1892"/>
      <c r="AI93" s="1892"/>
      <c r="AJ93" s="1892"/>
      <c r="AK93" s="1892"/>
      <c r="AL93" s="1892"/>
      <c r="AM93" s="1892"/>
      <c r="AN93" s="1892"/>
      <c r="AO93" s="1892"/>
      <c r="AP93" s="1892"/>
      <c r="AQ93" s="1893"/>
      <c r="AR93" s="1893"/>
      <c r="AS93" s="1892"/>
      <c r="AT93" s="1892"/>
      <c r="AU93" s="1892"/>
      <c r="AV93" s="1892"/>
      <c r="AW93" s="1892"/>
      <c r="AX93" s="1892"/>
      <c r="AY93" s="1892"/>
      <c r="AZ93" s="1892"/>
      <c r="BA93" s="1892"/>
      <c r="BB93" s="1892"/>
      <c r="BC93" s="1892"/>
      <c r="BD93" s="1892"/>
      <c r="BE93" s="1892"/>
      <c r="BF93" s="1892"/>
      <c r="BG93" s="1892"/>
      <c r="BH93" s="1892"/>
      <c r="BI93" s="1892"/>
      <c r="BJ93" s="1892"/>
      <c r="BK93" s="1892"/>
      <c r="BL93" s="1892"/>
      <c r="BM93" s="1892"/>
      <c r="BN93" s="1892"/>
      <c r="BO93" s="1892"/>
      <c r="BP93" s="1892"/>
      <c r="BQ93" s="1892"/>
      <c r="BR93" s="1892"/>
      <c r="BS93" s="1892"/>
      <c r="BT93" s="1892"/>
      <c r="BU93" s="1892"/>
      <c r="BV93" s="1892"/>
      <c r="BW93" s="1892"/>
      <c r="BX93" s="1890"/>
      <c r="BY93" s="1890"/>
      <c r="BZ93" s="1894"/>
      <c r="CA93" s="1890"/>
      <c r="CB93" s="3410"/>
      <c r="CC93" s="3410"/>
      <c r="CD93" s="1892"/>
    </row>
    <row r="94" spans="2:83" ht="6.75" customHeight="1" x14ac:dyDescent="0.25"/>
    <row r="95" spans="2:83" ht="14.25" customHeight="1" x14ac:dyDescent="0.25">
      <c r="B95" s="2009"/>
      <c r="C95" s="2011"/>
      <c r="D95" s="2011"/>
      <c r="E95" s="2011"/>
      <c r="F95" s="2011"/>
      <c r="G95" s="2011"/>
      <c r="H95" s="2011"/>
      <c r="I95" s="2011"/>
      <c r="J95" s="2011"/>
      <c r="K95" s="2011"/>
      <c r="L95" s="2011"/>
      <c r="M95" s="2011"/>
      <c r="N95" s="2011"/>
      <c r="O95" s="2011"/>
      <c r="P95" s="2011"/>
      <c r="Q95" s="2011"/>
      <c r="R95" s="2011"/>
      <c r="S95" s="2011"/>
      <c r="T95" s="2011"/>
      <c r="U95" s="2011"/>
      <c r="V95" s="2011"/>
      <c r="W95" s="2011"/>
      <c r="X95" s="2011"/>
      <c r="Y95" s="2011"/>
      <c r="Z95" s="2011"/>
      <c r="AA95" s="2011"/>
      <c r="AB95" s="2011"/>
      <c r="AC95" s="2011"/>
      <c r="AD95" s="2011"/>
      <c r="AE95" s="2011"/>
      <c r="AF95" s="2011"/>
      <c r="AG95" s="2011"/>
      <c r="AH95" s="2011"/>
      <c r="AI95" s="2011"/>
      <c r="AJ95" s="2011"/>
      <c r="AK95" s="2011"/>
      <c r="AL95" s="2011"/>
      <c r="AM95" s="2011"/>
      <c r="AN95" s="2011"/>
      <c r="AO95" s="2011"/>
      <c r="AP95" s="2011"/>
      <c r="AQ95" s="2011"/>
      <c r="AR95" s="2011"/>
      <c r="AS95" s="2011"/>
      <c r="AT95" s="2011"/>
      <c r="AU95" s="2011"/>
      <c r="AV95" s="2011"/>
      <c r="AW95" s="2011"/>
      <c r="AX95" s="2011"/>
      <c r="AY95" s="2011"/>
      <c r="AZ95" s="2011"/>
      <c r="BA95" s="2011"/>
      <c r="BB95" s="2011"/>
      <c r="BC95" s="2011"/>
      <c r="BD95" s="2011"/>
      <c r="BE95" s="2011"/>
      <c r="BF95" s="2011"/>
      <c r="BG95" s="2011"/>
      <c r="BH95" s="2011"/>
      <c r="BI95" s="2011"/>
      <c r="BJ95" s="2011"/>
      <c r="BK95" s="2011"/>
      <c r="BL95" s="2011"/>
      <c r="BM95" s="2011"/>
      <c r="BN95" s="2011"/>
      <c r="BO95" s="2011"/>
      <c r="BP95" s="2011"/>
      <c r="BQ95" s="2011"/>
      <c r="BR95" s="2011"/>
      <c r="BS95" s="2011"/>
      <c r="BT95" s="2011"/>
      <c r="BU95" s="2011"/>
      <c r="BV95" s="2011"/>
      <c r="BW95" s="2011"/>
      <c r="BX95" s="2011"/>
      <c r="BY95" s="2011"/>
      <c r="BZ95" s="2011"/>
      <c r="CA95" s="2011"/>
      <c r="CB95" s="2011"/>
      <c r="CC95" s="2011"/>
      <c r="CD95" s="2012"/>
      <c r="CE95" s="43"/>
    </row>
    <row r="96" spans="2:83" ht="9.75" customHeight="1" x14ac:dyDescent="0.25">
      <c r="B96" s="2007"/>
      <c r="C96" s="45"/>
      <c r="D96" s="46"/>
      <c r="E96" s="46"/>
      <c r="F96" s="46"/>
      <c r="G96" s="46"/>
      <c r="H96" s="46"/>
      <c r="I96" s="46"/>
      <c r="J96" s="46"/>
      <c r="K96" s="46"/>
      <c r="L96" s="46"/>
      <c r="M96" s="46"/>
      <c r="N96" s="46"/>
      <c r="O96" s="46"/>
      <c r="P96" s="46"/>
      <c r="Q96" s="46"/>
      <c r="R96" s="46"/>
      <c r="S96" s="46"/>
      <c r="T96" s="46"/>
      <c r="U96" s="46"/>
      <c r="V96" s="46"/>
      <c r="W96" s="47"/>
      <c r="X96" s="2031"/>
      <c r="Y96" s="45"/>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7"/>
      <c r="AX96" s="2040"/>
      <c r="AY96" s="113"/>
      <c r="AZ96" s="111"/>
      <c r="BA96" s="111"/>
      <c r="BB96" s="111"/>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7"/>
      <c r="CD96" s="2023"/>
      <c r="CE96" s="43"/>
    </row>
    <row r="97" spans="2:83" ht="18" customHeight="1" x14ac:dyDescent="0.25">
      <c r="B97" s="2007"/>
      <c r="C97" s="453" t="s">
        <v>1902</v>
      </c>
      <c r="D97" s="209"/>
      <c r="E97" s="59"/>
      <c r="F97" s="59"/>
      <c r="G97" s="59"/>
      <c r="H97" s="59"/>
      <c r="I97" s="59"/>
      <c r="J97" s="59"/>
      <c r="K97" s="59"/>
      <c r="L97" s="59"/>
      <c r="M97" s="59"/>
      <c r="N97" s="59"/>
      <c r="O97" s="59"/>
      <c r="P97" s="59"/>
      <c r="Q97" s="59"/>
      <c r="R97" s="59"/>
      <c r="S97" s="59"/>
      <c r="T97" s="59"/>
      <c r="U97" s="3362">
        <f>'CALCULS Eaux usées'!O322</f>
        <v>0</v>
      </c>
      <c r="V97" s="3362"/>
      <c r="W97" s="61"/>
      <c r="X97" s="2031"/>
      <c r="Y97" s="50"/>
      <c r="Z97" s="540" t="s">
        <v>1903</v>
      </c>
      <c r="AA97" s="59"/>
      <c r="AC97" s="59"/>
      <c r="AD97" s="59"/>
      <c r="AE97" s="59"/>
      <c r="AF97" s="59"/>
      <c r="AG97" s="59"/>
      <c r="AH97" s="59"/>
      <c r="AI97" s="59"/>
      <c r="AJ97" s="59"/>
      <c r="AK97" s="59"/>
      <c r="AL97" s="59"/>
      <c r="AM97" s="59"/>
      <c r="AN97" s="59"/>
      <c r="AO97" s="59"/>
      <c r="AP97" s="59"/>
      <c r="AQ97" s="59"/>
      <c r="AR97" s="59"/>
      <c r="AS97" s="59"/>
      <c r="AT97" s="59"/>
      <c r="AU97" s="3330">
        <f>'CALCULS Eaux usées'!O346</f>
        <v>0</v>
      </c>
      <c r="AV97" s="3330"/>
      <c r="AW97" s="61"/>
      <c r="AX97" s="2040"/>
      <c r="AY97" s="115"/>
      <c r="AZ97" s="540" t="s">
        <v>1904</v>
      </c>
      <c r="BA97" s="59"/>
      <c r="BC97" s="59"/>
      <c r="BE97" s="59"/>
      <c r="BG97" s="59"/>
      <c r="BH97" s="59"/>
      <c r="BI97" s="59"/>
      <c r="BJ97" s="59"/>
      <c r="BK97" s="59"/>
      <c r="BL97" s="59"/>
      <c r="BM97" s="59"/>
      <c r="BN97" s="59"/>
      <c r="BO97" s="59"/>
      <c r="BP97" s="59"/>
      <c r="BQ97" s="59"/>
      <c r="BR97" s="59"/>
      <c r="BS97" s="59"/>
      <c r="BT97" s="59"/>
      <c r="BU97" s="59"/>
      <c r="BV97" s="59"/>
      <c r="BW97" s="59"/>
      <c r="BX97" s="59"/>
      <c r="BY97" s="59"/>
      <c r="BZ97" s="59"/>
      <c r="CA97" s="59"/>
      <c r="CB97" s="3330">
        <f>'CALCULS Eaux usées'!O370</f>
        <v>0</v>
      </c>
      <c r="CC97" s="3331"/>
      <c r="CD97" s="2023"/>
      <c r="CE97" s="43"/>
    </row>
    <row r="98" spans="2:83" ht="3.75" customHeight="1" x14ac:dyDescent="0.25">
      <c r="B98" s="2007"/>
      <c r="C98" s="180"/>
      <c r="E98" s="59"/>
      <c r="F98" s="59"/>
      <c r="G98" s="59"/>
      <c r="H98" s="59"/>
      <c r="I98" s="59"/>
      <c r="J98" s="59"/>
      <c r="K98" s="59"/>
      <c r="L98" s="59"/>
      <c r="M98" s="59"/>
      <c r="N98" s="59"/>
      <c r="O98" s="59"/>
      <c r="P98" s="59"/>
      <c r="Q98" s="59"/>
      <c r="R98" s="59"/>
      <c r="S98" s="59"/>
      <c r="T98" s="59"/>
      <c r="U98" s="59"/>
      <c r="V98" s="59"/>
      <c r="W98" s="61"/>
      <c r="X98" s="2031"/>
      <c r="Y98" s="50"/>
      <c r="Z98" s="125"/>
      <c r="AA98" s="59"/>
      <c r="AC98" s="59"/>
      <c r="AD98" s="59"/>
      <c r="AE98" s="59"/>
      <c r="AF98" s="59"/>
      <c r="AG98" s="59"/>
      <c r="AH98" s="59"/>
      <c r="AI98" s="59"/>
      <c r="AJ98" s="59"/>
      <c r="AK98" s="59"/>
      <c r="AL98" s="59"/>
      <c r="AM98" s="59"/>
      <c r="AN98" s="59"/>
      <c r="AO98" s="59"/>
      <c r="AP98" s="59"/>
      <c r="AQ98" s="59"/>
      <c r="AR98" s="59"/>
      <c r="AS98" s="59"/>
      <c r="AT98" s="59"/>
      <c r="AU98" s="59"/>
      <c r="AV98" s="59"/>
      <c r="AW98" s="61"/>
      <c r="AX98" s="2040"/>
      <c r="AY98" s="115"/>
      <c r="AZ98" s="125"/>
      <c r="BA98" s="59"/>
      <c r="BC98" s="59"/>
      <c r="BE98" s="59"/>
      <c r="BG98" s="59"/>
      <c r="BH98" s="59"/>
      <c r="BI98" s="59"/>
      <c r="BJ98" s="59"/>
      <c r="BK98" s="59"/>
      <c r="BL98" s="59"/>
      <c r="BM98" s="59"/>
      <c r="BN98" s="59"/>
      <c r="BO98" s="59"/>
      <c r="BP98" s="59"/>
      <c r="BQ98" s="59"/>
      <c r="BR98" s="59"/>
      <c r="BS98" s="59"/>
      <c r="BT98" s="59"/>
      <c r="BU98" s="59"/>
      <c r="BV98" s="59"/>
      <c r="BW98" s="59"/>
      <c r="BX98" s="59"/>
      <c r="BY98" s="59"/>
      <c r="BZ98" s="59"/>
      <c r="CA98" s="59"/>
      <c r="CB98" s="59"/>
      <c r="CC98" s="61"/>
      <c r="CD98" s="2023"/>
      <c r="CE98" s="43"/>
    </row>
    <row r="99" spans="2:83" ht="166.5" customHeight="1" x14ac:dyDescent="0.25">
      <c r="B99" s="2007"/>
      <c r="C99" s="50"/>
      <c r="D99" s="59"/>
      <c r="E99" s="59"/>
      <c r="F99" s="59"/>
      <c r="G99" s="59"/>
      <c r="H99" s="59"/>
      <c r="I99" s="59"/>
      <c r="J99" s="59"/>
      <c r="K99" s="59"/>
      <c r="L99" s="59"/>
      <c r="M99" s="59"/>
      <c r="N99" s="59"/>
      <c r="O99" s="59"/>
      <c r="P99" s="59"/>
      <c r="Q99" s="59"/>
      <c r="R99" s="59"/>
      <c r="S99" s="59"/>
      <c r="T99" s="59"/>
      <c r="U99" s="59"/>
      <c r="V99" s="59"/>
      <c r="W99" s="61"/>
      <c r="X99" s="2031"/>
      <c r="Y99" s="50"/>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61"/>
      <c r="AX99" s="2040"/>
      <c r="AY99" s="115"/>
      <c r="AZ99" s="59"/>
      <c r="BA99" s="59"/>
      <c r="BB99" s="59"/>
      <c r="BC99" s="59"/>
      <c r="BD99" s="59"/>
      <c r="BE99" s="59"/>
      <c r="BF99" s="59"/>
      <c r="BG99" s="59"/>
      <c r="BH99" s="59"/>
      <c r="BI99" s="59"/>
      <c r="BJ99" s="59"/>
      <c r="BK99" s="59"/>
      <c r="BL99" s="59"/>
      <c r="BM99" s="59"/>
      <c r="BN99" s="59"/>
      <c r="BO99" s="59"/>
      <c r="BP99" s="59"/>
      <c r="BQ99" s="59"/>
      <c r="BR99" s="59"/>
      <c r="BS99" s="59"/>
      <c r="BT99" s="59"/>
      <c r="BU99" s="59"/>
      <c r="BV99" s="59"/>
      <c r="BW99" s="59"/>
      <c r="BX99" s="59"/>
      <c r="BY99" s="59"/>
      <c r="BZ99" s="59"/>
      <c r="CA99" s="59"/>
      <c r="CB99" s="59"/>
      <c r="CC99" s="61"/>
      <c r="CD99" s="2023"/>
      <c r="CE99" s="43"/>
    </row>
    <row r="100" spans="2:83" ht="6" customHeight="1" x14ac:dyDescent="0.25">
      <c r="B100" s="2007"/>
      <c r="C100" s="50"/>
      <c r="D100" s="59"/>
      <c r="E100" s="59"/>
      <c r="F100" s="59"/>
      <c r="G100" s="59"/>
      <c r="H100" s="59"/>
      <c r="I100" s="59"/>
      <c r="J100" s="59"/>
      <c r="K100" s="59"/>
      <c r="L100" s="59"/>
      <c r="M100" s="59"/>
      <c r="N100" s="59"/>
      <c r="O100" s="59"/>
      <c r="P100" s="59"/>
      <c r="Q100" s="59"/>
      <c r="R100" s="59"/>
      <c r="S100" s="59"/>
      <c r="T100" s="59"/>
      <c r="U100" s="59"/>
      <c r="V100" s="59"/>
      <c r="W100" s="61"/>
      <c r="X100" s="2031"/>
      <c r="Y100" s="50"/>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61"/>
      <c r="AX100" s="2031"/>
      <c r="AY100" s="181"/>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c r="CA100" s="59"/>
      <c r="CB100" s="59"/>
      <c r="CC100" s="61"/>
      <c r="CD100" s="2023"/>
      <c r="CE100" s="43"/>
    </row>
    <row r="101" spans="2:83" ht="21.75" customHeight="1" x14ac:dyDescent="0.3">
      <c r="B101" s="2007"/>
      <c r="C101" s="64"/>
      <c r="E101" s="444"/>
      <c r="F101" s="90"/>
      <c r="G101" s="59"/>
      <c r="I101" s="59"/>
      <c r="J101" s="59"/>
      <c r="K101" s="59"/>
      <c r="O101" s="75"/>
      <c r="P101" s="1176" t="s">
        <v>45</v>
      </c>
      <c r="R101" s="3320" t="str">
        <f>'CALCULS Eaux usées'!N317</f>
        <v/>
      </c>
      <c r="S101" s="3320"/>
      <c r="T101" s="3320"/>
      <c r="U101" s="1275">
        <f>'CALCULS Eaux usées'!O322</f>
        <v>0</v>
      </c>
      <c r="W101" s="1201"/>
      <c r="X101" s="2031"/>
      <c r="Y101" s="50"/>
      <c r="AA101" s="59"/>
      <c r="AB101" s="59"/>
      <c r="AC101" s="59"/>
      <c r="AD101" s="59"/>
      <c r="AE101" s="59"/>
      <c r="AF101" s="59"/>
      <c r="AG101" s="59"/>
      <c r="AH101" s="59"/>
      <c r="AI101" s="59"/>
      <c r="AJ101" s="59"/>
      <c r="AK101" s="59"/>
      <c r="AL101" s="59"/>
      <c r="AM101" s="59"/>
      <c r="AN101" s="59"/>
      <c r="AO101" s="59"/>
      <c r="AP101" s="59"/>
      <c r="AS101" s="1177" t="s">
        <v>54</v>
      </c>
      <c r="AT101" s="1200" t="str">
        <f>'CALCULS Eaux usées'!N341</f>
        <v/>
      </c>
      <c r="AU101" s="603">
        <f>'CALCULS Eaux usées'!O346</f>
        <v>0</v>
      </c>
      <c r="AV101" s="1199"/>
      <c r="AW101" s="61"/>
      <c r="AX101" s="2031"/>
      <c r="AY101" s="181"/>
      <c r="BA101" s="59"/>
      <c r="BB101" s="59"/>
      <c r="BC101" s="59"/>
      <c r="BD101" s="59"/>
      <c r="BE101" s="59"/>
      <c r="BF101" s="59"/>
      <c r="BG101" s="59"/>
      <c r="BH101" s="59"/>
      <c r="BI101" s="59"/>
      <c r="BJ101" s="59"/>
      <c r="BK101" s="59"/>
      <c r="BL101" s="59"/>
      <c r="BM101" s="59"/>
      <c r="BN101" s="59"/>
      <c r="BO101" s="59"/>
      <c r="BP101" s="59"/>
      <c r="BQ101" s="59"/>
      <c r="BR101" s="59"/>
      <c r="BS101" s="59"/>
      <c r="BU101" s="1176" t="s">
        <v>53</v>
      </c>
      <c r="BV101" s="3321" t="str">
        <f>'CALCULS Eaux usées'!N365</f>
        <v/>
      </c>
      <c r="BW101" s="3321"/>
      <c r="BX101" s="3321"/>
      <c r="BY101" s="3321"/>
      <c r="BZ101" s="3382">
        <f>'CALCULS Eaux usées'!O370</f>
        <v>0</v>
      </c>
      <c r="CA101" s="3382"/>
      <c r="CB101" s="3382"/>
      <c r="CC101" s="1197"/>
      <c r="CD101" s="2023"/>
      <c r="CE101" s="43"/>
    </row>
    <row r="102" spans="2:83" ht="15" customHeight="1" x14ac:dyDescent="0.3">
      <c r="B102" s="2007"/>
      <c r="C102" s="64"/>
      <c r="D102" s="443"/>
      <c r="E102" s="444"/>
      <c r="F102" s="90"/>
      <c r="G102" s="59"/>
      <c r="I102" s="59"/>
      <c r="J102" s="59"/>
      <c r="K102" s="59"/>
      <c r="L102" s="1161"/>
      <c r="M102" s="1161"/>
      <c r="N102" s="1161"/>
      <c r="O102" s="59"/>
      <c r="P102" s="1176" t="s">
        <v>2091</v>
      </c>
      <c r="R102" s="3320" t="str">
        <f>'CALCULS Eaux usées'!N318</f>
        <v/>
      </c>
      <c r="S102" s="3320"/>
      <c r="T102" s="3320"/>
      <c r="U102" s="1274">
        <f>'CALCULS Eaux usées'!N322</f>
        <v>0</v>
      </c>
      <c r="W102" s="1201"/>
      <c r="X102" s="2031"/>
      <c r="Y102" s="50"/>
      <c r="Z102" s="445"/>
      <c r="AA102" s="59"/>
      <c r="AB102" s="59"/>
      <c r="AC102" s="59"/>
      <c r="AD102" s="59"/>
      <c r="AE102" s="59"/>
      <c r="AF102" s="59"/>
      <c r="AG102" s="59"/>
      <c r="AH102" s="59"/>
      <c r="AI102" s="59"/>
      <c r="AJ102" s="59"/>
      <c r="AK102" s="59"/>
      <c r="AL102" s="59"/>
      <c r="AM102" s="59"/>
      <c r="AN102" s="59"/>
      <c r="AO102" s="59"/>
      <c r="AP102" s="59"/>
      <c r="AQ102" s="1161"/>
      <c r="AR102" s="1161"/>
      <c r="AS102" s="1177" t="s">
        <v>2093</v>
      </c>
      <c r="AT102" s="1200" t="str">
        <f>'CALCULS Eaux usées'!N342</f>
        <v/>
      </c>
      <c r="AU102" s="1198">
        <f>'CALCULS Eaux usées'!N346</f>
        <v>0</v>
      </c>
      <c r="AV102" s="1199"/>
      <c r="AW102" s="61"/>
      <c r="AX102" s="2031"/>
      <c r="AY102" s="181"/>
      <c r="AZ102" s="445"/>
      <c r="BA102" s="59"/>
      <c r="BB102" s="59"/>
      <c r="BC102" s="59"/>
      <c r="BD102" s="59"/>
      <c r="BE102" s="59"/>
      <c r="BF102" s="59"/>
      <c r="BG102" s="59"/>
      <c r="BH102" s="59"/>
      <c r="BI102" s="59"/>
      <c r="BJ102" s="59"/>
      <c r="BK102" s="59"/>
      <c r="BL102" s="59"/>
      <c r="BM102" s="59"/>
      <c r="BN102" s="59"/>
      <c r="BO102" s="59"/>
      <c r="BP102" s="59"/>
      <c r="BQ102" s="59"/>
      <c r="BR102" s="59"/>
      <c r="BS102" s="59"/>
      <c r="BT102" s="1161"/>
      <c r="BU102" s="1176" t="s">
        <v>2092</v>
      </c>
      <c r="BV102" s="3321" t="str">
        <f>'CALCULS Eaux usées'!N366</f>
        <v/>
      </c>
      <c r="BW102" s="3321"/>
      <c r="BX102" s="3321"/>
      <c r="BY102" s="3321"/>
      <c r="BZ102" s="3381">
        <f>'CALCULS Eaux usées'!N370</f>
        <v>0</v>
      </c>
      <c r="CA102" s="3381"/>
      <c r="CB102" s="3381"/>
      <c r="CC102" s="1197"/>
      <c r="CD102" s="2023"/>
      <c r="CE102" s="43"/>
    </row>
    <row r="103" spans="2:83" ht="10.5" customHeight="1" x14ac:dyDescent="0.25">
      <c r="B103" s="2007"/>
      <c r="C103" s="91"/>
      <c r="D103" s="105"/>
      <c r="E103" s="92"/>
      <c r="F103" s="92"/>
      <c r="G103" s="92"/>
      <c r="H103" s="92"/>
      <c r="I103" s="92"/>
      <c r="J103" s="92"/>
      <c r="K103" s="92"/>
      <c r="L103" s="92"/>
      <c r="M103" s="92"/>
      <c r="N103" s="92"/>
      <c r="O103" s="92"/>
      <c r="P103" s="92"/>
      <c r="Q103" s="92"/>
      <c r="R103" s="92"/>
      <c r="S103" s="92"/>
      <c r="T103" s="92"/>
      <c r="U103" s="92"/>
      <c r="V103" s="92"/>
      <c r="W103" s="93"/>
      <c r="X103" s="2031"/>
      <c r="Y103" s="91"/>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3"/>
      <c r="AX103" s="2031"/>
      <c r="AY103" s="91"/>
      <c r="AZ103" s="92"/>
      <c r="BA103" s="92"/>
      <c r="BB103" s="92"/>
      <c r="BC103" s="92"/>
      <c r="BD103" s="92"/>
      <c r="BE103" s="92"/>
      <c r="BF103" s="92"/>
      <c r="BG103" s="92"/>
      <c r="BH103" s="92"/>
      <c r="BI103" s="92"/>
      <c r="BJ103" s="92"/>
      <c r="BK103" s="92"/>
      <c r="BL103" s="92"/>
      <c r="BM103" s="92"/>
      <c r="BN103" s="92"/>
      <c r="BO103" s="92"/>
      <c r="BP103" s="92"/>
      <c r="BQ103" s="92"/>
      <c r="BR103" s="92"/>
      <c r="BS103" s="92"/>
      <c r="BT103" s="92"/>
      <c r="BU103" s="92"/>
      <c r="BV103" s="92"/>
      <c r="BW103" s="92"/>
      <c r="BX103" s="92"/>
      <c r="BY103" s="92"/>
      <c r="BZ103" s="92"/>
      <c r="CA103" s="92"/>
      <c r="CB103" s="92"/>
      <c r="CC103" s="93"/>
      <c r="CD103" s="2023"/>
      <c r="CE103" s="43"/>
    </row>
    <row r="104" spans="2:83" ht="12.75" customHeight="1" x14ac:dyDescent="0.25">
      <c r="B104" s="2010"/>
      <c r="C104" s="2018"/>
      <c r="D104" s="2018"/>
      <c r="E104" s="2018"/>
      <c r="F104" s="2018"/>
      <c r="G104" s="2018"/>
      <c r="H104" s="2018"/>
      <c r="I104" s="2018"/>
      <c r="J104" s="2018"/>
      <c r="K104" s="2018"/>
      <c r="L104" s="2018"/>
      <c r="M104" s="2018"/>
      <c r="N104" s="2018"/>
      <c r="O104" s="2018"/>
      <c r="P104" s="2018"/>
      <c r="Q104" s="2018"/>
      <c r="R104" s="2018"/>
      <c r="S104" s="2018"/>
      <c r="T104" s="2018"/>
      <c r="U104" s="2018"/>
      <c r="V104" s="2018"/>
      <c r="W104" s="2018"/>
      <c r="X104" s="2018"/>
      <c r="Y104" s="2018"/>
      <c r="Z104" s="2018"/>
      <c r="AA104" s="2018"/>
      <c r="AB104" s="2018"/>
      <c r="AC104" s="2018"/>
      <c r="AD104" s="2018"/>
      <c r="AE104" s="2018"/>
      <c r="AF104" s="2018"/>
      <c r="AG104" s="2018"/>
      <c r="AH104" s="2018"/>
      <c r="AI104" s="2018"/>
      <c r="AJ104" s="2018"/>
      <c r="AK104" s="2018"/>
      <c r="AL104" s="2018"/>
      <c r="AM104" s="2018"/>
      <c r="AN104" s="2018"/>
      <c r="AO104" s="2018"/>
      <c r="AP104" s="2018"/>
      <c r="AQ104" s="2018"/>
      <c r="AR104" s="2018"/>
      <c r="AS104" s="2018"/>
      <c r="AT104" s="2018"/>
      <c r="AU104" s="2018"/>
      <c r="AV104" s="2018"/>
      <c r="AW104" s="2018"/>
      <c r="AX104" s="2018"/>
      <c r="AY104" s="2018"/>
      <c r="AZ104" s="2018"/>
      <c r="BA104" s="2018"/>
      <c r="BB104" s="2018"/>
      <c r="BC104" s="2018"/>
      <c r="BD104" s="2018"/>
      <c r="BE104" s="2018"/>
      <c r="BF104" s="2018"/>
      <c r="BG104" s="2018"/>
      <c r="BH104" s="2018"/>
      <c r="BI104" s="2018"/>
      <c r="BJ104" s="2018"/>
      <c r="BK104" s="2018"/>
      <c r="BL104" s="2018"/>
      <c r="BM104" s="2018"/>
      <c r="BN104" s="2018"/>
      <c r="BO104" s="2018"/>
      <c r="BP104" s="2018"/>
      <c r="BQ104" s="2018"/>
      <c r="BR104" s="2018"/>
      <c r="BS104" s="2018"/>
      <c r="BT104" s="2018"/>
      <c r="BU104" s="2018"/>
      <c r="BV104" s="2018"/>
      <c r="BW104" s="2018"/>
      <c r="BX104" s="2018"/>
      <c r="BY104" s="2018"/>
      <c r="BZ104" s="2018"/>
      <c r="CA104" s="2018"/>
      <c r="CB104" s="2018"/>
      <c r="CC104" s="2018"/>
      <c r="CD104" s="2019"/>
      <c r="CE104" s="43"/>
    </row>
    <row r="105" spans="2:83" ht="9.75" customHeight="1" x14ac:dyDescent="0.25">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c r="BT105" s="59"/>
      <c r="BU105" s="59"/>
      <c r="BV105" s="59"/>
      <c r="BW105" s="59"/>
      <c r="BX105" s="59"/>
      <c r="BY105" s="59"/>
      <c r="BZ105" s="59"/>
      <c r="CA105" s="59"/>
      <c r="CB105" s="59"/>
      <c r="CC105" s="59"/>
      <c r="CD105" s="59"/>
      <c r="CE105" s="59"/>
    </row>
    <row r="106" spans="2:83" ht="22.5" customHeight="1" x14ac:dyDescent="0.25">
      <c r="B106" s="1890"/>
      <c r="C106" s="1891" t="s">
        <v>38</v>
      </c>
      <c r="D106" s="1892"/>
      <c r="E106" s="1892"/>
      <c r="F106" s="1892"/>
      <c r="G106" s="1892"/>
      <c r="H106" s="1892"/>
      <c r="I106" s="1892"/>
      <c r="J106" s="1892"/>
      <c r="K106" s="1892"/>
      <c r="L106" s="1892"/>
      <c r="M106" s="1892"/>
      <c r="N106" s="1892"/>
      <c r="O106" s="1892"/>
      <c r="P106" s="1892"/>
      <c r="Q106" s="1892"/>
      <c r="R106" s="1892"/>
      <c r="S106" s="1892"/>
      <c r="T106" s="1892"/>
      <c r="U106" s="1892"/>
      <c r="V106" s="1892"/>
      <c r="W106" s="1892"/>
      <c r="X106" s="1892"/>
      <c r="Y106" s="1892"/>
      <c r="Z106" s="1892"/>
      <c r="AA106" s="1892"/>
      <c r="AB106" s="1892"/>
      <c r="AC106" s="1892"/>
      <c r="AD106" s="1892"/>
      <c r="AE106" s="1892"/>
      <c r="AF106" s="1892"/>
      <c r="AG106" s="1892"/>
      <c r="AH106" s="1892"/>
      <c r="AI106" s="1892"/>
      <c r="AJ106" s="1894"/>
      <c r="AK106" s="1890"/>
      <c r="AL106" s="3410"/>
      <c r="AM106" s="3410"/>
      <c r="AN106" s="1892"/>
      <c r="AO106" s="182"/>
      <c r="AP106" s="1892"/>
      <c r="AQ106" s="1891" t="s">
        <v>39</v>
      </c>
      <c r="AR106" s="1893"/>
      <c r="AS106" s="1892"/>
      <c r="AT106" s="1892"/>
      <c r="AU106" s="1892"/>
      <c r="AV106" s="1892"/>
      <c r="AW106" s="1892"/>
      <c r="AX106" s="1892"/>
      <c r="AY106" s="1892"/>
      <c r="AZ106" s="1892"/>
      <c r="BA106" s="1892"/>
      <c r="BB106" s="1892"/>
      <c r="BC106" s="1892"/>
      <c r="BD106" s="1892"/>
      <c r="BE106" s="1892"/>
      <c r="BF106" s="1892"/>
      <c r="BG106" s="1892"/>
      <c r="BH106" s="1892"/>
      <c r="BI106" s="1892"/>
      <c r="BJ106" s="1892"/>
      <c r="BK106" s="1892"/>
      <c r="BL106" s="1892"/>
      <c r="BM106" s="1892"/>
      <c r="BN106" s="1892"/>
      <c r="BO106" s="1892"/>
      <c r="BP106" s="1892"/>
      <c r="BQ106" s="1892"/>
      <c r="BR106" s="1892"/>
      <c r="BS106" s="1892"/>
      <c r="BT106" s="1892"/>
      <c r="BU106" s="1892"/>
      <c r="BV106" s="1892"/>
      <c r="BW106" s="1892"/>
      <c r="BX106" s="1892"/>
      <c r="BY106" s="1892"/>
      <c r="BZ106" s="1894"/>
      <c r="CA106" s="1890"/>
      <c r="CB106" s="3410"/>
      <c r="CC106" s="3410"/>
      <c r="CD106" s="1892"/>
    </row>
    <row r="107" spans="2:83" ht="6.75" customHeight="1" x14ac:dyDescent="0.25"/>
    <row r="108" spans="2:83" ht="9.75" customHeight="1" x14ac:dyDescent="0.25">
      <c r="B108" s="2009"/>
      <c r="C108" s="2011"/>
      <c r="D108" s="2011"/>
      <c r="E108" s="2011"/>
      <c r="F108" s="2011"/>
      <c r="G108" s="2011"/>
      <c r="H108" s="2011"/>
      <c r="I108" s="2011"/>
      <c r="J108" s="2011"/>
      <c r="K108" s="2011"/>
      <c r="L108" s="2011"/>
      <c r="M108" s="2011"/>
      <c r="N108" s="2011"/>
      <c r="O108" s="2011"/>
      <c r="P108" s="2011"/>
      <c r="Q108" s="2011"/>
      <c r="R108" s="2011"/>
      <c r="S108" s="2011"/>
      <c r="T108" s="2011"/>
      <c r="U108" s="2011"/>
      <c r="V108" s="2011"/>
      <c r="W108" s="2011"/>
      <c r="X108" s="2011"/>
      <c r="Y108" s="2011"/>
      <c r="Z108" s="2011"/>
      <c r="AA108" s="2011"/>
      <c r="AB108" s="2011"/>
      <c r="AC108" s="2011"/>
      <c r="AD108" s="2011"/>
      <c r="AE108" s="2011"/>
      <c r="AF108" s="2011"/>
      <c r="AG108" s="2011"/>
      <c r="AH108" s="2011"/>
      <c r="AI108" s="2011"/>
      <c r="AJ108" s="2011"/>
      <c r="AK108" s="2011"/>
      <c r="AL108" s="2011"/>
      <c r="AM108" s="2011"/>
      <c r="AN108" s="2011"/>
      <c r="AO108" s="183"/>
      <c r="AP108" s="2011"/>
      <c r="AQ108" s="2011"/>
      <c r="AR108" s="2011"/>
      <c r="AS108" s="2011"/>
      <c r="AT108" s="2011"/>
      <c r="AU108" s="2011"/>
      <c r="AV108" s="2011"/>
      <c r="AW108" s="2011"/>
      <c r="AX108" s="2011"/>
      <c r="AY108" s="2011"/>
      <c r="AZ108" s="2011"/>
      <c r="BA108" s="2011"/>
      <c r="BB108" s="2011"/>
      <c r="BC108" s="2011"/>
      <c r="BD108" s="2011"/>
      <c r="BE108" s="2011"/>
      <c r="BF108" s="2011"/>
      <c r="BG108" s="2011"/>
      <c r="BH108" s="2011"/>
      <c r="BI108" s="2011"/>
      <c r="BJ108" s="2011"/>
      <c r="BK108" s="2011"/>
      <c r="BL108" s="2011"/>
      <c r="BM108" s="2011"/>
      <c r="BN108" s="2011"/>
      <c r="BO108" s="2011"/>
      <c r="BP108" s="2011"/>
      <c r="BQ108" s="2011"/>
      <c r="BR108" s="2011"/>
      <c r="BS108" s="2011"/>
      <c r="BT108" s="2011"/>
      <c r="BU108" s="2011"/>
      <c r="BV108" s="2011"/>
      <c r="BW108" s="2011"/>
      <c r="BX108" s="2011"/>
      <c r="BY108" s="2011"/>
      <c r="BZ108" s="2011"/>
      <c r="CA108" s="2011"/>
      <c r="CB108" s="2011"/>
      <c r="CC108" s="2011"/>
      <c r="CD108" s="2012"/>
      <c r="CE108" s="43"/>
    </row>
    <row r="109" spans="2:83" ht="9.75" customHeight="1" x14ac:dyDescent="0.25">
      <c r="B109" s="2007"/>
      <c r="C109" s="45"/>
      <c r="D109" s="46"/>
      <c r="E109" s="184"/>
      <c r="F109" s="184"/>
      <c r="G109" s="184"/>
      <c r="H109" s="184"/>
      <c r="I109" s="184"/>
      <c r="J109" s="184"/>
      <c r="K109" s="184"/>
      <c r="L109" s="184"/>
      <c r="M109" s="184"/>
      <c r="N109" s="184"/>
      <c r="O109" s="184"/>
      <c r="P109" s="184"/>
      <c r="Q109" s="184"/>
      <c r="R109" s="184"/>
      <c r="S109" s="184"/>
      <c r="T109" s="46"/>
      <c r="U109" s="46"/>
      <c r="V109" s="46"/>
      <c r="W109" s="46"/>
      <c r="X109" s="46"/>
      <c r="Y109" s="46"/>
      <c r="Z109" s="46"/>
      <c r="AA109" s="46"/>
      <c r="AB109" s="46"/>
      <c r="AC109" s="46"/>
      <c r="AD109" s="46"/>
      <c r="AE109" s="46"/>
      <c r="AF109" s="46"/>
      <c r="AG109" s="46"/>
      <c r="AH109" s="46"/>
      <c r="AI109" s="184"/>
      <c r="AJ109" s="46"/>
      <c r="AK109" s="46"/>
      <c r="AL109" s="46"/>
      <c r="AM109" s="47"/>
      <c r="AN109" s="2031"/>
      <c r="AO109" s="183"/>
      <c r="AP109" s="2031"/>
      <c r="AQ109" s="45"/>
      <c r="AR109" s="46"/>
      <c r="AS109" s="46"/>
      <c r="AT109" s="46"/>
      <c r="AU109" s="184"/>
      <c r="AV109" s="184"/>
      <c r="AW109" s="184"/>
      <c r="AX109" s="184"/>
      <c r="AY109" s="184"/>
      <c r="AZ109" s="184"/>
      <c r="BA109" s="184"/>
      <c r="BB109" s="184"/>
      <c r="BC109" s="184"/>
      <c r="BD109" s="184"/>
      <c r="BE109" s="184"/>
      <c r="BF109" s="184"/>
      <c r="BG109" s="184"/>
      <c r="BH109" s="184"/>
      <c r="BI109" s="184"/>
      <c r="BJ109" s="46"/>
      <c r="BK109" s="46"/>
      <c r="BL109" s="46"/>
      <c r="BM109" s="46"/>
      <c r="BN109" s="46"/>
      <c r="BO109" s="46"/>
      <c r="BP109" s="46"/>
      <c r="BQ109" s="46"/>
      <c r="BR109" s="46"/>
      <c r="BS109" s="46"/>
      <c r="BT109" s="46"/>
      <c r="BU109" s="46"/>
      <c r="BV109" s="46"/>
      <c r="BW109" s="46"/>
      <c r="BX109" s="46"/>
      <c r="BY109" s="184"/>
      <c r="BZ109" s="46"/>
      <c r="CA109" s="46"/>
      <c r="CB109" s="46"/>
      <c r="CC109" s="47"/>
      <c r="CD109" s="2023"/>
      <c r="CE109" s="43"/>
    </row>
    <row r="110" spans="2:83" ht="18" customHeight="1" x14ac:dyDescent="0.25">
      <c r="B110" s="2007"/>
      <c r="C110" s="50"/>
      <c r="D110" s="185" t="s">
        <v>32</v>
      </c>
      <c r="E110" s="186"/>
      <c r="F110" s="186"/>
      <c r="G110" s="186"/>
      <c r="H110" s="186"/>
      <c r="I110" s="186"/>
      <c r="J110" s="186"/>
      <c r="K110" s="186"/>
      <c r="L110" s="186"/>
      <c r="M110" s="186"/>
      <c r="N110" s="186"/>
      <c r="O110" s="186"/>
      <c r="P110" s="186"/>
      <c r="Q110" s="186"/>
      <c r="R110" s="186"/>
      <c r="S110" s="186"/>
      <c r="T110" s="59"/>
      <c r="U110" s="59"/>
      <c r="V110" s="59"/>
      <c r="W110" s="59"/>
      <c r="X110" s="59"/>
      <c r="Y110" s="59"/>
      <c r="Z110" s="59"/>
      <c r="AA110" s="59"/>
      <c r="AB110" s="187"/>
      <c r="AC110" s="59"/>
      <c r="AD110" s="187"/>
      <c r="AE110" s="59"/>
      <c r="AF110" s="59"/>
      <c r="AG110" s="59"/>
      <c r="AH110" s="139"/>
      <c r="AI110" s="3310"/>
      <c r="AJ110" s="3310"/>
      <c r="AK110" s="59"/>
      <c r="AL110" s="59"/>
      <c r="AM110" s="61"/>
      <c r="AN110" s="2031"/>
      <c r="AO110" s="183"/>
      <c r="AP110" s="2031"/>
      <c r="AQ110" s="50"/>
      <c r="AR110" s="185" t="s">
        <v>33</v>
      </c>
      <c r="AU110" s="186"/>
      <c r="AV110" s="186"/>
      <c r="AW110" s="186"/>
      <c r="AX110" s="186"/>
      <c r="AY110" s="186"/>
      <c r="AZ110" s="186"/>
      <c r="BA110" s="186"/>
      <c r="BB110" s="186"/>
      <c r="BC110" s="186"/>
      <c r="BD110" s="186"/>
      <c r="BE110" s="186"/>
      <c r="BF110" s="186"/>
      <c r="BG110" s="186"/>
      <c r="BH110" s="186"/>
      <c r="BI110" s="186"/>
      <c r="BJ110" s="59"/>
      <c r="BK110" s="59"/>
      <c r="BL110" s="59"/>
      <c r="BM110" s="59"/>
      <c r="BN110" s="59"/>
      <c r="BO110" s="59"/>
      <c r="BP110" s="59"/>
      <c r="BQ110" s="59"/>
      <c r="BR110" s="59"/>
      <c r="BS110" s="59"/>
      <c r="BT110" s="59"/>
      <c r="BU110" s="59"/>
      <c r="BV110" s="59"/>
      <c r="BW110" s="59"/>
      <c r="BX110" s="59"/>
      <c r="BY110" s="186"/>
      <c r="BZ110" s="59"/>
      <c r="CA110" s="59"/>
      <c r="CB110" s="59"/>
      <c r="CC110" s="61"/>
      <c r="CD110" s="2023"/>
      <c r="CE110" s="43"/>
    </row>
    <row r="111" spans="2:83" ht="6.75" customHeight="1" x14ac:dyDescent="0.25">
      <c r="B111" s="2007"/>
      <c r="C111" s="50"/>
      <c r="D111" s="188"/>
      <c r="E111" s="186"/>
      <c r="F111" s="186"/>
      <c r="G111" s="186"/>
      <c r="H111" s="186"/>
      <c r="I111" s="186"/>
      <c r="J111" s="186"/>
      <c r="K111" s="186"/>
      <c r="L111" s="186"/>
      <c r="M111" s="186"/>
      <c r="N111" s="186"/>
      <c r="O111" s="186"/>
      <c r="P111" s="186"/>
      <c r="Q111" s="186"/>
      <c r="R111" s="186"/>
      <c r="S111" s="186"/>
      <c r="T111" s="59"/>
      <c r="U111" s="59"/>
      <c r="V111" s="59"/>
      <c r="W111" s="59"/>
      <c r="X111" s="59"/>
      <c r="Y111" s="59"/>
      <c r="Z111" s="59"/>
      <c r="AA111" s="59"/>
      <c r="AB111" s="59"/>
      <c r="AC111" s="59"/>
      <c r="AD111" s="59"/>
      <c r="AE111" s="59"/>
      <c r="AF111" s="59"/>
      <c r="AG111" s="59"/>
      <c r="AH111" s="59"/>
      <c r="AI111" s="186"/>
      <c r="AJ111" s="59"/>
      <c r="AK111" s="59"/>
      <c r="AL111" s="59"/>
      <c r="AM111" s="61"/>
      <c r="AN111" s="2031"/>
      <c r="AO111" s="183"/>
      <c r="AP111" s="2031"/>
      <c r="AQ111" s="50"/>
      <c r="AR111" s="59"/>
      <c r="AS111" s="188"/>
      <c r="AT111" s="188"/>
      <c r="AU111" s="186"/>
      <c r="AV111" s="186"/>
      <c r="AW111" s="186"/>
      <c r="AX111" s="186"/>
      <c r="AY111" s="186"/>
      <c r="AZ111" s="186"/>
      <c r="BA111" s="186"/>
      <c r="BB111" s="186"/>
      <c r="BC111" s="186"/>
      <c r="BD111" s="186"/>
      <c r="BE111" s="186"/>
      <c r="BF111" s="186"/>
      <c r="BG111" s="186"/>
      <c r="BH111" s="186"/>
      <c r="BI111" s="186"/>
      <c r="BJ111" s="59"/>
      <c r="BK111" s="59"/>
      <c r="BL111" s="59"/>
      <c r="BM111" s="59"/>
      <c r="BN111" s="59"/>
      <c r="BO111" s="59"/>
      <c r="BP111" s="59"/>
      <c r="BQ111" s="59"/>
      <c r="BR111" s="59"/>
      <c r="BS111" s="59"/>
      <c r="BT111" s="59"/>
      <c r="BU111" s="59"/>
      <c r="BV111" s="59"/>
      <c r="BW111" s="59"/>
      <c r="BX111" s="59"/>
      <c r="BY111" s="186"/>
      <c r="BZ111" s="59"/>
      <c r="CA111" s="59"/>
      <c r="CB111" s="59"/>
      <c r="CC111" s="61"/>
      <c r="CD111" s="2023"/>
      <c r="CE111" s="43"/>
    </row>
    <row r="112" spans="2:83" ht="15" customHeight="1" x14ac:dyDescent="0.25">
      <c r="B112" s="2007"/>
      <c r="C112" s="50"/>
      <c r="D112" s="188"/>
      <c r="F112" s="1916" t="s">
        <v>2022</v>
      </c>
      <c r="G112" s="1914"/>
      <c r="H112" s="1914"/>
      <c r="I112" s="1914"/>
      <c r="J112" s="1914"/>
      <c r="K112" s="1914"/>
      <c r="L112" s="1914"/>
      <c r="M112" s="1914"/>
      <c r="N112" s="1914"/>
      <c r="O112" s="1914"/>
      <c r="P112" s="1914"/>
      <c r="Q112" s="1914"/>
      <c r="R112" s="1914"/>
      <c r="S112" s="2559" t="str">
        <f>IF(('FORMULAIRE PGA Eaux usées'!$H$81='MENU DÉROULANT'!$C$41),"(Aucun actif)","")</f>
        <v/>
      </c>
      <c r="T112" s="1915"/>
      <c r="U112" s="59"/>
      <c r="V112" s="1916" t="s">
        <v>2023</v>
      </c>
      <c r="W112" s="1914"/>
      <c r="X112" s="1914"/>
      <c r="Y112" s="1914"/>
      <c r="Z112" s="1914"/>
      <c r="AA112" s="1914"/>
      <c r="AB112" s="1914"/>
      <c r="AC112" s="1914"/>
      <c r="AD112" s="1914"/>
      <c r="AE112" s="1914"/>
      <c r="AF112" s="1914"/>
      <c r="AG112" s="1914"/>
      <c r="AH112" s="1914"/>
      <c r="AI112" s="1914"/>
      <c r="AJ112" s="2559" t="str">
        <f>IF(('FORMULAIRE PGA Eaux usées'!$H$120='MENU DÉROULANT'!$F$41),"(Aucun actif)","")</f>
        <v/>
      </c>
      <c r="AK112" s="1914"/>
      <c r="AL112" s="1205"/>
      <c r="AM112" s="61"/>
      <c r="AN112" s="2031"/>
      <c r="AO112" s="183"/>
      <c r="AP112" s="2031"/>
      <c r="AQ112" s="50"/>
      <c r="AR112" s="59"/>
      <c r="AS112" s="188"/>
      <c r="AT112" s="188"/>
      <c r="AV112" s="1916" t="s">
        <v>2022</v>
      </c>
      <c r="AW112" s="1914"/>
      <c r="AX112" s="1914"/>
      <c r="AY112" s="1914"/>
      <c r="AZ112" s="1914"/>
      <c r="BA112" s="1914"/>
      <c r="BB112" s="1914"/>
      <c r="BC112" s="1914"/>
      <c r="BD112" s="1914"/>
      <c r="BE112" s="1914"/>
      <c r="BF112" s="1914"/>
      <c r="BG112" s="1914"/>
      <c r="BH112" s="1914"/>
      <c r="BI112" s="2559" t="str">
        <f>IF(('FORMULAIRE PGA Eaux usées'!$H$81='MENU DÉROULANT'!$C$41),"(Aucun actif)","")</f>
        <v/>
      </c>
      <c r="BJ112" s="1915"/>
      <c r="BK112" s="59"/>
      <c r="BL112" s="1916" t="s">
        <v>2023</v>
      </c>
      <c r="BM112" s="1914"/>
      <c r="BN112" s="1914"/>
      <c r="BO112" s="1914"/>
      <c r="BP112" s="1914"/>
      <c r="BQ112" s="1914"/>
      <c r="BR112" s="1914"/>
      <c r="BS112" s="1914"/>
      <c r="BT112" s="1914"/>
      <c r="BU112" s="1914"/>
      <c r="BV112" s="1914"/>
      <c r="BW112" s="1914"/>
      <c r="BX112" s="1914"/>
      <c r="BY112" s="1914"/>
      <c r="BZ112" s="2559" t="str">
        <f>IF(('FORMULAIRE PGA Eaux usées'!$H$120='MENU DÉROULANT'!$F$41),"(Aucun actif)","")</f>
        <v/>
      </c>
      <c r="CA112" s="1914"/>
      <c r="CB112" s="1205"/>
      <c r="CC112" s="61"/>
      <c r="CD112" s="2023"/>
      <c r="CE112" s="43"/>
    </row>
    <row r="113" spans="2:83" ht="12.75" customHeight="1" x14ac:dyDescent="0.25">
      <c r="B113" s="2007"/>
      <c r="C113" s="50"/>
      <c r="D113" s="188"/>
      <c r="E113" s="186"/>
      <c r="F113" s="189"/>
      <c r="G113" s="189"/>
      <c r="H113" s="189"/>
      <c r="I113" s="189"/>
      <c r="J113" s="189"/>
      <c r="K113" s="189"/>
      <c r="L113" s="189"/>
      <c r="M113" s="189"/>
      <c r="N113" s="189"/>
      <c r="O113" s="186"/>
      <c r="P113" s="186"/>
      <c r="Q113" s="186"/>
      <c r="U113" s="59"/>
      <c r="V113" s="185"/>
      <c r="W113" s="185"/>
      <c r="X113" s="185"/>
      <c r="Y113" s="185"/>
      <c r="Z113" s="185"/>
      <c r="AA113" s="185"/>
      <c r="AB113" s="185"/>
      <c r="AC113" s="185"/>
      <c r="AD113" s="185"/>
      <c r="AE113" s="59"/>
      <c r="AF113" s="59"/>
      <c r="AG113" s="59"/>
      <c r="AH113" s="3312"/>
      <c r="AI113" s="3312"/>
      <c r="AJ113" s="3312"/>
      <c r="AK113" s="59"/>
      <c r="AL113" s="59"/>
      <c r="AM113" s="61"/>
      <c r="AN113" s="2031"/>
      <c r="AO113" s="183"/>
      <c r="AP113" s="2031"/>
      <c r="AQ113" s="50"/>
      <c r="AR113" s="59"/>
      <c r="AS113" s="188"/>
      <c r="AT113" s="188"/>
      <c r="AU113" s="186"/>
      <c r="AV113" s="189"/>
      <c r="AW113" s="189"/>
      <c r="AX113" s="189"/>
      <c r="AY113" s="189"/>
      <c r="AZ113" s="189"/>
      <c r="BA113" s="189"/>
      <c r="BB113" s="189"/>
      <c r="BC113" s="189"/>
      <c r="BD113" s="189"/>
      <c r="BE113" s="186"/>
      <c r="BF113" s="186"/>
      <c r="BG113" s="186"/>
      <c r="BK113" s="59"/>
      <c r="BL113" s="185"/>
      <c r="BM113" s="185"/>
      <c r="BN113" s="185"/>
      <c r="BO113" s="185"/>
      <c r="BP113" s="185"/>
      <c r="BQ113" s="185"/>
      <c r="BR113" s="185"/>
      <c r="BS113" s="185"/>
      <c r="BT113" s="185"/>
      <c r="BU113" s="59"/>
      <c r="BV113" s="59"/>
      <c r="BW113" s="59"/>
      <c r="BX113" s="3312"/>
      <c r="BY113" s="3312"/>
      <c r="BZ113" s="3312"/>
      <c r="CA113" s="59"/>
      <c r="CB113" s="59"/>
      <c r="CC113" s="61"/>
      <c r="CD113" s="2023"/>
      <c r="CE113" s="43"/>
    </row>
    <row r="114" spans="2:83" ht="15.75" customHeight="1" x14ac:dyDescent="0.3">
      <c r="B114" s="2007"/>
      <c r="C114" s="50"/>
      <c r="D114" s="3369" t="s">
        <v>152</v>
      </c>
      <c r="E114" s="3345" t="s">
        <v>122</v>
      </c>
      <c r="F114" s="3345"/>
      <c r="G114" s="3345"/>
      <c r="H114" s="3345"/>
      <c r="I114" s="189"/>
      <c r="J114" s="3314" t="str">
        <f>'CALCULS Eaux usées'!E394</f>
        <v/>
      </c>
      <c r="K114" s="3315"/>
      <c r="L114" s="3315"/>
      <c r="M114" s="3374" t="s">
        <v>1908</v>
      </c>
      <c r="N114" s="3375"/>
      <c r="O114" s="3376"/>
      <c r="P114" s="191"/>
      <c r="Q114" s="190"/>
      <c r="U114" s="3345" t="s">
        <v>122</v>
      </c>
      <c r="V114" s="3345"/>
      <c r="W114" s="3345"/>
      <c r="X114" s="3345"/>
      <c r="Y114" s="189"/>
      <c r="Z114" s="3314" t="str">
        <f>'CALCULS Eaux usées'!E395</f>
        <v/>
      </c>
      <c r="AA114" s="3315"/>
      <c r="AB114" s="3315"/>
      <c r="AC114" s="3374" t="s">
        <v>1908</v>
      </c>
      <c r="AD114" s="3375"/>
      <c r="AE114" s="3376"/>
      <c r="AF114" s="23"/>
      <c r="AG114" s="192"/>
      <c r="AH114" s="3313"/>
      <c r="AI114" s="3313"/>
      <c r="AJ114" s="3313"/>
      <c r="AK114" s="23"/>
      <c r="AL114" s="27"/>
      <c r="AM114" s="61"/>
      <c r="AN114" s="2031"/>
      <c r="AO114" s="183"/>
      <c r="AP114" s="2031"/>
      <c r="AQ114" s="50"/>
      <c r="AR114" s="3369" t="s">
        <v>152</v>
      </c>
      <c r="AS114" s="3369"/>
      <c r="AT114" s="3369"/>
      <c r="AU114" s="3345" t="s">
        <v>122</v>
      </c>
      <c r="AV114" s="3345"/>
      <c r="AW114" s="3345"/>
      <c r="AX114" s="3345"/>
      <c r="AY114" s="189"/>
      <c r="AZ114" s="3314" t="str">
        <f>'CALCULS Eaux usées'!E406</f>
        <v/>
      </c>
      <c r="BA114" s="3315"/>
      <c r="BB114" s="3315"/>
      <c r="BC114" s="3374" t="s">
        <v>1908</v>
      </c>
      <c r="BD114" s="3375"/>
      <c r="BE114" s="3376"/>
      <c r="BF114" s="191"/>
      <c r="BG114" s="190"/>
      <c r="BK114" s="3345" t="s">
        <v>122</v>
      </c>
      <c r="BL114" s="3345"/>
      <c r="BM114" s="3345"/>
      <c r="BN114" s="3345"/>
      <c r="BO114" s="189"/>
      <c r="BP114" s="3314" t="str">
        <f>'CALCULS Eaux usées'!E407</f>
        <v/>
      </c>
      <c r="BQ114" s="3315"/>
      <c r="BR114" s="3315"/>
      <c r="BS114" s="3374" t="s">
        <v>1908</v>
      </c>
      <c r="BT114" s="3375"/>
      <c r="BU114" s="3376"/>
      <c r="BV114" s="23"/>
      <c r="BW114" s="192"/>
      <c r="BX114" s="3313"/>
      <c r="BY114" s="3313"/>
      <c r="BZ114" s="3313"/>
      <c r="CA114" s="23"/>
      <c r="CB114" s="27"/>
      <c r="CC114" s="61"/>
      <c r="CD114" s="2023"/>
      <c r="CE114" s="43"/>
    </row>
    <row r="115" spans="2:83" ht="9.75" customHeight="1" x14ac:dyDescent="0.3">
      <c r="B115" s="2007"/>
      <c r="C115" s="50"/>
      <c r="D115" s="3369"/>
      <c r="AK115" s="23"/>
      <c r="AL115" s="27"/>
      <c r="AM115" s="61"/>
      <c r="AN115" s="2031"/>
      <c r="AO115" s="183"/>
      <c r="AP115" s="2031"/>
      <c r="AQ115" s="50"/>
      <c r="AR115" s="3369"/>
      <c r="AS115" s="3369"/>
      <c r="AT115" s="3369"/>
      <c r="CB115" s="27"/>
      <c r="CC115" s="61"/>
      <c r="CD115" s="2023"/>
      <c r="CE115" s="43"/>
    </row>
    <row r="116" spans="2:83" ht="15" customHeight="1" x14ac:dyDescent="0.3">
      <c r="B116" s="2007"/>
      <c r="C116" s="50"/>
      <c r="D116" s="3369"/>
      <c r="E116" s="193"/>
      <c r="F116" s="1207" t="str">
        <f>IF('CALCULS Eaux usées'!E389&gt;0,"p","")</f>
        <v/>
      </c>
      <c r="G116" s="22"/>
      <c r="H116" s="1207" t="str">
        <f>IF('CALCULS Eaux usées'!F389&gt;0,"p","")</f>
        <v/>
      </c>
      <c r="I116" s="21"/>
      <c r="J116" s="1207" t="str">
        <f>IF('CALCULS Eaux usées'!G389&gt;0,"p","")</f>
        <v/>
      </c>
      <c r="K116" s="21"/>
      <c r="L116" s="1207" t="str">
        <f>IF('CALCULS Eaux usées'!H389&gt;0,"p","")</f>
        <v/>
      </c>
      <c r="M116" s="21"/>
      <c r="N116" s="1207" t="str">
        <f>IF('CALCULS Eaux usées'!I389&gt;0,"p","")</f>
        <v/>
      </c>
      <c r="O116" s="21"/>
      <c r="P116" s="1207" t="str">
        <f>IF('CALCULS Eaux usées'!J389&gt;0,"p","")</f>
        <v/>
      </c>
      <c r="Q116" s="21"/>
      <c r="R116" s="1207" t="str">
        <f>IF('CALCULS Eaux usées'!K389&gt;0,"p","")</f>
        <v/>
      </c>
      <c r="S116" s="21"/>
      <c r="T116" s="21"/>
      <c r="V116" s="1207" t="str">
        <f>IF('CALCULS Eaux usées'!E391&gt;0,"p","")</f>
        <v/>
      </c>
      <c r="W116" s="22"/>
      <c r="X116" s="1207" t="str">
        <f>IF('CALCULS Eaux usées'!F391&gt;0,"p","")</f>
        <v/>
      </c>
      <c r="Y116" s="21"/>
      <c r="Z116" s="1207" t="str">
        <f>IF('CALCULS Eaux usées'!G391&gt;0,"p","")</f>
        <v/>
      </c>
      <c r="AA116" s="21"/>
      <c r="AB116" s="1207" t="str">
        <f>IF('CALCULS Eaux usées'!H391&gt;0,"p","")</f>
        <v/>
      </c>
      <c r="AC116" s="21"/>
      <c r="AD116" s="1207" t="str">
        <f>IF('CALCULS Eaux usées'!I391&gt;0,"p","")</f>
        <v/>
      </c>
      <c r="AE116" s="21"/>
      <c r="AF116" s="1207" t="str">
        <f>IF('CALCULS Eaux usées'!J391&gt;0,"p","")</f>
        <v/>
      </c>
      <c r="AG116" s="21"/>
      <c r="AH116" s="1207" t="str">
        <f>IF('CALCULS Eaux usées'!K391&gt;0,"p","")</f>
        <v/>
      </c>
      <c r="AI116" s="21"/>
      <c r="AJ116" s="21"/>
      <c r="AK116" s="23"/>
      <c r="AL116" s="27"/>
      <c r="AM116" s="61"/>
      <c r="AN116" s="2031"/>
      <c r="AO116" s="183"/>
      <c r="AP116" s="2031"/>
      <c r="AQ116" s="50"/>
      <c r="AR116" s="3369"/>
      <c r="AS116" s="3369"/>
      <c r="AT116" s="3369"/>
      <c r="AU116" s="193"/>
      <c r="AV116" s="1208" t="str">
        <f>IF('CALCULS Eaux usées'!E401&gt;0,"p","")</f>
        <v/>
      </c>
      <c r="AW116" s="478"/>
      <c r="AX116" s="1208" t="str">
        <f>IF('CALCULS Eaux usées'!F401&gt;0,"p","")</f>
        <v/>
      </c>
      <c r="AY116" s="477"/>
      <c r="AZ116" s="1208" t="str">
        <f>IF('CALCULS Eaux usées'!G401&gt;0,"p","")</f>
        <v/>
      </c>
      <c r="BA116" s="477"/>
      <c r="BB116" s="1208" t="str">
        <f>IF('CALCULS Eaux usées'!H401&gt;0,"p","")</f>
        <v/>
      </c>
      <c r="BC116" s="477"/>
      <c r="BD116" s="1208" t="str">
        <f>IF('CALCULS Eaux usées'!I401&gt;0,"p","")</f>
        <v/>
      </c>
      <c r="BE116" s="477"/>
      <c r="BF116" s="1208" t="str">
        <f>IF('CALCULS Eaux usées'!J401&gt;0,"p","")</f>
        <v/>
      </c>
      <c r="BG116" s="477"/>
      <c r="BH116" s="1208" t="str">
        <f>IF('CALCULS Eaux usées'!K401&gt;0,"p","")</f>
        <v/>
      </c>
      <c r="BI116" s="477"/>
      <c r="BJ116" s="477"/>
      <c r="BL116" s="1208" t="str">
        <f>IF('CALCULS Eaux usées'!E403&gt;0,"p","")</f>
        <v/>
      </c>
      <c r="BM116" s="478"/>
      <c r="BN116" s="1208" t="str">
        <f>IF('CALCULS Eaux usées'!F403&gt;0,"p","")</f>
        <v/>
      </c>
      <c r="BO116" s="477"/>
      <c r="BP116" s="1208" t="str">
        <f>IF('CALCULS Eaux usées'!G403&gt;0,"p","")</f>
        <v/>
      </c>
      <c r="BQ116" s="477"/>
      <c r="BR116" s="1208" t="str">
        <f>IF('CALCULS Eaux usées'!H403&gt;0,"p","")</f>
        <v/>
      </c>
      <c r="BS116" s="477"/>
      <c r="BT116" s="1208" t="str">
        <f>IF('CALCULS Eaux usées'!I403&gt;0,"p","")</f>
        <v/>
      </c>
      <c r="BU116" s="477"/>
      <c r="BV116" s="1208" t="str">
        <f>IF('CALCULS Eaux usées'!J403&gt;0,"p","")</f>
        <v/>
      </c>
      <c r="BW116" s="477"/>
      <c r="BX116" s="1208" t="str">
        <f>IF('CALCULS Eaux usées'!K403&gt;0,"p","")</f>
        <v/>
      </c>
      <c r="BY116" s="26"/>
      <c r="BZ116" s="27"/>
      <c r="CA116" s="23"/>
      <c r="CB116" s="27"/>
      <c r="CC116" s="61"/>
      <c r="CD116" s="2023"/>
      <c r="CE116" s="43"/>
    </row>
    <row r="117" spans="2:83" ht="3.75" customHeight="1" x14ac:dyDescent="0.3">
      <c r="B117" s="2007"/>
      <c r="C117" s="50"/>
      <c r="D117" s="3342"/>
      <c r="E117" s="3342"/>
      <c r="AK117" s="23"/>
      <c r="AL117" s="27"/>
      <c r="AM117" s="61"/>
      <c r="AN117" s="2031"/>
      <c r="AO117" s="183"/>
      <c r="AP117" s="2031"/>
      <c r="AQ117" s="50"/>
      <c r="AR117" s="59"/>
      <c r="AS117" s="3342"/>
      <c r="AT117" s="3342"/>
      <c r="AU117" s="3342"/>
      <c r="CA117" s="23"/>
      <c r="CB117" s="27"/>
      <c r="CC117" s="61"/>
      <c r="CD117" s="2023"/>
      <c r="CE117" s="43"/>
    </row>
    <row r="118" spans="2:83" ht="14.25" customHeight="1" x14ac:dyDescent="0.25">
      <c r="B118" s="2007"/>
      <c r="C118" s="50"/>
      <c r="D118" s="1209" t="s">
        <v>22</v>
      </c>
      <c r="E118" s="23"/>
      <c r="F118" s="23"/>
      <c r="G118" s="23"/>
      <c r="H118" s="23"/>
      <c r="I118" s="23"/>
      <c r="J118" s="23"/>
      <c r="K118" s="23"/>
      <c r="L118" s="23"/>
      <c r="M118" s="23"/>
      <c r="N118" s="23"/>
      <c r="O118" s="23"/>
      <c r="P118" s="23"/>
      <c r="Q118" s="23"/>
      <c r="R118" s="23"/>
      <c r="S118" s="23"/>
      <c r="T118" s="23"/>
      <c r="V118" s="23"/>
      <c r="W118" s="23"/>
      <c r="X118" s="23"/>
      <c r="Y118" s="23"/>
      <c r="Z118" s="23"/>
      <c r="AA118" s="23"/>
      <c r="AB118" s="23"/>
      <c r="AC118" s="23"/>
      <c r="AD118" s="23"/>
      <c r="AE118" s="23"/>
      <c r="AF118" s="23"/>
      <c r="AG118" s="23"/>
      <c r="AH118" s="23"/>
      <c r="AI118" s="23"/>
      <c r="AK118" s="23"/>
      <c r="AM118" s="61"/>
      <c r="AN118" s="2031"/>
      <c r="AO118" s="183"/>
      <c r="AP118" s="2031"/>
      <c r="AQ118" s="50"/>
      <c r="AR118" s="3368" t="s">
        <v>21</v>
      </c>
      <c r="AS118" s="3368"/>
      <c r="AT118" s="3368"/>
      <c r="AU118" s="23"/>
      <c r="AV118" s="23"/>
      <c r="AW118" s="23"/>
      <c r="AX118" s="23"/>
      <c r="AY118" s="23"/>
      <c r="AZ118" s="23"/>
      <c r="BA118" s="23"/>
      <c r="BB118" s="23"/>
      <c r="BC118" s="23"/>
      <c r="BD118" s="23"/>
      <c r="BE118" s="23"/>
      <c r="BF118" s="23"/>
      <c r="BG118" s="23"/>
      <c r="BH118" s="23"/>
      <c r="BI118" s="23"/>
      <c r="BJ118" s="23"/>
      <c r="BL118" s="23"/>
      <c r="BM118" s="23"/>
      <c r="BN118" s="23"/>
      <c r="BO118" s="23"/>
      <c r="BP118" s="23"/>
      <c r="BQ118" s="23"/>
      <c r="BR118" s="23"/>
      <c r="BS118" s="23"/>
      <c r="BT118" s="23"/>
      <c r="BU118" s="23"/>
      <c r="BV118" s="23"/>
      <c r="BW118" s="23"/>
      <c r="BX118" s="23"/>
      <c r="BY118" s="23"/>
      <c r="CA118" s="23"/>
      <c r="CC118" s="61"/>
      <c r="CD118" s="2023"/>
      <c r="CE118" s="43"/>
    </row>
    <row r="119" spans="2:83" ht="14.25" customHeight="1" x14ac:dyDescent="0.25">
      <c r="B119" s="2007"/>
      <c r="C119" s="50"/>
      <c r="D119" s="1210" t="s">
        <v>20</v>
      </c>
      <c r="E119" s="23"/>
      <c r="F119" s="23"/>
      <c r="G119" s="23"/>
      <c r="H119" s="23"/>
      <c r="I119" s="23"/>
      <c r="J119" s="23"/>
      <c r="K119" s="23"/>
      <c r="L119" s="23"/>
      <c r="M119" s="23"/>
      <c r="N119" s="23"/>
      <c r="O119" s="23"/>
      <c r="P119" s="23"/>
      <c r="Q119" s="23"/>
      <c r="R119" s="23"/>
      <c r="S119" s="23"/>
      <c r="T119" s="23"/>
      <c r="V119" s="23"/>
      <c r="W119" s="23"/>
      <c r="X119" s="23"/>
      <c r="Y119" s="23"/>
      <c r="Z119" s="23"/>
      <c r="AA119" s="23"/>
      <c r="AB119" s="23"/>
      <c r="AC119" s="23"/>
      <c r="AD119" s="23"/>
      <c r="AE119" s="23"/>
      <c r="AF119" s="23"/>
      <c r="AG119" s="23"/>
      <c r="AH119" s="23"/>
      <c r="AI119" s="23"/>
      <c r="AJ119" s="197"/>
      <c r="AK119" s="23"/>
      <c r="AL119" s="197"/>
      <c r="AM119" s="61"/>
      <c r="AN119" s="2031"/>
      <c r="AO119" s="183"/>
      <c r="AP119" s="2031"/>
      <c r="AQ119" s="50"/>
      <c r="AR119" s="3367" t="s">
        <v>14</v>
      </c>
      <c r="AS119" s="3367"/>
      <c r="AT119" s="3367"/>
      <c r="AU119" s="23"/>
      <c r="AV119" s="23"/>
      <c r="AW119" s="23"/>
      <c r="AX119" s="23"/>
      <c r="AY119" s="23"/>
      <c r="AZ119" s="23"/>
      <c r="BA119" s="23"/>
      <c r="BB119" s="23"/>
      <c r="BC119" s="23"/>
      <c r="BD119" s="23"/>
      <c r="BE119" s="23"/>
      <c r="BF119" s="23"/>
      <c r="BG119" s="23"/>
      <c r="BH119" s="23"/>
      <c r="BI119" s="23"/>
      <c r="BJ119" s="23"/>
      <c r="BL119" s="23"/>
      <c r="BM119" s="23"/>
      <c r="BN119" s="23"/>
      <c r="BO119" s="23"/>
      <c r="BP119" s="23"/>
      <c r="BQ119" s="23"/>
      <c r="BR119" s="23"/>
      <c r="BS119" s="23"/>
      <c r="BT119" s="23"/>
      <c r="BU119" s="23"/>
      <c r="BV119" s="23"/>
      <c r="BW119" s="23"/>
      <c r="BX119" s="23"/>
      <c r="BY119" s="23"/>
      <c r="BZ119" s="197"/>
      <c r="CA119" s="23"/>
      <c r="CB119" s="197"/>
      <c r="CC119" s="61"/>
      <c r="CD119" s="2023"/>
      <c r="CE119" s="43"/>
    </row>
    <row r="120" spans="2:83" ht="14.25" customHeight="1" x14ac:dyDescent="0.25">
      <c r="B120" s="2007"/>
      <c r="C120" s="50"/>
      <c r="D120" s="1211" t="s">
        <v>18</v>
      </c>
      <c r="E120" s="23"/>
      <c r="F120" s="23"/>
      <c r="G120" s="23"/>
      <c r="H120" s="23"/>
      <c r="I120" s="23"/>
      <c r="J120" s="23"/>
      <c r="K120" s="23"/>
      <c r="L120" s="23"/>
      <c r="M120" s="23"/>
      <c r="N120" s="23"/>
      <c r="O120" s="23"/>
      <c r="P120" s="23"/>
      <c r="Q120" s="23"/>
      <c r="R120" s="200"/>
      <c r="S120" s="200"/>
      <c r="T120" s="23"/>
      <c r="V120" s="23"/>
      <c r="W120" s="23"/>
      <c r="X120" s="23"/>
      <c r="Y120" s="23"/>
      <c r="Z120" s="23"/>
      <c r="AA120" s="23"/>
      <c r="AB120" s="23"/>
      <c r="AC120" s="23"/>
      <c r="AD120" s="23"/>
      <c r="AE120" s="23"/>
      <c r="AF120" s="23"/>
      <c r="AG120" s="23"/>
      <c r="AH120" s="200"/>
      <c r="AI120" s="200"/>
      <c r="AJ120" s="201"/>
      <c r="AK120" s="200"/>
      <c r="AL120" s="201"/>
      <c r="AM120" s="61"/>
      <c r="AN120" s="2031"/>
      <c r="AO120" s="183"/>
      <c r="AP120" s="2031"/>
      <c r="AQ120" s="50"/>
      <c r="AR120" s="3366" t="s">
        <v>17</v>
      </c>
      <c r="AS120" s="3366"/>
      <c r="AT120" s="3366"/>
      <c r="AU120" s="23"/>
      <c r="AV120" s="23"/>
      <c r="AW120" s="23"/>
      <c r="AX120" s="23"/>
      <c r="AY120" s="23"/>
      <c r="AZ120" s="23"/>
      <c r="BA120" s="23"/>
      <c r="BB120" s="23"/>
      <c r="BC120" s="23"/>
      <c r="BD120" s="23"/>
      <c r="BE120" s="23"/>
      <c r="BF120" s="23"/>
      <c r="BG120" s="23"/>
      <c r="BH120" s="200"/>
      <c r="BI120" s="200"/>
      <c r="BJ120" s="23"/>
      <c r="BL120" s="23"/>
      <c r="BM120" s="23"/>
      <c r="BN120" s="23"/>
      <c r="BO120" s="23"/>
      <c r="BP120" s="23"/>
      <c r="BQ120" s="23"/>
      <c r="BR120" s="23"/>
      <c r="BS120" s="23"/>
      <c r="BT120" s="23"/>
      <c r="BU120" s="23"/>
      <c r="BV120" s="23"/>
      <c r="BW120" s="23"/>
      <c r="BX120" s="200"/>
      <c r="BY120" s="200"/>
      <c r="BZ120" s="201"/>
      <c r="CA120" s="200"/>
      <c r="CB120" s="201"/>
      <c r="CC120" s="61"/>
      <c r="CD120" s="2023"/>
      <c r="CE120" s="43"/>
    </row>
    <row r="121" spans="2:83" ht="14.25" customHeight="1" x14ac:dyDescent="0.25">
      <c r="B121" s="2007"/>
      <c r="C121" s="50"/>
      <c r="D121" s="1212" t="s">
        <v>15</v>
      </c>
      <c r="E121" s="23"/>
      <c r="F121" s="23"/>
      <c r="G121" s="23"/>
      <c r="H121" s="23"/>
      <c r="I121" s="23"/>
      <c r="J121" s="23"/>
      <c r="K121" s="23"/>
      <c r="L121" s="23"/>
      <c r="M121" s="23"/>
      <c r="N121" s="23"/>
      <c r="O121" s="23"/>
      <c r="P121" s="23"/>
      <c r="Q121" s="23"/>
      <c r="R121" s="204"/>
      <c r="S121" s="204"/>
      <c r="T121" s="23"/>
      <c r="U121" s="55"/>
      <c r="V121" s="23"/>
      <c r="W121" s="23"/>
      <c r="X121" s="23"/>
      <c r="Y121" s="23"/>
      <c r="Z121" s="23"/>
      <c r="AA121" s="23"/>
      <c r="AB121" s="23"/>
      <c r="AC121" s="23"/>
      <c r="AD121" s="23"/>
      <c r="AE121" s="23"/>
      <c r="AF121" s="23"/>
      <c r="AG121" s="23"/>
      <c r="AH121" s="204"/>
      <c r="AI121" s="204"/>
      <c r="AJ121" s="59"/>
      <c r="AK121" s="204"/>
      <c r="AL121" s="59"/>
      <c r="AM121" s="61"/>
      <c r="AN121" s="2031"/>
      <c r="AO121" s="183"/>
      <c r="AP121" s="2031"/>
      <c r="AQ121" s="50"/>
      <c r="AR121" s="3365" t="s">
        <v>19</v>
      </c>
      <c r="AS121" s="3365"/>
      <c r="AT121" s="3365"/>
      <c r="AU121" s="23"/>
      <c r="AV121" s="23"/>
      <c r="AW121" s="23"/>
      <c r="AX121" s="23"/>
      <c r="AY121" s="23"/>
      <c r="AZ121" s="23"/>
      <c r="BA121" s="23"/>
      <c r="BB121" s="23"/>
      <c r="BC121" s="23"/>
      <c r="BD121" s="23"/>
      <c r="BE121" s="23"/>
      <c r="BF121" s="23"/>
      <c r="BG121" s="23"/>
      <c r="BH121" s="204"/>
      <c r="BI121" s="204"/>
      <c r="BJ121" s="23"/>
      <c r="BK121" s="55"/>
      <c r="BL121" s="23"/>
      <c r="BM121" s="23"/>
      <c r="BN121" s="23"/>
      <c r="BO121" s="23"/>
      <c r="BP121" s="23"/>
      <c r="BQ121" s="23"/>
      <c r="BR121" s="23"/>
      <c r="BS121" s="23"/>
      <c r="BT121" s="23"/>
      <c r="BU121" s="23"/>
      <c r="BV121" s="23"/>
      <c r="BW121" s="23"/>
      <c r="BX121" s="204"/>
      <c r="BY121" s="204"/>
      <c r="BZ121" s="59"/>
      <c r="CA121" s="204"/>
      <c r="CB121" s="59"/>
      <c r="CC121" s="61"/>
      <c r="CD121" s="2023"/>
      <c r="CE121" s="43"/>
    </row>
    <row r="122" spans="2:83" ht="14.25" customHeight="1" x14ac:dyDescent="0.25">
      <c r="B122" s="2007"/>
      <c r="C122" s="50"/>
      <c r="D122" s="206" t="s">
        <v>16</v>
      </c>
      <c r="E122" s="207"/>
      <c r="F122" s="207"/>
      <c r="G122" s="207"/>
      <c r="H122" s="207"/>
      <c r="I122" s="207"/>
      <c r="J122" s="207"/>
      <c r="K122" s="207"/>
      <c r="L122" s="207"/>
      <c r="M122" s="207"/>
      <c r="N122" s="207"/>
      <c r="O122" s="207"/>
      <c r="P122" s="207"/>
      <c r="Q122" s="207"/>
      <c r="R122" s="207"/>
      <c r="S122" s="207"/>
      <c r="T122" s="207"/>
      <c r="U122" s="208"/>
      <c r="V122" s="207"/>
      <c r="W122" s="207"/>
      <c r="X122" s="207"/>
      <c r="Y122" s="207"/>
      <c r="Z122" s="207"/>
      <c r="AA122" s="207"/>
      <c r="AB122" s="207"/>
      <c r="AC122" s="207"/>
      <c r="AD122" s="207"/>
      <c r="AE122" s="207"/>
      <c r="AF122" s="207"/>
      <c r="AG122" s="207"/>
      <c r="AH122" s="207"/>
      <c r="AI122" s="207"/>
      <c r="AJ122" s="208"/>
      <c r="AK122" s="207"/>
      <c r="AL122" s="208"/>
      <c r="AM122" s="61"/>
      <c r="AN122" s="2031"/>
      <c r="AO122" s="183"/>
      <c r="AP122" s="2031"/>
      <c r="AQ122" s="50"/>
      <c r="AR122" s="3364" t="s">
        <v>13</v>
      </c>
      <c r="AS122" s="3364"/>
      <c r="AT122" s="3364"/>
      <c r="AU122" s="454"/>
      <c r="AV122" s="454"/>
      <c r="AW122" s="454"/>
      <c r="AX122" s="454"/>
      <c r="AY122" s="454"/>
      <c r="AZ122" s="454"/>
      <c r="BA122" s="454"/>
      <c r="BB122" s="454"/>
      <c r="BC122" s="454"/>
      <c r="BD122" s="454"/>
      <c r="BE122" s="454"/>
      <c r="BF122" s="454"/>
      <c r="BG122" s="454"/>
      <c r="BH122" s="454"/>
      <c r="BI122" s="454"/>
      <c r="BJ122" s="454"/>
      <c r="BK122" s="455"/>
      <c r="BL122" s="454"/>
      <c r="BM122" s="454"/>
      <c r="BN122" s="454"/>
      <c r="BO122" s="454"/>
      <c r="BP122" s="454"/>
      <c r="BQ122" s="454"/>
      <c r="BR122" s="454"/>
      <c r="BS122" s="454"/>
      <c r="BT122" s="454"/>
      <c r="BU122" s="454"/>
      <c r="BV122" s="454"/>
      <c r="BW122" s="454"/>
      <c r="BX122" s="454"/>
      <c r="BY122" s="454"/>
      <c r="BZ122" s="455"/>
      <c r="CA122" s="454"/>
      <c r="CB122" s="455"/>
      <c r="CC122" s="61"/>
      <c r="CD122" s="2023"/>
      <c r="CE122" s="43"/>
    </row>
    <row r="123" spans="2:83" ht="4.5" customHeight="1" x14ac:dyDescent="0.25">
      <c r="B123" s="2007"/>
      <c r="C123" s="50"/>
      <c r="D123" s="3309"/>
      <c r="E123" s="3309"/>
      <c r="F123" s="472"/>
      <c r="G123" s="474"/>
      <c r="H123" s="472"/>
      <c r="I123" s="474"/>
      <c r="J123" s="472"/>
      <c r="K123" s="474"/>
      <c r="L123" s="472"/>
      <c r="M123" s="474"/>
      <c r="N123" s="472"/>
      <c r="O123" s="474"/>
      <c r="P123" s="472"/>
      <c r="Q123" s="474"/>
      <c r="R123" s="472"/>
      <c r="S123" s="475"/>
      <c r="T123" s="472"/>
      <c r="V123" s="472"/>
      <c r="W123" s="474"/>
      <c r="X123" s="472"/>
      <c r="Y123" s="474"/>
      <c r="Z123" s="472"/>
      <c r="AA123" s="474"/>
      <c r="AB123" s="472"/>
      <c r="AC123" s="474"/>
      <c r="AD123" s="472"/>
      <c r="AE123" s="474"/>
      <c r="AF123" s="472"/>
      <c r="AG123" s="474"/>
      <c r="AH123" s="472"/>
      <c r="AI123" s="475"/>
      <c r="AJ123" s="473"/>
      <c r="AK123" s="475"/>
      <c r="AL123" s="476"/>
      <c r="AM123" s="210"/>
      <c r="AN123" s="2041"/>
      <c r="AO123" s="212"/>
      <c r="AP123" s="2041"/>
      <c r="AQ123" s="213"/>
      <c r="AR123" s="3310"/>
      <c r="AS123" s="3310"/>
      <c r="AT123" s="3310"/>
      <c r="AU123" s="3310"/>
      <c r="AV123" s="23"/>
      <c r="AW123" s="209"/>
      <c r="AX123" s="23"/>
      <c r="AY123" s="209"/>
      <c r="AZ123" s="23"/>
      <c r="BA123" s="209"/>
      <c r="BB123" s="23"/>
      <c r="BC123" s="209"/>
      <c r="BD123" s="23"/>
      <c r="BE123" s="209"/>
      <c r="BF123" s="23"/>
      <c r="BG123" s="209"/>
      <c r="BH123" s="23"/>
      <c r="BI123" s="26"/>
      <c r="BJ123" s="23"/>
      <c r="BL123" s="23"/>
      <c r="BM123" s="209"/>
      <c r="BN123" s="23"/>
      <c r="BO123" s="209"/>
      <c r="BP123" s="23"/>
      <c r="BQ123" s="209"/>
      <c r="BR123" s="23"/>
      <c r="BS123" s="209"/>
      <c r="BT123" s="23"/>
      <c r="BU123" s="209"/>
      <c r="BV123" s="23"/>
      <c r="BW123" s="209"/>
      <c r="BX123" s="23"/>
      <c r="BY123" s="26"/>
      <c r="BZ123" s="59"/>
      <c r="CA123" s="26"/>
      <c r="CB123" s="186"/>
      <c r="CC123" s="61"/>
      <c r="CD123" s="2023"/>
      <c r="CE123" s="43"/>
    </row>
    <row r="124" spans="2:83" ht="33" customHeight="1" x14ac:dyDescent="0.25">
      <c r="B124" s="2007"/>
      <c r="C124" s="50"/>
      <c r="D124" s="3377" t="s">
        <v>153</v>
      </c>
      <c r="E124" s="3377"/>
      <c r="F124" s="3316" t="s">
        <v>26</v>
      </c>
      <c r="G124" s="209"/>
      <c r="H124" s="3316" t="s">
        <v>29</v>
      </c>
      <c r="I124" s="209"/>
      <c r="J124" s="3316" t="s">
        <v>28</v>
      </c>
      <c r="K124" s="209"/>
      <c r="L124" s="3316" t="s">
        <v>27</v>
      </c>
      <c r="M124" s="209"/>
      <c r="N124" s="3316" t="s">
        <v>30</v>
      </c>
      <c r="O124" s="209"/>
      <c r="P124" s="3316" t="s">
        <v>31</v>
      </c>
      <c r="Q124" s="209"/>
      <c r="R124" s="3316" t="s">
        <v>25</v>
      </c>
      <c r="S124" s="26"/>
      <c r="T124" s="3317" t="s">
        <v>37</v>
      </c>
      <c r="V124" s="3316" t="s">
        <v>26</v>
      </c>
      <c r="W124" s="209"/>
      <c r="X124" s="3316" t="s">
        <v>29</v>
      </c>
      <c r="Y124" s="209"/>
      <c r="Z124" s="3316" t="s">
        <v>28</v>
      </c>
      <c r="AA124" s="209"/>
      <c r="AB124" s="3316" t="s">
        <v>27</v>
      </c>
      <c r="AC124" s="209"/>
      <c r="AD124" s="3316" t="s">
        <v>30</v>
      </c>
      <c r="AE124" s="209"/>
      <c r="AF124" s="3316" t="s">
        <v>31</v>
      </c>
      <c r="AG124" s="209"/>
      <c r="AH124" s="3316" t="s">
        <v>25</v>
      </c>
      <c r="AI124" s="26"/>
      <c r="AJ124" s="3317" t="s">
        <v>37</v>
      </c>
      <c r="AK124" s="26"/>
      <c r="AL124" s="186"/>
      <c r="AM124" s="210"/>
      <c r="AN124" s="2041"/>
      <c r="AO124" s="212"/>
      <c r="AP124" s="2041"/>
      <c r="AQ124" s="213"/>
      <c r="AR124" s="3377" t="s">
        <v>153</v>
      </c>
      <c r="AS124" s="3377"/>
      <c r="AT124" s="3377"/>
      <c r="AU124" s="3377"/>
      <c r="AV124" s="3378" t="s">
        <v>26</v>
      </c>
      <c r="AW124" s="209"/>
      <c r="AX124" s="3316" t="s">
        <v>29</v>
      </c>
      <c r="AY124" s="209"/>
      <c r="AZ124" s="3316" t="s">
        <v>28</v>
      </c>
      <c r="BA124" s="209"/>
      <c r="BB124" s="3316" t="s">
        <v>27</v>
      </c>
      <c r="BC124" s="209"/>
      <c r="BD124" s="3316" t="s">
        <v>30</v>
      </c>
      <c r="BE124" s="209"/>
      <c r="BF124" s="3316" t="s">
        <v>31</v>
      </c>
      <c r="BG124" s="209"/>
      <c r="BH124" s="3316" t="s">
        <v>25</v>
      </c>
      <c r="BI124" s="26"/>
      <c r="BJ124" s="3317" t="s">
        <v>37</v>
      </c>
      <c r="BL124" s="3316" t="s">
        <v>26</v>
      </c>
      <c r="BM124" s="209"/>
      <c r="BN124" s="3316" t="s">
        <v>29</v>
      </c>
      <c r="BO124" s="209"/>
      <c r="BP124" s="3316" t="s">
        <v>28</v>
      </c>
      <c r="BQ124" s="209"/>
      <c r="BR124" s="3316" t="s">
        <v>27</v>
      </c>
      <c r="BS124" s="209"/>
      <c r="BT124" s="3316" t="s">
        <v>30</v>
      </c>
      <c r="BU124" s="209"/>
      <c r="BV124" s="3316" t="s">
        <v>31</v>
      </c>
      <c r="BW124" s="209"/>
      <c r="BX124" s="3316" t="s">
        <v>25</v>
      </c>
      <c r="BY124" s="26"/>
      <c r="BZ124" s="3317" t="s">
        <v>37</v>
      </c>
      <c r="CA124" s="26"/>
      <c r="CB124" s="186"/>
      <c r="CC124" s="61"/>
      <c r="CD124" s="2023"/>
      <c r="CE124" s="43"/>
    </row>
    <row r="125" spans="2:83" ht="20.25" customHeight="1" x14ac:dyDescent="0.25">
      <c r="B125" s="2007"/>
      <c r="C125" s="50"/>
      <c r="D125" s="3377"/>
      <c r="E125" s="3377"/>
      <c r="F125" s="3316"/>
      <c r="G125" s="209"/>
      <c r="H125" s="3316"/>
      <c r="I125" s="209"/>
      <c r="J125" s="3316"/>
      <c r="K125" s="209"/>
      <c r="L125" s="3316"/>
      <c r="M125" s="209"/>
      <c r="N125" s="3316"/>
      <c r="O125" s="209"/>
      <c r="P125" s="3316"/>
      <c r="Q125" s="209"/>
      <c r="R125" s="3316"/>
      <c r="S125" s="26"/>
      <c r="T125" s="3317"/>
      <c r="V125" s="3316"/>
      <c r="W125" s="209"/>
      <c r="X125" s="3316"/>
      <c r="Y125" s="209"/>
      <c r="Z125" s="3316"/>
      <c r="AA125" s="209"/>
      <c r="AB125" s="3316"/>
      <c r="AC125" s="209"/>
      <c r="AD125" s="3316"/>
      <c r="AE125" s="209"/>
      <c r="AF125" s="3316"/>
      <c r="AG125" s="209"/>
      <c r="AH125" s="3316"/>
      <c r="AI125" s="26"/>
      <c r="AJ125" s="3317"/>
      <c r="AK125" s="26"/>
      <c r="AL125" s="186"/>
      <c r="AM125" s="210"/>
      <c r="AN125" s="2041"/>
      <c r="AO125" s="212"/>
      <c r="AP125" s="2041"/>
      <c r="AQ125" s="213"/>
      <c r="AR125" s="3377"/>
      <c r="AS125" s="3377"/>
      <c r="AT125" s="3377"/>
      <c r="AU125" s="3377"/>
      <c r="AV125" s="3378"/>
      <c r="AW125" s="209"/>
      <c r="AX125" s="3316"/>
      <c r="AY125" s="209"/>
      <c r="AZ125" s="3316"/>
      <c r="BA125" s="209"/>
      <c r="BB125" s="3316"/>
      <c r="BC125" s="209"/>
      <c r="BD125" s="3316"/>
      <c r="BE125" s="209"/>
      <c r="BF125" s="3316"/>
      <c r="BG125" s="209"/>
      <c r="BH125" s="3316"/>
      <c r="BI125" s="26"/>
      <c r="BJ125" s="3317"/>
      <c r="BL125" s="3316"/>
      <c r="BM125" s="209"/>
      <c r="BN125" s="3316"/>
      <c r="BO125" s="209"/>
      <c r="BP125" s="3316"/>
      <c r="BQ125" s="209"/>
      <c r="BR125" s="3316"/>
      <c r="BS125" s="209"/>
      <c r="BT125" s="3316"/>
      <c r="BU125" s="209"/>
      <c r="BV125" s="3316"/>
      <c r="BW125" s="209"/>
      <c r="BX125" s="3316"/>
      <c r="BY125" s="26"/>
      <c r="BZ125" s="3317"/>
      <c r="CA125" s="26"/>
      <c r="CB125" s="186"/>
      <c r="CC125" s="61"/>
      <c r="CD125" s="2023"/>
      <c r="CE125" s="43"/>
    </row>
    <row r="126" spans="2:83" ht="6.75" customHeight="1" x14ac:dyDescent="0.25">
      <c r="B126" s="2007"/>
      <c r="C126" s="50"/>
      <c r="D126" s="3384"/>
      <c r="E126" s="3384"/>
      <c r="F126" s="3316"/>
      <c r="G126" s="209"/>
      <c r="H126" s="3316"/>
      <c r="I126" s="209"/>
      <c r="J126" s="3316"/>
      <c r="K126" s="209"/>
      <c r="L126" s="3316"/>
      <c r="M126" s="209"/>
      <c r="N126" s="3316"/>
      <c r="O126" s="209"/>
      <c r="P126" s="3316"/>
      <c r="Q126" s="209"/>
      <c r="R126" s="3316"/>
      <c r="S126" s="26"/>
      <c r="T126" s="3317"/>
      <c r="V126" s="3316"/>
      <c r="W126" s="209"/>
      <c r="X126" s="3316"/>
      <c r="Y126" s="209"/>
      <c r="Z126" s="3316"/>
      <c r="AA126" s="209"/>
      <c r="AB126" s="3316"/>
      <c r="AC126" s="209"/>
      <c r="AD126" s="3316"/>
      <c r="AE126" s="209"/>
      <c r="AF126" s="3316"/>
      <c r="AG126" s="209"/>
      <c r="AH126" s="3316"/>
      <c r="AI126" s="26"/>
      <c r="AJ126" s="3317"/>
      <c r="AK126" s="26"/>
      <c r="AL126" s="186"/>
      <c r="AM126" s="210"/>
      <c r="AN126" s="2041"/>
      <c r="AO126" s="212"/>
      <c r="AP126" s="2041"/>
      <c r="AQ126" s="213"/>
      <c r="AR126" s="3310"/>
      <c r="AS126" s="3310"/>
      <c r="AT126" s="3310"/>
      <c r="AU126" s="3310"/>
      <c r="AV126" s="3378"/>
      <c r="AW126" s="209"/>
      <c r="AX126" s="3316"/>
      <c r="AY126" s="209"/>
      <c r="AZ126" s="3316"/>
      <c r="BA126" s="209"/>
      <c r="BB126" s="3316"/>
      <c r="BC126" s="209"/>
      <c r="BD126" s="3316"/>
      <c r="BE126" s="209"/>
      <c r="BF126" s="3316"/>
      <c r="BG126" s="209"/>
      <c r="BH126" s="3316"/>
      <c r="BI126" s="26"/>
      <c r="BJ126" s="3317"/>
      <c r="BL126" s="3316"/>
      <c r="BM126" s="209"/>
      <c r="BN126" s="3316"/>
      <c r="BO126" s="209"/>
      <c r="BP126" s="3316"/>
      <c r="BQ126" s="209"/>
      <c r="BR126" s="3316"/>
      <c r="BS126" s="209"/>
      <c r="BT126" s="3316"/>
      <c r="BU126" s="209"/>
      <c r="BV126" s="3316"/>
      <c r="BW126" s="209"/>
      <c r="BX126" s="3316"/>
      <c r="BY126" s="26"/>
      <c r="BZ126" s="3317"/>
      <c r="CA126" s="26"/>
      <c r="CB126" s="186"/>
      <c r="CC126" s="61"/>
      <c r="CD126" s="2023"/>
      <c r="CE126" s="43"/>
    </row>
    <row r="127" spans="2:83" ht="5.25" customHeight="1" x14ac:dyDescent="0.25">
      <c r="B127" s="2007"/>
      <c r="C127" s="91"/>
      <c r="D127" s="214"/>
      <c r="E127" s="215"/>
      <c r="F127" s="216"/>
      <c r="G127" s="217"/>
      <c r="H127" s="218"/>
      <c r="I127" s="217"/>
      <c r="J127" s="218"/>
      <c r="K127" s="217"/>
      <c r="L127" s="218"/>
      <c r="M127" s="217"/>
      <c r="N127" s="218"/>
      <c r="O127" s="217"/>
      <c r="P127" s="218"/>
      <c r="Q127" s="217"/>
      <c r="R127" s="218"/>
      <c r="S127" s="214"/>
      <c r="T127" s="92"/>
      <c r="U127" s="92"/>
      <c r="V127" s="219"/>
      <c r="W127" s="163"/>
      <c r="X127" s="220"/>
      <c r="Y127" s="163"/>
      <c r="Z127" s="220"/>
      <c r="AA127" s="163"/>
      <c r="AB127" s="220"/>
      <c r="AC127" s="163"/>
      <c r="AD127" s="220"/>
      <c r="AE127" s="163"/>
      <c r="AF127" s="220"/>
      <c r="AG127" s="163"/>
      <c r="AH127" s="220"/>
      <c r="AI127" s="214"/>
      <c r="AJ127" s="92"/>
      <c r="AK127" s="214"/>
      <c r="AL127" s="92"/>
      <c r="AM127" s="93"/>
      <c r="AN127" s="2031"/>
      <c r="AO127" s="183"/>
      <c r="AP127" s="2031"/>
      <c r="AQ127" s="91"/>
      <c r="AR127" s="92"/>
      <c r="AS127" s="214"/>
      <c r="AT127" s="214"/>
      <c r="AU127" s="215"/>
      <c r="AV127" s="216"/>
      <c r="AW127" s="217"/>
      <c r="AX127" s="218"/>
      <c r="AY127" s="217"/>
      <c r="AZ127" s="218"/>
      <c r="BA127" s="217"/>
      <c r="BB127" s="218"/>
      <c r="BC127" s="217"/>
      <c r="BD127" s="218"/>
      <c r="BE127" s="217"/>
      <c r="BF127" s="218"/>
      <c r="BG127" s="217"/>
      <c r="BH127" s="218"/>
      <c r="BI127" s="214"/>
      <c r="BJ127" s="92"/>
      <c r="BK127" s="92"/>
      <c r="BL127" s="219"/>
      <c r="BM127" s="163"/>
      <c r="BN127" s="220"/>
      <c r="BO127" s="163"/>
      <c r="BP127" s="220"/>
      <c r="BQ127" s="163"/>
      <c r="BR127" s="220"/>
      <c r="BS127" s="163"/>
      <c r="BT127" s="220"/>
      <c r="BU127" s="163"/>
      <c r="BV127" s="220"/>
      <c r="BW127" s="163"/>
      <c r="BX127" s="220"/>
      <c r="BY127" s="214"/>
      <c r="BZ127" s="92"/>
      <c r="CA127" s="214"/>
      <c r="CB127" s="92"/>
      <c r="CC127" s="93"/>
      <c r="CD127" s="2023"/>
      <c r="CE127" s="43"/>
    </row>
    <row r="128" spans="2:83" ht="12" customHeight="1" x14ac:dyDescent="0.25">
      <c r="B128" s="2010"/>
      <c r="C128" s="2018"/>
      <c r="D128" s="2018"/>
      <c r="E128" s="2018"/>
      <c r="F128" s="2018"/>
      <c r="G128" s="2018"/>
      <c r="H128" s="2018"/>
      <c r="I128" s="2018"/>
      <c r="J128" s="2018"/>
      <c r="K128" s="2018"/>
      <c r="L128" s="2018"/>
      <c r="M128" s="2018"/>
      <c r="N128" s="2018"/>
      <c r="O128" s="2018"/>
      <c r="P128" s="2018"/>
      <c r="Q128" s="2018"/>
      <c r="R128" s="2018"/>
      <c r="S128" s="2018"/>
      <c r="T128" s="2018"/>
      <c r="U128" s="2018"/>
      <c r="V128" s="2018"/>
      <c r="W128" s="2018"/>
      <c r="X128" s="2018"/>
      <c r="Y128" s="2018"/>
      <c r="Z128" s="2018"/>
      <c r="AA128" s="2018"/>
      <c r="AB128" s="2018"/>
      <c r="AC128" s="2018"/>
      <c r="AD128" s="2018"/>
      <c r="AE128" s="2018"/>
      <c r="AF128" s="2018"/>
      <c r="AG128" s="2018"/>
      <c r="AH128" s="2018"/>
      <c r="AI128" s="2018"/>
      <c r="AJ128" s="2018"/>
      <c r="AK128" s="2018"/>
      <c r="AL128" s="2018"/>
      <c r="AM128" s="2018"/>
      <c r="AN128" s="2018"/>
      <c r="AO128" s="183"/>
      <c r="AP128" s="2018"/>
      <c r="AQ128" s="2018"/>
      <c r="AR128" s="2018"/>
      <c r="AS128" s="2018"/>
      <c r="AT128" s="2018"/>
      <c r="AU128" s="2018"/>
      <c r="AV128" s="2018"/>
      <c r="AW128" s="2018"/>
      <c r="AX128" s="2018"/>
      <c r="AY128" s="2018"/>
      <c r="AZ128" s="2018"/>
      <c r="BA128" s="2018"/>
      <c r="BB128" s="2018"/>
      <c r="BC128" s="2018"/>
      <c r="BD128" s="2018"/>
      <c r="BE128" s="2018"/>
      <c r="BF128" s="2018"/>
      <c r="BG128" s="2018"/>
      <c r="BH128" s="2018"/>
      <c r="BI128" s="2018"/>
      <c r="BJ128" s="2018"/>
      <c r="BK128" s="2018"/>
      <c r="BL128" s="2018"/>
      <c r="BM128" s="2018"/>
      <c r="BN128" s="2018"/>
      <c r="BO128" s="2018"/>
      <c r="BP128" s="2018"/>
      <c r="BQ128" s="2018"/>
      <c r="BR128" s="2018"/>
      <c r="BS128" s="2018"/>
      <c r="BT128" s="2018"/>
      <c r="BU128" s="2018"/>
      <c r="BV128" s="2018"/>
      <c r="BW128" s="2018"/>
      <c r="BX128" s="2018"/>
      <c r="BY128" s="2018"/>
      <c r="BZ128" s="2018"/>
      <c r="CA128" s="2018"/>
      <c r="CB128" s="2018"/>
      <c r="CC128" s="2018"/>
      <c r="CD128" s="2019"/>
      <c r="CE128" s="43"/>
    </row>
    <row r="129" spans="2:83" ht="12.75" customHeight="1" x14ac:dyDescent="0.25">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c r="CA129" s="59"/>
      <c r="CB129" s="59"/>
      <c r="CC129" s="59"/>
      <c r="CD129" s="59"/>
      <c r="CE129" s="59"/>
    </row>
    <row r="130" spans="2:83" ht="22.5" customHeight="1" x14ac:dyDescent="0.25">
      <c r="B130" s="1890"/>
      <c r="C130" s="1891" t="s">
        <v>23</v>
      </c>
      <c r="D130" s="1892"/>
      <c r="E130" s="1892"/>
      <c r="F130" s="1892"/>
      <c r="G130" s="1892"/>
      <c r="H130" s="1892"/>
      <c r="I130" s="1892"/>
      <c r="J130" s="1892"/>
      <c r="K130" s="1892"/>
      <c r="L130" s="1892"/>
      <c r="M130" s="1892"/>
      <c r="N130" s="1892"/>
      <c r="O130" s="1892"/>
      <c r="P130" s="1892"/>
      <c r="Q130" s="1892"/>
      <c r="R130" s="1892"/>
      <c r="S130" s="1892"/>
      <c r="T130" s="1892"/>
      <c r="U130" s="1892"/>
      <c r="V130" s="1892"/>
      <c r="W130" s="1892"/>
      <c r="X130" s="1892"/>
      <c r="Y130" s="1892"/>
      <c r="Z130" s="1892"/>
      <c r="AA130" s="1892"/>
      <c r="AB130" s="1892"/>
      <c r="AC130" s="1892"/>
      <c r="AD130" s="1892"/>
      <c r="AE130" s="1892"/>
      <c r="AF130" s="1892"/>
      <c r="AG130" s="1892"/>
      <c r="AH130" s="1892"/>
      <c r="AI130" s="1892"/>
      <c r="AJ130" s="1892"/>
      <c r="AK130" s="1892"/>
      <c r="AL130" s="1892"/>
      <c r="AM130" s="1892"/>
      <c r="AN130" s="1892"/>
      <c r="AO130" s="1892"/>
      <c r="AP130" s="1892"/>
      <c r="AQ130" s="1893"/>
      <c r="AR130" s="1893"/>
      <c r="AS130" s="1892"/>
      <c r="AT130" s="1892"/>
      <c r="AU130" s="1892"/>
      <c r="AV130" s="1892"/>
      <c r="AW130" s="1892"/>
      <c r="AX130" s="1892"/>
      <c r="AY130" s="1892"/>
      <c r="AZ130" s="1892"/>
      <c r="BA130" s="1892"/>
      <c r="BB130" s="1892"/>
      <c r="BC130" s="1892"/>
      <c r="BD130" s="1892"/>
      <c r="BE130" s="1892"/>
      <c r="BF130" s="1892"/>
      <c r="BG130" s="1892"/>
      <c r="BH130" s="1892"/>
      <c r="BI130" s="1892"/>
      <c r="BJ130" s="1892"/>
      <c r="BK130" s="1892"/>
      <c r="BL130" s="1892"/>
      <c r="BM130" s="1892"/>
      <c r="BN130" s="1892"/>
      <c r="BO130" s="1892"/>
      <c r="BP130" s="1892"/>
      <c r="BQ130" s="1892"/>
      <c r="BR130" s="1892"/>
      <c r="BS130" s="1892"/>
      <c r="BT130" s="1892"/>
      <c r="BU130" s="1892"/>
      <c r="BV130" s="1892"/>
      <c r="BW130" s="1892"/>
      <c r="BX130" s="1890"/>
      <c r="BY130" s="1890"/>
      <c r="BZ130" s="1894"/>
      <c r="CA130" s="1890"/>
      <c r="CB130" s="3410"/>
      <c r="CC130" s="3410"/>
      <c r="CD130" s="1892"/>
    </row>
    <row r="131" spans="2:83" ht="6.75" customHeight="1" x14ac:dyDescent="0.25"/>
    <row r="132" spans="2:83" ht="12" customHeight="1" x14ac:dyDescent="0.25">
      <c r="B132" s="2009"/>
      <c r="C132" s="2011"/>
      <c r="D132" s="2011"/>
      <c r="E132" s="2011"/>
      <c r="F132" s="2011"/>
      <c r="G132" s="2011"/>
      <c r="H132" s="2011"/>
      <c r="I132" s="2011"/>
      <c r="J132" s="2011"/>
      <c r="K132" s="2011"/>
      <c r="L132" s="2011"/>
      <c r="M132" s="2011"/>
      <c r="N132" s="2011"/>
      <c r="O132" s="2011"/>
      <c r="P132" s="2011"/>
      <c r="Q132" s="2011"/>
      <c r="R132" s="2011"/>
      <c r="S132" s="2011"/>
      <c r="T132" s="2011"/>
      <c r="U132" s="2011"/>
      <c r="V132" s="2011"/>
      <c r="W132" s="2011"/>
      <c r="X132" s="2011"/>
      <c r="Y132" s="2011"/>
      <c r="Z132" s="2011"/>
      <c r="AA132" s="2011"/>
      <c r="AB132" s="2011"/>
      <c r="AC132" s="2011"/>
      <c r="AD132" s="2011"/>
      <c r="AE132" s="2011"/>
      <c r="AF132" s="2011"/>
      <c r="AG132" s="2011"/>
      <c r="AH132" s="2011"/>
      <c r="AI132" s="2011"/>
      <c r="AJ132" s="2011"/>
      <c r="AK132" s="2011"/>
      <c r="AL132" s="2011"/>
      <c r="AM132" s="2011"/>
      <c r="AN132" s="2011"/>
      <c r="AO132" s="2011"/>
      <c r="AP132" s="2011"/>
      <c r="AQ132" s="2011"/>
      <c r="AR132" s="2011"/>
      <c r="AS132" s="2011"/>
      <c r="AT132" s="2011"/>
      <c r="AU132" s="2011"/>
      <c r="AV132" s="2011"/>
      <c r="AW132" s="2011"/>
      <c r="AX132" s="2011"/>
      <c r="AY132" s="2011"/>
      <c r="AZ132" s="2011"/>
      <c r="BA132" s="2011"/>
      <c r="BB132" s="2011"/>
      <c r="BC132" s="2011"/>
      <c r="BD132" s="2011"/>
      <c r="BE132" s="2011"/>
      <c r="BF132" s="2011"/>
      <c r="BG132" s="2011"/>
      <c r="BH132" s="2011"/>
      <c r="BI132" s="2011"/>
      <c r="BJ132" s="2011"/>
      <c r="BK132" s="2011"/>
      <c r="BL132" s="2011"/>
      <c r="BM132" s="2011"/>
      <c r="BN132" s="2011"/>
      <c r="BO132" s="2011"/>
      <c r="BP132" s="2011"/>
      <c r="BQ132" s="2011"/>
      <c r="BR132" s="2011"/>
      <c r="BS132" s="2011"/>
      <c r="BT132" s="2011"/>
      <c r="BU132" s="2011"/>
      <c r="BV132" s="2011"/>
      <c r="BW132" s="2011"/>
      <c r="BX132" s="2011"/>
      <c r="BY132" s="2011"/>
      <c r="BZ132" s="2011"/>
      <c r="CA132" s="2011"/>
      <c r="CB132" s="2011"/>
      <c r="CC132" s="2011"/>
      <c r="CD132" s="2012"/>
      <c r="CE132" s="43"/>
    </row>
    <row r="133" spans="2:83" ht="9.75" customHeight="1" x14ac:dyDescent="0.25">
      <c r="B133" s="2007"/>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7"/>
      <c r="CD133" s="2023"/>
      <c r="CE133" s="43"/>
    </row>
    <row r="134" spans="2:83" ht="15" customHeight="1" x14ac:dyDescent="0.25">
      <c r="B134" s="2007"/>
      <c r="C134" s="50"/>
      <c r="D134" s="3306" t="s">
        <v>124</v>
      </c>
      <c r="E134" s="3306"/>
      <c r="F134" s="3306"/>
      <c r="G134" s="3306"/>
      <c r="H134" s="3306"/>
      <c r="I134" s="3306"/>
      <c r="J134" s="3306"/>
      <c r="K134" s="3306"/>
      <c r="L134" s="3306"/>
      <c r="M134" s="3306"/>
      <c r="N134" s="3306"/>
      <c r="O134" s="3306"/>
      <c r="P134" s="3306"/>
      <c r="Q134" s="3306"/>
      <c r="R134" s="3306"/>
      <c r="S134" s="3306"/>
      <c r="T134" s="3306"/>
      <c r="U134" s="3306"/>
      <c r="V134" s="3306"/>
      <c r="W134" s="3306"/>
      <c r="X134" s="3306"/>
      <c r="Y134" s="3306"/>
      <c r="Z134" s="3306"/>
      <c r="AA134" s="3306"/>
      <c r="AB134" s="3306"/>
      <c r="AC134" s="3306"/>
      <c r="AD134" s="3306"/>
      <c r="AE134" s="3306"/>
      <c r="AF134" s="3306"/>
      <c r="AG134" s="3306"/>
      <c r="AH134" s="3306"/>
      <c r="AI134" s="3306"/>
      <c r="AJ134" s="3306"/>
      <c r="AK134" s="3306"/>
      <c r="AL134" s="3306"/>
      <c r="AM134" s="3306"/>
      <c r="AN134" s="3306"/>
      <c r="AO134" s="3306"/>
      <c r="AP134" s="3306"/>
      <c r="AQ134" s="3306"/>
      <c r="AR134" s="3306"/>
      <c r="AS134" s="3306"/>
      <c r="AT134" s="3306"/>
      <c r="AU134" s="3306"/>
      <c r="AV134" s="3306"/>
      <c r="AW134" s="3306"/>
      <c r="AX134" s="3306"/>
      <c r="AY134" s="3306"/>
      <c r="AZ134" s="3306"/>
      <c r="BA134" s="3306"/>
      <c r="BB134" s="3306"/>
      <c r="BC134" s="3306"/>
      <c r="BD134" s="3306"/>
      <c r="BE134" s="3306"/>
      <c r="BF134" s="3306"/>
      <c r="BG134" s="3306"/>
      <c r="BH134" s="3306"/>
      <c r="BI134" s="3306"/>
      <c r="BJ134" s="3306"/>
      <c r="BK134" s="3306"/>
      <c r="BL134" s="3306"/>
      <c r="BM134" s="3306"/>
      <c r="BN134" s="3306"/>
      <c r="BO134" s="3306"/>
      <c r="BP134" s="3306"/>
      <c r="BQ134" s="3306"/>
      <c r="BR134" s="3306"/>
      <c r="BS134" s="3306"/>
      <c r="BT134" s="3306"/>
      <c r="BU134" s="3306"/>
      <c r="BV134" s="3306"/>
      <c r="BW134" s="3306"/>
      <c r="BX134" s="3306"/>
      <c r="BY134" s="3306"/>
      <c r="BZ134" s="3306"/>
      <c r="CA134" s="3306"/>
      <c r="CB134" s="3306"/>
      <c r="CC134" s="61"/>
      <c r="CD134" s="2023"/>
      <c r="CE134" s="43"/>
    </row>
    <row r="135" spans="2:83" ht="15" customHeight="1" x14ac:dyDescent="0.25">
      <c r="B135" s="2007"/>
      <c r="C135" s="50"/>
      <c r="D135" s="3306"/>
      <c r="E135" s="3306"/>
      <c r="F135" s="3306"/>
      <c r="G135" s="3306"/>
      <c r="H135" s="3306"/>
      <c r="I135" s="3306"/>
      <c r="J135" s="3306"/>
      <c r="K135" s="3306"/>
      <c r="L135" s="3306"/>
      <c r="M135" s="3306"/>
      <c r="N135" s="3306"/>
      <c r="O135" s="3306"/>
      <c r="P135" s="3306"/>
      <c r="Q135" s="3306"/>
      <c r="R135" s="3306"/>
      <c r="S135" s="3306"/>
      <c r="T135" s="3306"/>
      <c r="U135" s="3306"/>
      <c r="V135" s="3306"/>
      <c r="W135" s="3306"/>
      <c r="X135" s="3306"/>
      <c r="Y135" s="3306"/>
      <c r="Z135" s="3306"/>
      <c r="AA135" s="3306"/>
      <c r="AB135" s="3306"/>
      <c r="AC135" s="3306"/>
      <c r="AD135" s="3306"/>
      <c r="AE135" s="3306"/>
      <c r="AF135" s="3306"/>
      <c r="AG135" s="3306"/>
      <c r="AH135" s="3306"/>
      <c r="AI135" s="3306"/>
      <c r="AJ135" s="3306"/>
      <c r="AK135" s="3306"/>
      <c r="AL135" s="3306"/>
      <c r="AM135" s="3306"/>
      <c r="AN135" s="3306"/>
      <c r="AO135" s="3306"/>
      <c r="AP135" s="3306"/>
      <c r="AQ135" s="3306"/>
      <c r="AR135" s="3306"/>
      <c r="AS135" s="3306"/>
      <c r="AT135" s="3306"/>
      <c r="AU135" s="3306"/>
      <c r="AV135" s="3306"/>
      <c r="AW135" s="3306"/>
      <c r="AX135" s="3306"/>
      <c r="AY135" s="3306"/>
      <c r="AZ135" s="3306"/>
      <c r="BA135" s="3306"/>
      <c r="BB135" s="3306"/>
      <c r="BC135" s="3306"/>
      <c r="BD135" s="3306"/>
      <c r="BE135" s="3306"/>
      <c r="BF135" s="3306"/>
      <c r="BG135" s="3306"/>
      <c r="BH135" s="3306"/>
      <c r="BI135" s="3306"/>
      <c r="BJ135" s="3306"/>
      <c r="BK135" s="3306"/>
      <c r="BL135" s="3306"/>
      <c r="BM135" s="3306"/>
      <c r="BN135" s="3306"/>
      <c r="BO135" s="3306"/>
      <c r="BP135" s="3306"/>
      <c r="BQ135" s="3306"/>
      <c r="BR135" s="3306"/>
      <c r="BS135" s="3306"/>
      <c r="BT135" s="3306"/>
      <c r="BU135" s="3306"/>
      <c r="BV135" s="3306"/>
      <c r="BW135" s="3306"/>
      <c r="BX135" s="3306"/>
      <c r="BY135" s="3306"/>
      <c r="BZ135" s="3306"/>
      <c r="CA135" s="3306"/>
      <c r="CB135" s="3306"/>
      <c r="CC135" s="61"/>
      <c r="CD135" s="2023"/>
      <c r="CE135" s="43"/>
    </row>
    <row r="136" spans="2:83" ht="8.25" customHeight="1" x14ac:dyDescent="0.25">
      <c r="B136" s="2007"/>
      <c r="C136" s="91"/>
      <c r="D136" s="105"/>
      <c r="E136" s="92"/>
      <c r="F136" s="92"/>
      <c r="G136" s="92"/>
      <c r="H136" s="92"/>
      <c r="I136" s="92"/>
      <c r="J136" s="92"/>
      <c r="K136" s="92"/>
      <c r="L136" s="92"/>
      <c r="M136" s="92"/>
      <c r="N136" s="92"/>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c r="BM136" s="92"/>
      <c r="BN136" s="92"/>
      <c r="BO136" s="92"/>
      <c r="BP136" s="92"/>
      <c r="BQ136" s="92"/>
      <c r="BR136" s="92"/>
      <c r="BS136" s="92"/>
      <c r="BT136" s="92"/>
      <c r="BU136" s="92"/>
      <c r="BV136" s="92"/>
      <c r="BW136" s="92"/>
      <c r="BX136" s="92"/>
      <c r="BY136" s="92"/>
      <c r="BZ136" s="92"/>
      <c r="CA136" s="92"/>
      <c r="CB136" s="92"/>
      <c r="CC136" s="93"/>
      <c r="CD136" s="2023"/>
      <c r="CE136" s="43"/>
    </row>
    <row r="137" spans="2:83" ht="11.25" customHeight="1" x14ac:dyDescent="0.25">
      <c r="B137" s="2010"/>
      <c r="C137" s="2018"/>
      <c r="D137" s="2018"/>
      <c r="E137" s="2018"/>
      <c r="F137" s="2018"/>
      <c r="G137" s="2018"/>
      <c r="H137" s="2018"/>
      <c r="I137" s="2018"/>
      <c r="J137" s="2018"/>
      <c r="K137" s="2018"/>
      <c r="L137" s="2018"/>
      <c r="M137" s="2018"/>
      <c r="N137" s="2018"/>
      <c r="O137" s="2018"/>
      <c r="P137" s="2018"/>
      <c r="Q137" s="2018"/>
      <c r="R137" s="2018"/>
      <c r="S137" s="2018"/>
      <c r="T137" s="2018"/>
      <c r="U137" s="2018"/>
      <c r="V137" s="2018"/>
      <c r="W137" s="2018"/>
      <c r="X137" s="2018"/>
      <c r="Y137" s="2018"/>
      <c r="Z137" s="2018"/>
      <c r="AA137" s="2018"/>
      <c r="AB137" s="2018"/>
      <c r="AC137" s="2018"/>
      <c r="AD137" s="2018"/>
      <c r="AE137" s="2018"/>
      <c r="AF137" s="2018"/>
      <c r="AG137" s="2018"/>
      <c r="AH137" s="2018"/>
      <c r="AI137" s="2018"/>
      <c r="AJ137" s="2018"/>
      <c r="AK137" s="2018"/>
      <c r="AL137" s="2018"/>
      <c r="AM137" s="2018"/>
      <c r="AN137" s="2018"/>
      <c r="AO137" s="2018"/>
      <c r="AP137" s="2018"/>
      <c r="AQ137" s="2018"/>
      <c r="AR137" s="2018"/>
      <c r="AS137" s="2018"/>
      <c r="AT137" s="2018"/>
      <c r="AU137" s="2018"/>
      <c r="AV137" s="2018"/>
      <c r="AW137" s="2018"/>
      <c r="AX137" s="2018"/>
      <c r="AY137" s="2018"/>
      <c r="AZ137" s="2018"/>
      <c r="BA137" s="2018"/>
      <c r="BB137" s="2018"/>
      <c r="BC137" s="2018"/>
      <c r="BD137" s="2018"/>
      <c r="BE137" s="2018"/>
      <c r="BF137" s="2018"/>
      <c r="BG137" s="2018"/>
      <c r="BH137" s="2018"/>
      <c r="BI137" s="2018"/>
      <c r="BJ137" s="2018"/>
      <c r="BK137" s="2018"/>
      <c r="BL137" s="2018"/>
      <c r="BM137" s="2018"/>
      <c r="BN137" s="2018"/>
      <c r="BO137" s="2018"/>
      <c r="BP137" s="2018"/>
      <c r="BQ137" s="2018"/>
      <c r="BR137" s="2018"/>
      <c r="BS137" s="2018"/>
      <c r="BT137" s="2018"/>
      <c r="BU137" s="2018"/>
      <c r="BV137" s="2018"/>
      <c r="BW137" s="2018"/>
      <c r="BX137" s="2018"/>
      <c r="BY137" s="2018"/>
      <c r="BZ137" s="2018"/>
      <c r="CA137" s="2018"/>
      <c r="CB137" s="2018"/>
      <c r="CC137" s="2018"/>
      <c r="CD137" s="2019"/>
      <c r="CE137" s="43"/>
    </row>
    <row r="138" spans="2:83" ht="9.75" customHeight="1" x14ac:dyDescent="0.25">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59"/>
      <c r="BG138" s="59"/>
      <c r="BH138" s="59"/>
      <c r="BI138" s="59"/>
      <c r="BJ138" s="59"/>
      <c r="BK138" s="59"/>
      <c r="BL138" s="59"/>
      <c r="BM138" s="59"/>
      <c r="BN138" s="59"/>
      <c r="BO138" s="59"/>
      <c r="BP138" s="59"/>
      <c r="BQ138" s="59"/>
      <c r="BR138" s="59"/>
      <c r="BS138" s="59"/>
      <c r="BT138" s="59"/>
      <c r="BU138" s="59"/>
      <c r="BV138" s="59"/>
      <c r="BW138" s="59"/>
      <c r="BX138" s="59"/>
      <c r="BY138" s="59"/>
      <c r="BZ138" s="59"/>
      <c r="CA138" s="59"/>
      <c r="CB138" s="59"/>
      <c r="CC138" s="59"/>
      <c r="CD138" s="59"/>
      <c r="CE138" s="59"/>
    </row>
    <row r="142" spans="2:83" ht="15.75" customHeight="1" x14ac:dyDescent="0.25">
      <c r="BK142" s="59"/>
      <c r="BM142" s="377"/>
      <c r="BN142" s="377"/>
      <c r="BO142" s="377"/>
      <c r="BP142" s="377"/>
      <c r="BQ142" s="377"/>
      <c r="BR142" s="377"/>
      <c r="BS142" s="377"/>
      <c r="BT142" s="377"/>
      <c r="BU142" s="377"/>
      <c r="BV142" s="377"/>
      <c r="BW142" s="377"/>
      <c r="BX142" s="377"/>
      <c r="BY142" s="377"/>
      <c r="BZ142" s="377"/>
    </row>
    <row r="143" spans="2:83" x14ac:dyDescent="0.25">
      <c r="BM143" s="377"/>
      <c r="BN143" s="377"/>
      <c r="BO143" s="377"/>
      <c r="BP143" s="377"/>
      <c r="BQ143" s="377"/>
      <c r="BR143" s="377"/>
      <c r="BS143" s="377"/>
      <c r="BT143" s="377"/>
      <c r="BU143" s="377"/>
      <c r="BV143" s="377"/>
      <c r="BW143" s="377"/>
      <c r="BX143" s="377"/>
      <c r="BY143" s="377"/>
      <c r="BZ143" s="377"/>
    </row>
    <row r="144" spans="2:83" x14ac:dyDescent="0.25">
      <c r="BK144" s="59"/>
      <c r="BL144" s="377"/>
      <c r="BM144" s="377"/>
      <c r="BN144" s="377"/>
      <c r="BO144" s="377"/>
      <c r="BP144" s="377"/>
      <c r="BQ144" s="377"/>
      <c r="BR144" s="377"/>
      <c r="BS144" s="377"/>
      <c r="BT144" s="377"/>
      <c r="BU144" s="377"/>
      <c r="BV144" s="377"/>
      <c r="BW144" s="377"/>
      <c r="BX144" s="377"/>
      <c r="BY144" s="377"/>
      <c r="BZ144" s="377"/>
    </row>
  </sheetData>
  <sheetProtection password="C518" sheet="1" objects="1" scenarios="1"/>
  <mergeCells count="181">
    <mergeCell ref="Z2:AX2"/>
    <mergeCell ref="BY4:CC4"/>
    <mergeCell ref="CB8:CC8"/>
    <mergeCell ref="X12:Z12"/>
    <mergeCell ref="CB25:CC25"/>
    <mergeCell ref="AX29:AZ29"/>
    <mergeCell ref="CA29:CB29"/>
    <mergeCell ref="BR6:CD6"/>
    <mergeCell ref="V3:BB4"/>
    <mergeCell ref="AN31:AR31"/>
    <mergeCell ref="AS31:AT31"/>
    <mergeCell ref="AU31:AY31"/>
    <mergeCell ref="BP31:BV31"/>
    <mergeCell ref="BX31:CB31"/>
    <mergeCell ref="D15:U21"/>
    <mergeCell ref="AF16:AH16"/>
    <mergeCell ref="BB16:BD16"/>
    <mergeCell ref="AH17:AL17"/>
    <mergeCell ref="BW17:CA17"/>
    <mergeCell ref="AF20:AH20"/>
    <mergeCell ref="BB20:BD20"/>
    <mergeCell ref="D34:I34"/>
    <mergeCell ref="K34:U34"/>
    <mergeCell ref="AU34:AX34"/>
    <mergeCell ref="BS34:BT34"/>
    <mergeCell ref="BZ34:CB34"/>
    <mergeCell ref="D35:I35"/>
    <mergeCell ref="K35:U35"/>
    <mergeCell ref="AU35:AX35"/>
    <mergeCell ref="BS35:BT35"/>
    <mergeCell ref="BZ35:CB35"/>
    <mergeCell ref="D36:I36"/>
    <mergeCell ref="K36:U36"/>
    <mergeCell ref="AU36:AX36"/>
    <mergeCell ref="BS36:BT36"/>
    <mergeCell ref="BZ36:CB36"/>
    <mergeCell ref="D37:I37"/>
    <mergeCell ref="K37:U37"/>
    <mergeCell ref="AU37:AX37"/>
    <mergeCell ref="BS37:BT37"/>
    <mergeCell ref="BZ37:CB37"/>
    <mergeCell ref="CB42:CC42"/>
    <mergeCell ref="AJ46:AL46"/>
    <mergeCell ref="BZ46:CB46"/>
    <mergeCell ref="D38:I38"/>
    <mergeCell ref="K38:U38"/>
    <mergeCell ref="AU38:AX38"/>
    <mergeCell ref="BS38:BT38"/>
    <mergeCell ref="BZ38:CB38"/>
    <mergeCell ref="U42:V42"/>
    <mergeCell ref="W42:X42"/>
    <mergeCell ref="AU42:AV42"/>
    <mergeCell ref="AW42:AX42"/>
    <mergeCell ref="AY42:AZ42"/>
    <mergeCell ref="Z56:AB56"/>
    <mergeCell ref="AU57:AZ57"/>
    <mergeCell ref="BD57:BF57"/>
    <mergeCell ref="BM58:BO58"/>
    <mergeCell ref="BP58:BR58"/>
    <mergeCell ref="BA42:BB42"/>
    <mergeCell ref="BC42:BD42"/>
    <mergeCell ref="BE42:BF42"/>
    <mergeCell ref="BG42:BH42"/>
    <mergeCell ref="AR59:AS59"/>
    <mergeCell ref="AU59:AX59"/>
    <mergeCell ref="BB59:BG59"/>
    <mergeCell ref="BM59:BO59"/>
    <mergeCell ref="BP59:BR59"/>
    <mergeCell ref="AR61:AS61"/>
    <mergeCell ref="AU61:AX61"/>
    <mergeCell ref="BB61:BG61"/>
    <mergeCell ref="CB52:CC52"/>
    <mergeCell ref="AR67:AS67"/>
    <mergeCell ref="AU67:AX67"/>
    <mergeCell ref="BB67:BG67"/>
    <mergeCell ref="AR70:AS70"/>
    <mergeCell ref="AU70:AX70"/>
    <mergeCell ref="BB70:BG70"/>
    <mergeCell ref="AR63:AS63"/>
    <mergeCell ref="AU63:AX63"/>
    <mergeCell ref="BB63:BG63"/>
    <mergeCell ref="AR65:AS65"/>
    <mergeCell ref="AU65:AX65"/>
    <mergeCell ref="BB65:BG65"/>
    <mergeCell ref="BL70:CA72"/>
    <mergeCell ref="BL74:CA75"/>
    <mergeCell ref="CB74:CC74"/>
    <mergeCell ref="BL76:CA77"/>
    <mergeCell ref="CB76:CC76"/>
    <mergeCell ref="F78:H78"/>
    <mergeCell ref="Z78:AC78"/>
    <mergeCell ref="AF78:AM78"/>
    <mergeCell ref="AN78:AP78"/>
    <mergeCell ref="AQ78:AR78"/>
    <mergeCell ref="BD78:BG78"/>
    <mergeCell ref="BL87:CA88"/>
    <mergeCell ref="CB88:CC88"/>
    <mergeCell ref="CB93:CC93"/>
    <mergeCell ref="U97:V97"/>
    <mergeCell ref="AU97:AV97"/>
    <mergeCell ref="CB97:CC97"/>
    <mergeCell ref="BL78:CA79"/>
    <mergeCell ref="CB78:CC78"/>
    <mergeCell ref="BL80:CA82"/>
    <mergeCell ref="CB80:CC80"/>
    <mergeCell ref="BL84:CA86"/>
    <mergeCell ref="CB85:CC85"/>
    <mergeCell ref="BZ101:CB101"/>
    <mergeCell ref="R102:T102"/>
    <mergeCell ref="BV102:BY102"/>
    <mergeCell ref="BZ102:CB102"/>
    <mergeCell ref="Z114:AB114"/>
    <mergeCell ref="AC114:AE114"/>
    <mergeCell ref="AH114:AJ114"/>
    <mergeCell ref="AR114:AT116"/>
    <mergeCell ref="AU114:AX114"/>
    <mergeCell ref="AZ114:BB114"/>
    <mergeCell ref="AL106:AM106"/>
    <mergeCell ref="CB106:CC106"/>
    <mergeCell ref="AI110:AJ110"/>
    <mergeCell ref="AH113:AJ113"/>
    <mergeCell ref="BX113:BZ113"/>
    <mergeCell ref="BS114:BU114"/>
    <mergeCell ref="BX114:BZ114"/>
    <mergeCell ref="AR121:AT121"/>
    <mergeCell ref="D114:D116"/>
    <mergeCell ref="E114:H114"/>
    <mergeCell ref="J114:L114"/>
    <mergeCell ref="M114:O114"/>
    <mergeCell ref="U114:X114"/>
    <mergeCell ref="BP114:BR114"/>
    <mergeCell ref="R101:T101"/>
    <mergeCell ref="BV101:BY101"/>
    <mergeCell ref="AR122:AT122"/>
    <mergeCell ref="D123:E123"/>
    <mergeCell ref="AR123:AU123"/>
    <mergeCell ref="BC114:BE114"/>
    <mergeCell ref="BK114:BN114"/>
    <mergeCell ref="AJ124:AJ126"/>
    <mergeCell ref="AR124:AU125"/>
    <mergeCell ref="P124:P126"/>
    <mergeCell ref="R124:R126"/>
    <mergeCell ref="T124:T126"/>
    <mergeCell ref="V124:V126"/>
    <mergeCell ref="X124:X126"/>
    <mergeCell ref="Z124:Z126"/>
    <mergeCell ref="D124:E125"/>
    <mergeCell ref="F124:F126"/>
    <mergeCell ref="H124:H126"/>
    <mergeCell ref="J124:J126"/>
    <mergeCell ref="L124:L126"/>
    <mergeCell ref="N124:N126"/>
    <mergeCell ref="D117:E117"/>
    <mergeCell ref="AS117:AU117"/>
    <mergeCell ref="AR118:AT118"/>
    <mergeCell ref="AR119:AT119"/>
    <mergeCell ref="AR120:AT120"/>
    <mergeCell ref="CB130:CC130"/>
    <mergeCell ref="D134:CB135"/>
    <mergeCell ref="BT124:BT126"/>
    <mergeCell ref="BV124:BV126"/>
    <mergeCell ref="BX124:BX126"/>
    <mergeCell ref="BZ124:BZ126"/>
    <mergeCell ref="D126:E126"/>
    <mergeCell ref="AR126:AU126"/>
    <mergeCell ref="BH124:BH126"/>
    <mergeCell ref="BJ124:BJ126"/>
    <mergeCell ref="BL124:BL126"/>
    <mergeCell ref="BN124:BN126"/>
    <mergeCell ref="BP124:BP126"/>
    <mergeCell ref="BR124:BR126"/>
    <mergeCell ref="AV124:AV126"/>
    <mergeCell ref="AX124:AX126"/>
    <mergeCell ref="AZ124:AZ126"/>
    <mergeCell ref="BB124:BB126"/>
    <mergeCell ref="BD124:BD126"/>
    <mergeCell ref="BF124:BF126"/>
    <mergeCell ref="AB124:AB126"/>
    <mergeCell ref="AD124:AD126"/>
    <mergeCell ref="AF124:AF126"/>
    <mergeCell ref="AH124:AH126"/>
  </mergeCells>
  <conditionalFormatting sqref="U29">
    <cfRule type="iconSet" priority="6">
      <iconSet iconSet="5Rating" showValue="0">
        <cfvo type="percent" val="0"/>
        <cfvo type="num" val="1" gte="0"/>
        <cfvo type="num" val="2" gte="0"/>
        <cfvo type="num" val="3" gte="0"/>
        <cfvo type="num" val="4" gte="0"/>
      </iconSet>
    </cfRule>
    <cfRule type="iconSet" priority="5">
      <iconSet iconSet="5Rating" showValue="0">
        <cfvo type="percent" val="0"/>
        <cfvo type="num" val="1" gte="0"/>
        <cfvo type="num" val="2" gte="0"/>
        <cfvo type="num" val="3" gte="0"/>
        <cfvo type="num" val="4" gte="0"/>
      </iconSet>
    </cfRule>
  </conditionalFormatting>
  <conditionalFormatting sqref="U101:U102">
    <cfRule type="iconSet" priority="3">
      <iconSet iconSet="5Rating" showValue="0">
        <cfvo type="percent" val="0"/>
        <cfvo type="num" val="1" gte="0"/>
        <cfvo type="num" val="2" gte="0"/>
        <cfvo type="num" val="3" gte="0"/>
        <cfvo type="num" val="4" gte="0"/>
      </iconSet>
    </cfRule>
  </conditionalFormatting>
  <conditionalFormatting sqref="AJ46">
    <cfRule type="iconSet" priority="17">
      <iconSet iconSet="5Rating" showValue="0">
        <cfvo type="percent" val="0"/>
        <cfvo type="num" val="1" gte="0"/>
        <cfvo type="num" val="2" gte="0"/>
        <cfvo type="num" val="3" gte="0"/>
        <cfvo type="num" val="4" gte="0"/>
      </iconSet>
    </cfRule>
  </conditionalFormatting>
  <conditionalFormatting sqref="AU101:AU102">
    <cfRule type="iconSet" priority="2">
      <iconSet iconSet="5Rating" showValue="0">
        <cfvo type="percent" val="0"/>
        <cfvo type="num" val="1" gte="0"/>
        <cfvo type="num" val="2" gte="0"/>
        <cfvo type="num" val="3" gte="0"/>
        <cfvo type="num" val="4" gte="0"/>
      </iconSet>
    </cfRule>
  </conditionalFormatting>
  <conditionalFormatting sqref="AX29 X12 AF20 AF16 BB20 BB16 AJ46 CA29">
    <cfRule type="iconSet" priority="18">
      <iconSet iconSet="5Rating" showValue="0">
        <cfvo type="percent" val="0"/>
        <cfvo type="num" val="1" gte="0"/>
        <cfvo type="num" val="2" gte="0"/>
        <cfvo type="num" val="3" gte="0"/>
        <cfvo type="num" val="4" gte="0"/>
      </iconSet>
    </cfRule>
  </conditionalFormatting>
  <conditionalFormatting sqref="AX29 AS30:AT30">
    <cfRule type="iconSet" priority="16">
      <iconSet iconSet="5Rating" showValue="0">
        <cfvo type="percent" val="0"/>
        <cfvo type="num" val="1" gte="0"/>
        <cfvo type="num" val="2" gte="0"/>
        <cfvo type="num" val="3" gte="0"/>
        <cfvo type="num" val="4" gte="0"/>
      </iconSet>
    </cfRule>
  </conditionalFormatting>
  <conditionalFormatting sqref="BD78 AZ59 AT59 Z78 AT61 AT63 AT65 AT67 AT70 AZ61 AZ63 AZ65 AZ67 AZ70 Z56 CB74 CB76 CB78 CB80 CB85 CB88">
    <cfRule type="iconSet" priority="19">
      <iconSet iconSet="5Rating" showValue="0">
        <cfvo type="percent" val="0"/>
        <cfvo type="num" val="1" gte="0"/>
        <cfvo type="num" val="2" gte="0"/>
        <cfvo type="num" val="3" gte="0"/>
        <cfvo type="num" val="4" gte="0"/>
      </iconSet>
    </cfRule>
  </conditionalFormatting>
  <conditionalFormatting sqref="BK59 BM58:BM59 BP58:BP59">
    <cfRule type="iconSet" priority="4">
      <iconSet iconSet="5Rating" showValue="0">
        <cfvo type="percent" val="0"/>
        <cfvo type="num" val="1" gte="0"/>
        <cfvo type="num" val="2" gte="0"/>
        <cfvo type="num" val="3" gte="0"/>
        <cfvo type="num" val="4" gte="0"/>
      </iconSet>
    </cfRule>
  </conditionalFormatting>
  <conditionalFormatting sqref="BZ46">
    <cfRule type="iconSet" priority="7">
      <iconSet iconSet="5Rating" showValue="0">
        <cfvo type="percent" val="0"/>
        <cfvo type="num" val="1" gte="0"/>
        <cfvo type="num" val="2" gte="0"/>
        <cfvo type="num" val="3" gte="0"/>
        <cfvo type="num" val="4" gte="0"/>
      </iconSet>
    </cfRule>
    <cfRule type="iconSet" priority="8">
      <iconSet iconSet="5Rating" showValue="0">
        <cfvo type="percent" val="0"/>
        <cfvo type="num" val="1" gte="0"/>
        <cfvo type="num" val="2" gte="0"/>
        <cfvo type="num" val="3" gte="0"/>
        <cfvo type="num" val="4" gte="0"/>
      </iconSet>
    </cfRule>
  </conditionalFormatting>
  <conditionalFormatting sqref="BZ101:BZ102">
    <cfRule type="iconSet" priority="1">
      <iconSet iconSet="5Rating" showValue="0">
        <cfvo type="percent" val="0"/>
        <cfvo type="num" val="1" gte="0"/>
        <cfvo type="num" val="2" gte="0"/>
        <cfvo type="num" val="3" gte="0"/>
        <cfvo type="num" val="4" gte="0"/>
      </iconSet>
    </cfRule>
  </conditionalFormatting>
  <conditionalFormatting sqref="CB30 CA29">
    <cfRule type="iconSet" priority="15">
      <iconSet iconSet="5Rating" showValue="0">
        <cfvo type="percent" val="0"/>
        <cfvo type="num" val="1" gte="0"/>
        <cfvo type="num" val="2" gte="0"/>
        <cfvo type="num" val="3" gte="0"/>
        <cfvo type="num" val="4" gte="0"/>
      </iconSet>
    </cfRule>
  </conditionalFormatting>
  <conditionalFormatting sqref="CB74">
    <cfRule type="iconSet" priority="14">
      <iconSet iconSet="5Rating" showValue="0">
        <cfvo type="percent" val="0"/>
        <cfvo type="num" val="1" gte="0"/>
        <cfvo type="num" val="2" gte="0"/>
        <cfvo type="num" val="3" gte="0"/>
        <cfvo type="num" val="4" gte="0"/>
      </iconSet>
    </cfRule>
  </conditionalFormatting>
  <conditionalFormatting sqref="CB76">
    <cfRule type="iconSet" priority="13">
      <iconSet iconSet="5Rating" showValue="0">
        <cfvo type="percent" val="0"/>
        <cfvo type="num" val="1" gte="0"/>
        <cfvo type="num" val="2" gte="0"/>
        <cfvo type="num" val="3" gte="0"/>
        <cfvo type="num" val="4" gte="0"/>
      </iconSet>
    </cfRule>
  </conditionalFormatting>
  <conditionalFormatting sqref="CB78">
    <cfRule type="iconSet" priority="12">
      <iconSet iconSet="5Rating" showValue="0">
        <cfvo type="percent" val="0"/>
        <cfvo type="num" val="1" gte="0"/>
        <cfvo type="num" val="2" gte="0"/>
        <cfvo type="num" val="3" gte="0"/>
        <cfvo type="num" val="4" gte="0"/>
      </iconSet>
    </cfRule>
  </conditionalFormatting>
  <conditionalFormatting sqref="CB80">
    <cfRule type="iconSet" priority="11">
      <iconSet iconSet="5Rating" showValue="0">
        <cfvo type="percent" val="0"/>
        <cfvo type="num" val="1" gte="0"/>
        <cfvo type="num" val="2" gte="0"/>
        <cfvo type="num" val="3" gte="0"/>
        <cfvo type="num" val="4" gte="0"/>
      </iconSet>
    </cfRule>
  </conditionalFormatting>
  <conditionalFormatting sqref="CB85">
    <cfRule type="iconSet" priority="10">
      <iconSet iconSet="5Rating" showValue="0">
        <cfvo type="percent" val="0"/>
        <cfvo type="num" val="1" gte="0"/>
        <cfvo type="num" val="2" gte="0"/>
        <cfvo type="num" val="3" gte="0"/>
        <cfvo type="num" val="4" gte="0"/>
      </iconSet>
    </cfRule>
  </conditionalFormatting>
  <conditionalFormatting sqref="CB88">
    <cfRule type="iconSet" priority="9">
      <iconSet iconSet="5Rating" showValue="0">
        <cfvo type="percent" val="0"/>
        <cfvo type="num" val="1" gte="0"/>
        <cfvo type="num" val="2" gte="0"/>
        <cfvo type="num" val="3" gte="0"/>
        <cfvo type="num" val="4" gte="0"/>
      </iconSet>
    </cfRule>
  </conditionalFormatting>
  <conditionalFormatting sqref="CB97 AU97 U97">
    <cfRule type="iconSet" priority="20">
      <iconSet iconSet="5Rating" showValue="0">
        <cfvo type="percent" val="0"/>
        <cfvo type="num" val="2"/>
        <cfvo type="num" val="3"/>
        <cfvo type="num" val="4"/>
        <cfvo type="num" val="5"/>
      </iconSet>
    </cfRule>
  </conditionalFormatting>
  <pageMargins left="1.2204724409448819" right="1.3385826771653544" top="0.82677165354330717" bottom="0.35433070866141736" header="0.31496062992125984" footer="0.23622047244094491"/>
  <pageSetup paperSize="3" scale="49" fitToHeight="0" orientation="portrait" r:id="rId1"/>
  <headerFooter>
    <oddFooter>&amp;L&amp;10Version 1.0    © CERIU, 2023&amp;R&amp;10Onglet SOMMAIRE PGA Eaux usées
Page &amp;P / &amp;N</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5" id="{19AD1520-FB6A-4F26-85E6-F49C3E8DA81A}">
            <xm:f>'CALCULS Eaux usées'!E$390&gt;4</xm:f>
            <x14:dxf>
              <fill>
                <patternFill>
                  <bgColor theme="9"/>
                </patternFill>
              </fill>
            </x14:dxf>
          </x14:cfRule>
          <xm:sqref>F118</xm:sqref>
        </x14:conditionalFormatting>
        <x14:conditionalFormatting xmlns:xm="http://schemas.microsoft.com/office/excel/2006/main">
          <x14:cfRule type="expression" priority="24" id="{AC52F05D-5890-4B48-BF12-ECCA588F56CB}">
            <xm:f>'CALCULS Eaux usées'!E$390&gt;3</xm:f>
            <x14:dxf>
              <fill>
                <patternFill>
                  <bgColor theme="9"/>
                </patternFill>
              </fill>
            </x14:dxf>
          </x14:cfRule>
          <xm:sqref>F119</xm:sqref>
        </x14:conditionalFormatting>
        <x14:conditionalFormatting xmlns:xm="http://schemas.microsoft.com/office/excel/2006/main">
          <x14:cfRule type="expression" priority="23" id="{E32F1798-EFE8-4D5D-A544-4984AA8C939E}">
            <xm:f>'CALCULS Eaux usées'!E$390&gt;2</xm:f>
            <x14:dxf>
              <fill>
                <patternFill>
                  <bgColor theme="9"/>
                </patternFill>
              </fill>
            </x14:dxf>
          </x14:cfRule>
          <xm:sqref>F120</xm:sqref>
        </x14:conditionalFormatting>
        <x14:conditionalFormatting xmlns:xm="http://schemas.microsoft.com/office/excel/2006/main">
          <x14:cfRule type="expression" priority="22" id="{1530B46F-49B5-4654-A936-3AC5AA223C14}">
            <xm:f>'CALCULS Eaux usées'!E$390&gt;1</xm:f>
            <x14:dxf>
              <fill>
                <patternFill>
                  <bgColor theme="9"/>
                </patternFill>
              </fill>
            </x14:dxf>
          </x14:cfRule>
          <xm:sqref>F121</xm:sqref>
        </x14:conditionalFormatting>
        <x14:conditionalFormatting xmlns:xm="http://schemas.microsoft.com/office/excel/2006/main">
          <x14:cfRule type="expression" priority="21" id="{D96E1A8C-38FD-462C-8145-30CAC3951C3E}">
            <xm:f>'CALCULS Eaux usées'!E$390&gt;0</xm:f>
            <x14:dxf>
              <fill>
                <patternFill>
                  <bgColor theme="9"/>
                </patternFill>
              </fill>
            </x14:dxf>
          </x14:cfRule>
          <xm:sqref>F122</xm:sqref>
        </x14:conditionalFormatting>
        <x14:conditionalFormatting xmlns:xm="http://schemas.microsoft.com/office/excel/2006/main">
          <x14:cfRule type="expression" priority="45" id="{960CF99B-018C-402D-8D86-9D2D4985DADD}">
            <xm:f>'CALCULS Eaux usées'!F$390&gt;4</xm:f>
            <x14:dxf>
              <fill>
                <patternFill>
                  <bgColor theme="9"/>
                </patternFill>
              </fill>
            </x14:dxf>
          </x14:cfRule>
          <xm:sqref>H118</xm:sqref>
        </x14:conditionalFormatting>
        <x14:conditionalFormatting xmlns:xm="http://schemas.microsoft.com/office/excel/2006/main">
          <x14:cfRule type="expression" priority="44" id="{B47B8158-F9FE-4E86-8065-6230E336D657}">
            <xm:f>'CALCULS Eaux usées'!F$390&gt;3</xm:f>
            <x14:dxf>
              <fill>
                <patternFill>
                  <bgColor theme="9"/>
                </patternFill>
              </fill>
            </x14:dxf>
          </x14:cfRule>
          <xm:sqref>H119</xm:sqref>
        </x14:conditionalFormatting>
        <x14:conditionalFormatting xmlns:xm="http://schemas.microsoft.com/office/excel/2006/main">
          <x14:cfRule type="expression" priority="43" id="{C51212CB-AC84-4CBA-82CA-1EFCC00CD884}">
            <xm:f>'CALCULS Eaux usées'!F$390&gt;2</xm:f>
            <x14:dxf>
              <fill>
                <patternFill>
                  <bgColor theme="9"/>
                </patternFill>
              </fill>
            </x14:dxf>
          </x14:cfRule>
          <xm:sqref>H120</xm:sqref>
        </x14:conditionalFormatting>
        <x14:conditionalFormatting xmlns:xm="http://schemas.microsoft.com/office/excel/2006/main">
          <x14:cfRule type="expression" priority="42" id="{5F22F779-EC21-49E7-9967-89B970890C06}">
            <xm:f>'CALCULS Eaux usées'!F$390&gt;1</xm:f>
            <x14:dxf>
              <fill>
                <patternFill>
                  <bgColor theme="9"/>
                </patternFill>
              </fill>
            </x14:dxf>
          </x14:cfRule>
          <xm:sqref>H121</xm:sqref>
        </x14:conditionalFormatting>
        <x14:conditionalFormatting xmlns:xm="http://schemas.microsoft.com/office/excel/2006/main">
          <x14:cfRule type="expression" priority="41" id="{64C8BE79-8B83-4EC1-BE0C-5536B51BC19F}">
            <xm:f>'CALCULS Eaux usées'!F$390&gt;0</xm:f>
            <x14:dxf>
              <fill>
                <patternFill>
                  <bgColor theme="9"/>
                </patternFill>
              </fill>
            </x14:dxf>
          </x14:cfRule>
          <xm:sqref>H122</xm:sqref>
        </x14:conditionalFormatting>
        <x14:conditionalFormatting xmlns:xm="http://schemas.microsoft.com/office/excel/2006/main">
          <x14:cfRule type="expression" priority="55" id="{F7AB5F12-A494-411C-B4B0-8E4914A0950C}">
            <xm:f>'CALCULS Eaux usées'!G$390&gt;4</xm:f>
            <x14:dxf>
              <fill>
                <patternFill>
                  <bgColor theme="9"/>
                </patternFill>
              </fill>
            </x14:dxf>
          </x14:cfRule>
          <xm:sqref>J118</xm:sqref>
        </x14:conditionalFormatting>
        <x14:conditionalFormatting xmlns:xm="http://schemas.microsoft.com/office/excel/2006/main">
          <x14:cfRule type="expression" priority="54" id="{F80BEFC5-8929-402D-8CC1-D87EA0A25B2B}">
            <xm:f>'CALCULS Eaux usées'!G$390&gt;3</xm:f>
            <x14:dxf>
              <fill>
                <patternFill>
                  <bgColor theme="9"/>
                </patternFill>
              </fill>
            </x14:dxf>
          </x14:cfRule>
          <xm:sqref>J119</xm:sqref>
        </x14:conditionalFormatting>
        <x14:conditionalFormatting xmlns:xm="http://schemas.microsoft.com/office/excel/2006/main">
          <x14:cfRule type="expression" priority="53" id="{49ABE33F-887C-4AC2-ADB8-C8C306284456}">
            <xm:f>'CALCULS Eaux usées'!G$390&gt;2</xm:f>
            <x14:dxf>
              <fill>
                <patternFill>
                  <bgColor theme="9"/>
                </patternFill>
              </fill>
            </x14:dxf>
          </x14:cfRule>
          <xm:sqref>J120</xm:sqref>
        </x14:conditionalFormatting>
        <x14:conditionalFormatting xmlns:xm="http://schemas.microsoft.com/office/excel/2006/main">
          <x14:cfRule type="expression" priority="52" id="{35DEF82D-51F8-414C-A9ED-21BDFDECEBB1}">
            <xm:f>'CALCULS Eaux usées'!G$390&gt;1</xm:f>
            <x14:dxf>
              <fill>
                <patternFill>
                  <bgColor theme="9"/>
                </patternFill>
              </fill>
            </x14:dxf>
          </x14:cfRule>
          <xm:sqref>J121</xm:sqref>
        </x14:conditionalFormatting>
        <x14:conditionalFormatting xmlns:xm="http://schemas.microsoft.com/office/excel/2006/main">
          <x14:cfRule type="expression" priority="51" id="{202B1D18-7C68-492B-9FE0-C2E7452C4E7A}">
            <xm:f>'CALCULS Eaux usées'!G$390&gt;0</xm:f>
            <x14:dxf>
              <fill>
                <patternFill>
                  <bgColor theme="9"/>
                </patternFill>
              </fill>
            </x14:dxf>
          </x14:cfRule>
          <xm:sqref>J122</xm:sqref>
        </x14:conditionalFormatting>
        <x14:conditionalFormatting xmlns:xm="http://schemas.microsoft.com/office/excel/2006/main">
          <x14:cfRule type="expression" priority="65" id="{3899B99F-555A-4463-BA2A-9476C714A113}">
            <xm:f>'CALCULS Eaux usées'!H$390&gt;4</xm:f>
            <x14:dxf>
              <fill>
                <patternFill>
                  <bgColor theme="9"/>
                </patternFill>
              </fill>
            </x14:dxf>
          </x14:cfRule>
          <xm:sqref>L118</xm:sqref>
        </x14:conditionalFormatting>
        <x14:conditionalFormatting xmlns:xm="http://schemas.microsoft.com/office/excel/2006/main">
          <x14:cfRule type="expression" priority="64" id="{2D7B67AD-A754-4DDD-9600-A1BB145938A1}">
            <xm:f>'CALCULS Eaux usées'!H$390&gt;3</xm:f>
            <x14:dxf>
              <fill>
                <patternFill>
                  <bgColor theme="9"/>
                </patternFill>
              </fill>
            </x14:dxf>
          </x14:cfRule>
          <xm:sqref>L119</xm:sqref>
        </x14:conditionalFormatting>
        <x14:conditionalFormatting xmlns:xm="http://schemas.microsoft.com/office/excel/2006/main">
          <x14:cfRule type="expression" priority="63" id="{2831DC7F-5917-41B5-B58C-FBAD65E3585C}">
            <xm:f>'CALCULS Eaux usées'!H$390&gt;2</xm:f>
            <x14:dxf>
              <fill>
                <patternFill>
                  <bgColor theme="9"/>
                </patternFill>
              </fill>
            </x14:dxf>
          </x14:cfRule>
          <xm:sqref>L120</xm:sqref>
        </x14:conditionalFormatting>
        <x14:conditionalFormatting xmlns:xm="http://schemas.microsoft.com/office/excel/2006/main">
          <x14:cfRule type="expression" priority="62" id="{827329F7-D465-4D3E-9248-EB1F69A87D2E}">
            <xm:f>'CALCULS Eaux usées'!H$390&gt;1</xm:f>
            <x14:dxf>
              <fill>
                <patternFill>
                  <bgColor theme="9"/>
                </patternFill>
              </fill>
            </x14:dxf>
          </x14:cfRule>
          <xm:sqref>L121</xm:sqref>
        </x14:conditionalFormatting>
        <x14:conditionalFormatting xmlns:xm="http://schemas.microsoft.com/office/excel/2006/main">
          <x14:cfRule type="expression" priority="61" id="{C8FA4971-8C53-436E-97C2-5EB2BB8BAF20}">
            <xm:f>'CALCULS Eaux usées'!H$390&gt;0</xm:f>
            <x14:dxf>
              <fill>
                <patternFill>
                  <bgColor theme="9"/>
                </patternFill>
              </fill>
            </x14:dxf>
          </x14:cfRule>
          <xm:sqref>L122</xm:sqref>
        </x14:conditionalFormatting>
        <x14:conditionalFormatting xmlns:xm="http://schemas.microsoft.com/office/excel/2006/main">
          <x14:cfRule type="expression" priority="75" id="{0D17339F-5AAC-429E-B7C5-1778865D3BB2}">
            <xm:f>'CALCULS Eaux usées'!I$390&gt;4</xm:f>
            <x14:dxf>
              <fill>
                <patternFill>
                  <bgColor theme="9"/>
                </patternFill>
              </fill>
            </x14:dxf>
          </x14:cfRule>
          <xm:sqref>N118</xm:sqref>
        </x14:conditionalFormatting>
        <x14:conditionalFormatting xmlns:xm="http://schemas.microsoft.com/office/excel/2006/main">
          <x14:cfRule type="expression" priority="74" id="{6D7D1341-D130-4587-80CC-5EA62FB79D60}">
            <xm:f>'CALCULS Eaux usées'!I$390&gt;3</xm:f>
            <x14:dxf>
              <fill>
                <patternFill>
                  <bgColor theme="9"/>
                </patternFill>
              </fill>
            </x14:dxf>
          </x14:cfRule>
          <xm:sqref>N119</xm:sqref>
        </x14:conditionalFormatting>
        <x14:conditionalFormatting xmlns:xm="http://schemas.microsoft.com/office/excel/2006/main">
          <x14:cfRule type="expression" priority="73" id="{06345313-9B72-4402-BC13-3FEF073F1934}">
            <xm:f>'CALCULS Eaux usées'!I$390&gt;2</xm:f>
            <x14:dxf>
              <fill>
                <patternFill>
                  <bgColor theme="9"/>
                </patternFill>
              </fill>
            </x14:dxf>
          </x14:cfRule>
          <xm:sqref>N120</xm:sqref>
        </x14:conditionalFormatting>
        <x14:conditionalFormatting xmlns:xm="http://schemas.microsoft.com/office/excel/2006/main">
          <x14:cfRule type="expression" priority="72" id="{4E8EB356-BFD4-4751-9DEC-6A930E7AD8D5}">
            <xm:f>'CALCULS Eaux usées'!I$390&gt;1</xm:f>
            <x14:dxf>
              <fill>
                <patternFill>
                  <bgColor theme="9"/>
                </patternFill>
              </fill>
            </x14:dxf>
          </x14:cfRule>
          <xm:sqref>N121</xm:sqref>
        </x14:conditionalFormatting>
        <x14:conditionalFormatting xmlns:xm="http://schemas.microsoft.com/office/excel/2006/main">
          <x14:cfRule type="expression" priority="71" id="{18F113D9-360B-4AA4-A467-4A6247B0A1C7}">
            <xm:f>'CALCULS Eaux usées'!I$390&gt;0</xm:f>
            <x14:dxf>
              <fill>
                <patternFill>
                  <bgColor theme="9"/>
                </patternFill>
              </fill>
            </x14:dxf>
          </x14:cfRule>
          <xm:sqref>N122</xm:sqref>
        </x14:conditionalFormatting>
        <x14:conditionalFormatting xmlns:xm="http://schemas.microsoft.com/office/excel/2006/main">
          <x14:cfRule type="expression" priority="85" id="{3565D65B-C19D-41DD-A79B-797ED667103D}">
            <xm:f>'CALCULS Eaux usées'!J$390&gt;4</xm:f>
            <x14:dxf>
              <fill>
                <patternFill>
                  <bgColor theme="9"/>
                </patternFill>
              </fill>
            </x14:dxf>
          </x14:cfRule>
          <xm:sqref>P118</xm:sqref>
        </x14:conditionalFormatting>
        <x14:conditionalFormatting xmlns:xm="http://schemas.microsoft.com/office/excel/2006/main">
          <x14:cfRule type="expression" priority="84" id="{9FA3EB3F-DD7C-4083-8851-19641841A2EB}">
            <xm:f>'CALCULS Eaux usées'!J$390&gt;3</xm:f>
            <x14:dxf>
              <fill>
                <patternFill>
                  <bgColor theme="9"/>
                </patternFill>
              </fill>
            </x14:dxf>
          </x14:cfRule>
          <xm:sqref>P119</xm:sqref>
        </x14:conditionalFormatting>
        <x14:conditionalFormatting xmlns:xm="http://schemas.microsoft.com/office/excel/2006/main">
          <x14:cfRule type="expression" priority="83" id="{A7A05127-820C-4C09-B884-970AC8CE7134}">
            <xm:f>'CALCULS Eaux usées'!J$390&gt;2</xm:f>
            <x14:dxf>
              <fill>
                <patternFill>
                  <bgColor theme="9"/>
                </patternFill>
              </fill>
            </x14:dxf>
          </x14:cfRule>
          <xm:sqref>P120</xm:sqref>
        </x14:conditionalFormatting>
        <x14:conditionalFormatting xmlns:xm="http://schemas.microsoft.com/office/excel/2006/main">
          <x14:cfRule type="expression" priority="82" id="{51B7C6FE-C0A1-4CDE-8DC3-74A25D171304}">
            <xm:f>'CALCULS Eaux usées'!J$390&gt;1</xm:f>
            <x14:dxf>
              <fill>
                <patternFill>
                  <bgColor theme="9"/>
                </patternFill>
              </fill>
            </x14:dxf>
          </x14:cfRule>
          <xm:sqref>P121</xm:sqref>
        </x14:conditionalFormatting>
        <x14:conditionalFormatting xmlns:xm="http://schemas.microsoft.com/office/excel/2006/main">
          <x14:cfRule type="expression" priority="81" id="{8E4DBA04-3512-4FDD-9F4C-35600EAE927C}">
            <xm:f>'CALCULS Eaux usées'!J$390&gt;0</xm:f>
            <x14:dxf>
              <fill>
                <patternFill>
                  <bgColor theme="9"/>
                </patternFill>
              </fill>
            </x14:dxf>
          </x14:cfRule>
          <xm:sqref>P122</xm:sqref>
        </x14:conditionalFormatting>
        <x14:conditionalFormatting xmlns:xm="http://schemas.microsoft.com/office/excel/2006/main">
          <x14:cfRule type="expression" priority="95" id="{CD428A4E-4A31-4F45-8A68-3794B36E58DB}">
            <xm:f>'CALCULS Eaux usées'!K$390&gt;4</xm:f>
            <x14:dxf>
              <fill>
                <patternFill>
                  <bgColor theme="9"/>
                </patternFill>
              </fill>
            </x14:dxf>
          </x14:cfRule>
          <xm:sqref>R118</xm:sqref>
        </x14:conditionalFormatting>
        <x14:conditionalFormatting xmlns:xm="http://schemas.microsoft.com/office/excel/2006/main">
          <x14:cfRule type="expression" priority="94" id="{C66E9517-7267-4B8C-A029-217F82CEACF9}">
            <xm:f>'CALCULS Eaux usées'!K$390&gt;3</xm:f>
            <x14:dxf>
              <fill>
                <patternFill>
                  <bgColor theme="9"/>
                </patternFill>
              </fill>
            </x14:dxf>
          </x14:cfRule>
          <xm:sqref>R119</xm:sqref>
        </x14:conditionalFormatting>
        <x14:conditionalFormatting xmlns:xm="http://schemas.microsoft.com/office/excel/2006/main">
          <x14:cfRule type="expression" priority="93" id="{B1E481F8-A9FF-4FD5-9B70-A446558AAF9A}">
            <xm:f>'CALCULS Eaux usées'!K$390&gt;2</xm:f>
            <x14:dxf>
              <fill>
                <patternFill>
                  <bgColor theme="9"/>
                </patternFill>
              </fill>
            </x14:dxf>
          </x14:cfRule>
          <xm:sqref>R120</xm:sqref>
        </x14:conditionalFormatting>
        <x14:conditionalFormatting xmlns:xm="http://schemas.microsoft.com/office/excel/2006/main">
          <x14:cfRule type="expression" priority="92" id="{E33974DF-CDE0-4B7B-8436-8B1E7C6A823A}">
            <xm:f>'CALCULS Eaux usées'!K$390&gt;1</xm:f>
            <x14:dxf>
              <fill>
                <patternFill>
                  <bgColor theme="9"/>
                </patternFill>
              </fill>
            </x14:dxf>
          </x14:cfRule>
          <xm:sqref>R121</xm:sqref>
        </x14:conditionalFormatting>
        <x14:conditionalFormatting xmlns:xm="http://schemas.microsoft.com/office/excel/2006/main">
          <x14:cfRule type="expression" priority="91" id="{74FC288C-10A7-4DC5-9891-E9868D7F2B67}">
            <xm:f>'CALCULS Eaux usées'!K$390&gt;0</xm:f>
            <x14:dxf>
              <fill>
                <patternFill>
                  <bgColor theme="9"/>
                </patternFill>
              </fill>
            </x14:dxf>
          </x14:cfRule>
          <xm:sqref>R122</xm:sqref>
        </x14:conditionalFormatting>
        <x14:conditionalFormatting xmlns:xm="http://schemas.microsoft.com/office/excel/2006/main">
          <x14:cfRule type="expression" priority="105" id="{1CCA85B4-3A56-4112-9195-8A4DA7E22700}">
            <xm:f>'CALCULS Eaux usées'!L$390&gt;4</xm:f>
            <x14:dxf>
              <fill>
                <patternFill>
                  <bgColor theme="9" tint="-0.499984740745262"/>
                </patternFill>
              </fill>
            </x14:dxf>
          </x14:cfRule>
          <xm:sqref>T118</xm:sqref>
        </x14:conditionalFormatting>
        <x14:conditionalFormatting xmlns:xm="http://schemas.microsoft.com/office/excel/2006/main">
          <x14:cfRule type="expression" priority="104" id="{3812A167-32E9-40CB-B1DB-6C887CFFD0C2}">
            <xm:f>'CALCULS Eaux usées'!L$390&gt;3</xm:f>
            <x14:dxf>
              <fill>
                <patternFill>
                  <bgColor theme="9" tint="-0.499984740745262"/>
                </patternFill>
              </fill>
            </x14:dxf>
          </x14:cfRule>
          <xm:sqref>T119</xm:sqref>
        </x14:conditionalFormatting>
        <x14:conditionalFormatting xmlns:xm="http://schemas.microsoft.com/office/excel/2006/main">
          <x14:cfRule type="expression" priority="103" id="{413A90CB-60A5-403C-9A23-BBED61D864DE}">
            <xm:f>'CALCULS Eaux usées'!L$390&gt;2</xm:f>
            <x14:dxf>
              <fill>
                <patternFill>
                  <bgColor theme="9" tint="-0.499984740745262"/>
                </patternFill>
              </fill>
            </x14:dxf>
          </x14:cfRule>
          <xm:sqref>T120</xm:sqref>
        </x14:conditionalFormatting>
        <x14:conditionalFormatting xmlns:xm="http://schemas.microsoft.com/office/excel/2006/main">
          <x14:cfRule type="expression" priority="102" id="{1E38F44D-8B5F-451E-9FAF-4D0E3935EF0B}">
            <xm:f>'CALCULS Eaux usées'!L$390&gt;1</xm:f>
            <x14:dxf>
              <fill>
                <patternFill>
                  <bgColor theme="9" tint="-0.499984740745262"/>
                </patternFill>
              </fill>
            </x14:dxf>
          </x14:cfRule>
          <xm:sqref>T121</xm:sqref>
        </x14:conditionalFormatting>
        <x14:conditionalFormatting xmlns:xm="http://schemas.microsoft.com/office/excel/2006/main">
          <x14:cfRule type="expression" priority="101" id="{69FC9438-2F2D-47F2-A2B6-DBE18761EEEB}">
            <xm:f>'CALCULS Eaux usées'!L$390&gt;0</xm:f>
            <x14:dxf>
              <fill>
                <patternFill>
                  <bgColor theme="9" tint="-0.499984740745262"/>
                </patternFill>
              </fill>
            </x14:dxf>
          </x14:cfRule>
          <xm:sqref>T122</xm:sqref>
        </x14:conditionalFormatting>
        <x14:conditionalFormatting xmlns:xm="http://schemas.microsoft.com/office/excel/2006/main">
          <x14:cfRule type="expression" priority="30" id="{5BACD7DD-9785-49E6-AEDA-31122DBADEDE}">
            <xm:f>'CALCULS Eaux usées'!E$392&gt;4</xm:f>
            <x14:dxf>
              <fill>
                <patternFill>
                  <bgColor theme="9"/>
                </patternFill>
              </fill>
            </x14:dxf>
          </x14:cfRule>
          <xm:sqref>V118</xm:sqref>
        </x14:conditionalFormatting>
        <x14:conditionalFormatting xmlns:xm="http://schemas.microsoft.com/office/excel/2006/main">
          <x14:cfRule type="expression" priority="29" id="{9907229D-54ED-4DB4-8012-E7BBE9C7BF9C}">
            <xm:f>'CALCULS Eaux usées'!E$392&gt;3</xm:f>
            <x14:dxf>
              <fill>
                <patternFill>
                  <bgColor theme="9"/>
                </patternFill>
              </fill>
            </x14:dxf>
          </x14:cfRule>
          <xm:sqref>V119</xm:sqref>
        </x14:conditionalFormatting>
        <x14:conditionalFormatting xmlns:xm="http://schemas.microsoft.com/office/excel/2006/main">
          <x14:cfRule type="expression" priority="28" id="{30A44B39-B736-4E25-96BC-05521D0C86E8}">
            <xm:f>'CALCULS Eaux usées'!E$392&gt;2</xm:f>
            <x14:dxf>
              <fill>
                <patternFill>
                  <bgColor theme="9"/>
                </patternFill>
              </fill>
            </x14:dxf>
          </x14:cfRule>
          <xm:sqref>V120</xm:sqref>
        </x14:conditionalFormatting>
        <x14:conditionalFormatting xmlns:xm="http://schemas.microsoft.com/office/excel/2006/main">
          <x14:cfRule type="expression" priority="27" id="{CA86C4F3-B2A3-407E-ABB6-46B3C0E78589}">
            <xm:f>'CALCULS Eaux usées'!E$392&gt;1</xm:f>
            <x14:dxf>
              <fill>
                <patternFill>
                  <bgColor theme="9"/>
                </patternFill>
              </fill>
            </x14:dxf>
          </x14:cfRule>
          <xm:sqref>V121</xm:sqref>
        </x14:conditionalFormatting>
        <x14:conditionalFormatting xmlns:xm="http://schemas.microsoft.com/office/excel/2006/main">
          <x14:cfRule type="expression" priority="26" id="{1A0A7C5A-DD33-4D8F-9043-5915CC64592F}">
            <xm:f>'CALCULS Eaux usées'!E$392&gt;0</xm:f>
            <x14:dxf>
              <fill>
                <patternFill>
                  <bgColor theme="9"/>
                </patternFill>
              </fill>
            </x14:dxf>
          </x14:cfRule>
          <xm:sqref>V122</xm:sqref>
        </x14:conditionalFormatting>
        <x14:conditionalFormatting xmlns:xm="http://schemas.microsoft.com/office/excel/2006/main">
          <x14:cfRule type="expression" priority="50" id="{B3694F1C-0A16-46B6-A66D-505DCB652FC6}">
            <xm:f>'CALCULS Eaux usées'!F$392&gt;4</xm:f>
            <x14:dxf>
              <fill>
                <patternFill>
                  <bgColor theme="9"/>
                </patternFill>
              </fill>
            </x14:dxf>
          </x14:cfRule>
          <xm:sqref>X118</xm:sqref>
        </x14:conditionalFormatting>
        <x14:conditionalFormatting xmlns:xm="http://schemas.microsoft.com/office/excel/2006/main">
          <x14:cfRule type="expression" priority="49" id="{A073D054-FDE4-4008-ACEA-1332F7BEA3F6}">
            <xm:f>'CALCULS Eaux usées'!F$392&gt;3</xm:f>
            <x14:dxf>
              <fill>
                <patternFill>
                  <bgColor theme="9"/>
                </patternFill>
              </fill>
            </x14:dxf>
          </x14:cfRule>
          <xm:sqref>X119</xm:sqref>
        </x14:conditionalFormatting>
        <x14:conditionalFormatting xmlns:xm="http://schemas.microsoft.com/office/excel/2006/main">
          <x14:cfRule type="expression" priority="48" id="{A0BF7C39-5850-42BD-A8FF-EA3009EB2F1E}">
            <xm:f>'CALCULS Eaux usées'!F$392&gt;2</xm:f>
            <x14:dxf>
              <fill>
                <patternFill>
                  <bgColor theme="9"/>
                </patternFill>
              </fill>
            </x14:dxf>
          </x14:cfRule>
          <xm:sqref>X120</xm:sqref>
        </x14:conditionalFormatting>
        <x14:conditionalFormatting xmlns:xm="http://schemas.microsoft.com/office/excel/2006/main">
          <x14:cfRule type="expression" priority="47" id="{3691982C-A29C-42C6-A7EE-1B066BFFC0AB}">
            <xm:f>'CALCULS Eaux usées'!F$392&gt;1</xm:f>
            <x14:dxf>
              <fill>
                <patternFill>
                  <bgColor theme="9"/>
                </patternFill>
              </fill>
            </x14:dxf>
          </x14:cfRule>
          <xm:sqref>X121</xm:sqref>
        </x14:conditionalFormatting>
        <x14:conditionalFormatting xmlns:xm="http://schemas.microsoft.com/office/excel/2006/main">
          <x14:cfRule type="expression" priority="46" id="{1E46FB9B-6C29-4E1B-9E59-900EA603FD7F}">
            <xm:f>'CALCULS Eaux usées'!F$392&gt;0</xm:f>
            <x14:dxf>
              <fill>
                <patternFill>
                  <bgColor theme="9"/>
                </patternFill>
              </fill>
            </x14:dxf>
          </x14:cfRule>
          <xm:sqref>X122</xm:sqref>
        </x14:conditionalFormatting>
        <x14:conditionalFormatting xmlns:xm="http://schemas.microsoft.com/office/excel/2006/main">
          <x14:cfRule type="expression" priority="60" id="{F1F3526E-DC59-49EB-826C-D2F660F21042}">
            <xm:f>'CALCULS Eaux usées'!G$392&gt;4</xm:f>
            <x14:dxf>
              <fill>
                <patternFill>
                  <bgColor theme="9"/>
                </patternFill>
              </fill>
            </x14:dxf>
          </x14:cfRule>
          <xm:sqref>Z118</xm:sqref>
        </x14:conditionalFormatting>
        <x14:conditionalFormatting xmlns:xm="http://schemas.microsoft.com/office/excel/2006/main">
          <x14:cfRule type="expression" priority="59" id="{B0D41611-1973-4B2F-9730-427F6F7799B0}">
            <xm:f>'CALCULS Eaux usées'!G$392&gt;3</xm:f>
            <x14:dxf>
              <fill>
                <patternFill>
                  <bgColor theme="9"/>
                </patternFill>
              </fill>
            </x14:dxf>
          </x14:cfRule>
          <xm:sqref>Z119</xm:sqref>
        </x14:conditionalFormatting>
        <x14:conditionalFormatting xmlns:xm="http://schemas.microsoft.com/office/excel/2006/main">
          <x14:cfRule type="expression" priority="58" id="{5B40DBDD-02FC-41A5-879B-922EBB25F6ED}">
            <xm:f>'CALCULS Eaux usées'!G$392&gt;2</xm:f>
            <x14:dxf>
              <fill>
                <patternFill>
                  <bgColor theme="9"/>
                </patternFill>
              </fill>
            </x14:dxf>
          </x14:cfRule>
          <xm:sqref>Z120</xm:sqref>
        </x14:conditionalFormatting>
        <x14:conditionalFormatting xmlns:xm="http://schemas.microsoft.com/office/excel/2006/main">
          <x14:cfRule type="expression" priority="57" id="{3451E925-20D2-4618-9D0E-B4FBE8FF0600}">
            <xm:f>'CALCULS Eaux usées'!G$392&gt;1</xm:f>
            <x14:dxf>
              <fill>
                <patternFill>
                  <bgColor theme="9"/>
                </patternFill>
              </fill>
            </x14:dxf>
          </x14:cfRule>
          <xm:sqref>Z121</xm:sqref>
        </x14:conditionalFormatting>
        <x14:conditionalFormatting xmlns:xm="http://schemas.microsoft.com/office/excel/2006/main">
          <x14:cfRule type="expression" priority="56" id="{2A064032-2970-4868-97E8-CAE2F5C996F6}">
            <xm:f>'CALCULS Eaux usées'!G$392&gt;0</xm:f>
            <x14:dxf>
              <fill>
                <patternFill>
                  <bgColor theme="9"/>
                </patternFill>
              </fill>
            </x14:dxf>
          </x14:cfRule>
          <xm:sqref>Z122</xm:sqref>
        </x14:conditionalFormatting>
        <x14:conditionalFormatting xmlns:xm="http://schemas.microsoft.com/office/excel/2006/main">
          <x14:cfRule type="expression" priority="70" id="{B0378A51-9AD9-458C-BD0D-9454F222B838}">
            <xm:f>'CALCULS Eaux usées'!H$392&gt;4</xm:f>
            <x14:dxf>
              <fill>
                <patternFill>
                  <bgColor theme="9"/>
                </patternFill>
              </fill>
            </x14:dxf>
          </x14:cfRule>
          <xm:sqref>AB118</xm:sqref>
        </x14:conditionalFormatting>
        <x14:conditionalFormatting xmlns:xm="http://schemas.microsoft.com/office/excel/2006/main">
          <x14:cfRule type="expression" priority="69" id="{AD721313-CDF8-47AB-ACD1-DEB213A183D6}">
            <xm:f>'CALCULS Eaux usées'!H$392&gt;3</xm:f>
            <x14:dxf>
              <fill>
                <patternFill>
                  <bgColor theme="9"/>
                </patternFill>
              </fill>
            </x14:dxf>
          </x14:cfRule>
          <xm:sqref>AB119</xm:sqref>
        </x14:conditionalFormatting>
        <x14:conditionalFormatting xmlns:xm="http://schemas.microsoft.com/office/excel/2006/main">
          <x14:cfRule type="expression" priority="68" id="{80499233-779F-4D33-AB86-3537AF83509A}">
            <xm:f>'CALCULS Eaux usées'!H$392&gt;2</xm:f>
            <x14:dxf>
              <fill>
                <patternFill>
                  <bgColor theme="9"/>
                </patternFill>
              </fill>
            </x14:dxf>
          </x14:cfRule>
          <xm:sqref>AB120</xm:sqref>
        </x14:conditionalFormatting>
        <x14:conditionalFormatting xmlns:xm="http://schemas.microsoft.com/office/excel/2006/main">
          <x14:cfRule type="expression" priority="67" id="{4977CD54-F9B7-4D45-8429-D62BB0AAC511}">
            <xm:f>'CALCULS Eaux usées'!H$392&gt;1</xm:f>
            <x14:dxf>
              <fill>
                <patternFill>
                  <bgColor theme="9"/>
                </patternFill>
              </fill>
            </x14:dxf>
          </x14:cfRule>
          <xm:sqref>AB121</xm:sqref>
        </x14:conditionalFormatting>
        <x14:conditionalFormatting xmlns:xm="http://schemas.microsoft.com/office/excel/2006/main">
          <x14:cfRule type="expression" priority="66" id="{656B67D6-09AB-448D-A98F-7C2A2D71F81E}">
            <xm:f>'CALCULS Eaux usées'!H$392&gt;0</xm:f>
            <x14:dxf>
              <fill>
                <patternFill>
                  <bgColor theme="9"/>
                </patternFill>
              </fill>
            </x14:dxf>
          </x14:cfRule>
          <xm:sqref>AB122</xm:sqref>
        </x14:conditionalFormatting>
        <x14:conditionalFormatting xmlns:xm="http://schemas.microsoft.com/office/excel/2006/main">
          <x14:cfRule type="expression" priority="80" id="{ECF43484-DCE0-41F6-B3AA-DC943CCACD27}">
            <xm:f>'CALCULS Eaux usées'!I$392&gt;4</xm:f>
            <x14:dxf>
              <fill>
                <patternFill>
                  <bgColor theme="9"/>
                </patternFill>
              </fill>
            </x14:dxf>
          </x14:cfRule>
          <xm:sqref>AD118</xm:sqref>
        </x14:conditionalFormatting>
        <x14:conditionalFormatting xmlns:xm="http://schemas.microsoft.com/office/excel/2006/main">
          <x14:cfRule type="expression" priority="79" id="{582E593C-238B-4FD5-B1B5-171C19899782}">
            <xm:f>'CALCULS Eaux usées'!I$392&gt;3</xm:f>
            <x14:dxf>
              <fill>
                <patternFill>
                  <bgColor theme="9"/>
                </patternFill>
              </fill>
            </x14:dxf>
          </x14:cfRule>
          <xm:sqref>AD119</xm:sqref>
        </x14:conditionalFormatting>
        <x14:conditionalFormatting xmlns:xm="http://schemas.microsoft.com/office/excel/2006/main">
          <x14:cfRule type="expression" priority="78" id="{BB6A29E1-189B-4660-A928-1CDDDE616ACB}">
            <xm:f>'CALCULS Eaux usées'!I$392&gt;2</xm:f>
            <x14:dxf>
              <fill>
                <patternFill>
                  <bgColor theme="9"/>
                </patternFill>
              </fill>
            </x14:dxf>
          </x14:cfRule>
          <xm:sqref>AD120</xm:sqref>
        </x14:conditionalFormatting>
        <x14:conditionalFormatting xmlns:xm="http://schemas.microsoft.com/office/excel/2006/main">
          <x14:cfRule type="expression" priority="77" id="{D658AF85-4159-4CAF-BEA4-C6724ED6FC79}">
            <xm:f>'CALCULS Eaux usées'!I$392&gt;1</xm:f>
            <x14:dxf>
              <fill>
                <patternFill>
                  <bgColor theme="9"/>
                </patternFill>
              </fill>
            </x14:dxf>
          </x14:cfRule>
          <xm:sqref>AD121</xm:sqref>
        </x14:conditionalFormatting>
        <x14:conditionalFormatting xmlns:xm="http://schemas.microsoft.com/office/excel/2006/main">
          <x14:cfRule type="expression" priority="76" id="{85F6E4AA-2148-4C5A-BFF3-32AD5911131F}">
            <xm:f>'CALCULS Eaux usées'!I$392&gt;0</xm:f>
            <x14:dxf>
              <fill>
                <patternFill>
                  <bgColor theme="9"/>
                </patternFill>
              </fill>
            </x14:dxf>
          </x14:cfRule>
          <xm:sqref>AD122</xm:sqref>
        </x14:conditionalFormatting>
        <x14:conditionalFormatting xmlns:xm="http://schemas.microsoft.com/office/excel/2006/main">
          <x14:cfRule type="expression" priority="90" id="{7A54133B-2CB0-42F7-8F4C-E6BDC91B2752}">
            <xm:f>'CALCULS Eaux usées'!J$392&gt;4</xm:f>
            <x14:dxf>
              <fill>
                <patternFill>
                  <bgColor theme="9"/>
                </patternFill>
              </fill>
            </x14:dxf>
          </x14:cfRule>
          <xm:sqref>AF118</xm:sqref>
        </x14:conditionalFormatting>
        <x14:conditionalFormatting xmlns:xm="http://schemas.microsoft.com/office/excel/2006/main">
          <x14:cfRule type="expression" priority="89" id="{F21D5093-21CD-45B7-B128-A07554FB1D5E}">
            <xm:f>'CALCULS Eaux usées'!J$392&gt;3</xm:f>
            <x14:dxf>
              <fill>
                <patternFill>
                  <bgColor theme="9"/>
                </patternFill>
              </fill>
            </x14:dxf>
          </x14:cfRule>
          <xm:sqref>AF119</xm:sqref>
        </x14:conditionalFormatting>
        <x14:conditionalFormatting xmlns:xm="http://schemas.microsoft.com/office/excel/2006/main">
          <x14:cfRule type="expression" priority="88" id="{C4AB1AEC-4BC8-49FC-900B-27278047F3C8}">
            <xm:f>'CALCULS Eaux usées'!J$392&gt;2</xm:f>
            <x14:dxf>
              <fill>
                <patternFill>
                  <bgColor theme="9"/>
                </patternFill>
              </fill>
            </x14:dxf>
          </x14:cfRule>
          <xm:sqref>AF120</xm:sqref>
        </x14:conditionalFormatting>
        <x14:conditionalFormatting xmlns:xm="http://schemas.microsoft.com/office/excel/2006/main">
          <x14:cfRule type="expression" priority="87" id="{6861689B-D82E-4311-AC53-8681D853268C}">
            <xm:f>'CALCULS Eaux usées'!J$392&gt;1</xm:f>
            <x14:dxf>
              <fill>
                <patternFill>
                  <bgColor theme="9"/>
                </patternFill>
              </fill>
            </x14:dxf>
          </x14:cfRule>
          <xm:sqref>AF121</xm:sqref>
        </x14:conditionalFormatting>
        <x14:conditionalFormatting xmlns:xm="http://schemas.microsoft.com/office/excel/2006/main">
          <x14:cfRule type="expression" priority="86" id="{8DBAEA5B-B68B-4E39-810F-0F4C8FADFC44}">
            <xm:f>'CALCULS Eaux usées'!J$392&gt;0</xm:f>
            <x14:dxf>
              <fill>
                <patternFill>
                  <bgColor theme="9"/>
                </patternFill>
              </fill>
            </x14:dxf>
          </x14:cfRule>
          <xm:sqref>AF122</xm:sqref>
        </x14:conditionalFormatting>
        <x14:conditionalFormatting xmlns:xm="http://schemas.microsoft.com/office/excel/2006/main">
          <x14:cfRule type="expression" priority="100" id="{45896D42-F9CE-4A9B-BEDB-D537BD7AABEC}">
            <xm:f>'CALCULS Eaux usées'!K$392&gt;4</xm:f>
            <x14:dxf>
              <fill>
                <patternFill>
                  <bgColor theme="9"/>
                </patternFill>
              </fill>
            </x14:dxf>
          </x14:cfRule>
          <xm:sqref>AH118</xm:sqref>
        </x14:conditionalFormatting>
        <x14:conditionalFormatting xmlns:xm="http://schemas.microsoft.com/office/excel/2006/main">
          <x14:cfRule type="expression" priority="99" id="{FA502666-DFEC-4A5C-BF1A-FCDF338314F4}">
            <xm:f>'CALCULS Eaux usées'!K$392&gt;3</xm:f>
            <x14:dxf>
              <fill>
                <patternFill>
                  <bgColor theme="9"/>
                </patternFill>
              </fill>
            </x14:dxf>
          </x14:cfRule>
          <xm:sqref>AH119</xm:sqref>
        </x14:conditionalFormatting>
        <x14:conditionalFormatting xmlns:xm="http://schemas.microsoft.com/office/excel/2006/main">
          <x14:cfRule type="expression" priority="98" id="{A60E1412-F3DB-4F93-B5F2-CCC519092F96}">
            <xm:f>'CALCULS Eaux usées'!K$392&gt;2</xm:f>
            <x14:dxf>
              <fill>
                <patternFill>
                  <bgColor theme="9"/>
                </patternFill>
              </fill>
            </x14:dxf>
          </x14:cfRule>
          <xm:sqref>AH120</xm:sqref>
        </x14:conditionalFormatting>
        <x14:conditionalFormatting xmlns:xm="http://schemas.microsoft.com/office/excel/2006/main">
          <x14:cfRule type="expression" priority="97" id="{ABDCF168-F9E8-4B1B-9FBE-D92FECF4DBFD}">
            <xm:f>'CALCULS Eaux usées'!K$392&gt;1</xm:f>
            <x14:dxf>
              <fill>
                <patternFill>
                  <bgColor theme="9"/>
                </patternFill>
              </fill>
            </x14:dxf>
          </x14:cfRule>
          <xm:sqref>AH121</xm:sqref>
        </x14:conditionalFormatting>
        <x14:conditionalFormatting xmlns:xm="http://schemas.microsoft.com/office/excel/2006/main">
          <x14:cfRule type="expression" priority="96" id="{1E843047-0E0B-4607-90ED-2A70A552D5D1}">
            <xm:f>'CALCULS Eaux usées'!K$392&gt;0</xm:f>
            <x14:dxf>
              <fill>
                <patternFill>
                  <bgColor theme="9"/>
                </patternFill>
              </fill>
            </x14:dxf>
          </x14:cfRule>
          <xm:sqref>AH122</xm:sqref>
        </x14:conditionalFormatting>
        <x14:conditionalFormatting xmlns:xm="http://schemas.microsoft.com/office/excel/2006/main">
          <x14:cfRule type="expression" priority="110" id="{C64B5D07-A904-497B-84C6-90800D19F4C5}">
            <xm:f>'CALCULS Eaux usées'!L$392&gt;4</xm:f>
            <x14:dxf>
              <fill>
                <patternFill>
                  <bgColor theme="9" tint="-0.499984740745262"/>
                </patternFill>
              </fill>
            </x14:dxf>
          </x14:cfRule>
          <xm:sqref>AJ118</xm:sqref>
        </x14:conditionalFormatting>
        <x14:conditionalFormatting xmlns:xm="http://schemas.microsoft.com/office/excel/2006/main">
          <x14:cfRule type="expression" priority="109" id="{E94CBF97-37D4-432A-8B19-9214ACE62563}">
            <xm:f>'CALCULS Eaux usées'!L$392&gt;3</xm:f>
            <x14:dxf>
              <fill>
                <patternFill>
                  <bgColor theme="9" tint="-0.499984740745262"/>
                </patternFill>
              </fill>
            </x14:dxf>
          </x14:cfRule>
          <xm:sqref>AJ119</xm:sqref>
        </x14:conditionalFormatting>
        <x14:conditionalFormatting xmlns:xm="http://schemas.microsoft.com/office/excel/2006/main">
          <x14:cfRule type="expression" priority="108" id="{2C51E7A4-0638-4EF7-92B0-B38CB2E8D7FA}">
            <xm:f>'CALCULS Eaux usées'!L$392&gt;2</xm:f>
            <x14:dxf>
              <fill>
                <patternFill>
                  <bgColor theme="9" tint="-0.499984740745262"/>
                </patternFill>
              </fill>
            </x14:dxf>
          </x14:cfRule>
          <xm:sqref>AJ120</xm:sqref>
        </x14:conditionalFormatting>
        <x14:conditionalFormatting xmlns:xm="http://schemas.microsoft.com/office/excel/2006/main">
          <x14:cfRule type="expression" priority="107" id="{3C517BCE-5803-4626-9939-97F815FB83E1}">
            <xm:f>'CALCULS Eaux usées'!L$392&gt;1</xm:f>
            <x14:dxf>
              <fill>
                <patternFill>
                  <bgColor theme="9" tint="-0.499984740745262"/>
                </patternFill>
              </fill>
            </x14:dxf>
          </x14:cfRule>
          <xm:sqref>AJ121</xm:sqref>
        </x14:conditionalFormatting>
        <x14:conditionalFormatting xmlns:xm="http://schemas.microsoft.com/office/excel/2006/main">
          <x14:cfRule type="expression" priority="106" id="{B7F8CD7A-8791-4811-84AD-35861F821628}">
            <xm:f>'CALCULS Eaux usées'!L$392&gt;0</xm:f>
            <x14:dxf>
              <fill>
                <patternFill>
                  <bgColor theme="9" tint="-0.499984740745262"/>
                </patternFill>
              </fill>
            </x14:dxf>
          </x14:cfRule>
          <xm:sqref>AJ122</xm:sqref>
        </x14:conditionalFormatting>
        <x14:conditionalFormatting xmlns:xm="http://schemas.microsoft.com/office/excel/2006/main">
          <x14:cfRule type="expression" priority="35" id="{1631E302-0CD8-4A63-987F-B8B5C13E29EF}">
            <xm:f>'CALCULS Eaux usées'!E$402&gt;4</xm:f>
            <x14:dxf>
              <fill>
                <patternFill>
                  <bgColor rgb="FF428BCE"/>
                </patternFill>
              </fill>
            </x14:dxf>
          </x14:cfRule>
          <xm:sqref>AV118</xm:sqref>
        </x14:conditionalFormatting>
        <x14:conditionalFormatting xmlns:xm="http://schemas.microsoft.com/office/excel/2006/main">
          <x14:cfRule type="expression" priority="34" id="{BDF90FA7-A751-4EBB-9B4C-3D1FC3687EA7}">
            <xm:f>'CALCULS Eaux usées'!E$402&gt;3</xm:f>
            <x14:dxf>
              <fill>
                <patternFill>
                  <bgColor rgb="FF428BCE"/>
                </patternFill>
              </fill>
            </x14:dxf>
          </x14:cfRule>
          <xm:sqref>AV119</xm:sqref>
        </x14:conditionalFormatting>
        <x14:conditionalFormatting xmlns:xm="http://schemas.microsoft.com/office/excel/2006/main">
          <x14:cfRule type="expression" priority="33" id="{F6EA4D73-116E-4F2A-806E-36BD4C1F2D57}">
            <xm:f>'CALCULS Eaux usées'!E$402&gt;2</xm:f>
            <x14:dxf>
              <fill>
                <patternFill>
                  <bgColor rgb="FF428BCE"/>
                </patternFill>
              </fill>
            </x14:dxf>
          </x14:cfRule>
          <xm:sqref>AV120</xm:sqref>
        </x14:conditionalFormatting>
        <x14:conditionalFormatting xmlns:xm="http://schemas.microsoft.com/office/excel/2006/main">
          <x14:cfRule type="expression" priority="32" id="{2041324D-BA57-492A-8532-A267E873CB18}">
            <xm:f>'CALCULS Eaux usées'!E$402&gt;1</xm:f>
            <x14:dxf>
              <fill>
                <patternFill>
                  <bgColor rgb="FF428BCE"/>
                </patternFill>
              </fill>
            </x14:dxf>
          </x14:cfRule>
          <xm:sqref>AV121</xm:sqref>
        </x14:conditionalFormatting>
        <x14:conditionalFormatting xmlns:xm="http://schemas.microsoft.com/office/excel/2006/main">
          <x14:cfRule type="expression" priority="31" id="{358EF952-74B3-430E-9A3C-0A80B8C446D9}">
            <xm:f>'CALCULS Eaux usées'!E$402&gt;0</xm:f>
            <x14:dxf>
              <fill>
                <patternFill>
                  <bgColor rgb="FF428BCE"/>
                </patternFill>
              </fill>
            </x14:dxf>
          </x14:cfRule>
          <xm:sqref>AV122</xm:sqref>
        </x14:conditionalFormatting>
        <x14:conditionalFormatting xmlns:xm="http://schemas.microsoft.com/office/excel/2006/main">
          <x14:cfRule type="expression" priority="115" id="{42D221D0-3B62-4111-9F0D-9300FCD5151E}">
            <xm:f>'CALCULS Eaux usées'!F$402&gt;4</xm:f>
            <x14:dxf>
              <fill>
                <patternFill>
                  <bgColor rgb="FF428BCE"/>
                </patternFill>
              </fill>
            </x14:dxf>
          </x14:cfRule>
          <xm:sqref>AX118</xm:sqref>
        </x14:conditionalFormatting>
        <x14:conditionalFormatting xmlns:xm="http://schemas.microsoft.com/office/excel/2006/main">
          <x14:cfRule type="expression" priority="114" id="{E3B2AA42-4895-4D8F-9CD2-70CBDCB55C66}">
            <xm:f>'CALCULS Eaux usées'!F$402&gt;3</xm:f>
            <x14:dxf>
              <fill>
                <patternFill>
                  <bgColor rgb="FF428BCE"/>
                </patternFill>
              </fill>
            </x14:dxf>
          </x14:cfRule>
          <xm:sqref>AX119</xm:sqref>
        </x14:conditionalFormatting>
        <x14:conditionalFormatting xmlns:xm="http://schemas.microsoft.com/office/excel/2006/main">
          <x14:cfRule type="expression" priority="113" id="{4C1732EA-9CA1-4953-BE0E-018F50D19D77}">
            <xm:f>'CALCULS Eaux usées'!F$402&gt;2</xm:f>
            <x14:dxf>
              <fill>
                <patternFill>
                  <bgColor rgb="FF428BCE"/>
                </patternFill>
              </fill>
            </x14:dxf>
          </x14:cfRule>
          <xm:sqref>AX120</xm:sqref>
        </x14:conditionalFormatting>
        <x14:conditionalFormatting xmlns:xm="http://schemas.microsoft.com/office/excel/2006/main">
          <x14:cfRule type="expression" priority="112" id="{8CE68AB0-3C0F-4504-BA9D-AA1E8E551358}">
            <xm:f>'CALCULS Eaux usées'!F$402&gt;1</xm:f>
            <x14:dxf>
              <fill>
                <patternFill>
                  <bgColor rgb="FF428BCE"/>
                </patternFill>
              </fill>
            </x14:dxf>
          </x14:cfRule>
          <xm:sqref>AX121</xm:sqref>
        </x14:conditionalFormatting>
        <x14:conditionalFormatting xmlns:xm="http://schemas.microsoft.com/office/excel/2006/main">
          <x14:cfRule type="expression" priority="111" id="{6204C53A-6530-4EBC-9152-254471D70D94}">
            <xm:f>'CALCULS Eaux usées'!F$402&gt;0</xm:f>
            <x14:dxf>
              <fill>
                <patternFill>
                  <bgColor rgb="FF428BCE"/>
                </patternFill>
              </fill>
            </x14:dxf>
          </x14:cfRule>
          <xm:sqref>AX122</xm:sqref>
        </x14:conditionalFormatting>
        <x14:conditionalFormatting xmlns:xm="http://schemas.microsoft.com/office/excel/2006/main">
          <x14:cfRule type="expression" priority="125" id="{1342CBDD-F6D0-47EE-8D49-FBF7278A3D48}">
            <xm:f>'CALCULS Eaux usées'!G$402&gt;4</xm:f>
            <x14:dxf>
              <fill>
                <patternFill>
                  <bgColor rgb="FF428BCE"/>
                </patternFill>
              </fill>
            </x14:dxf>
          </x14:cfRule>
          <xm:sqref>AZ118</xm:sqref>
        </x14:conditionalFormatting>
        <x14:conditionalFormatting xmlns:xm="http://schemas.microsoft.com/office/excel/2006/main">
          <x14:cfRule type="expression" priority="124" id="{0521C614-9AA3-482A-942E-A110A8CCB01A}">
            <xm:f>'CALCULS Eaux usées'!G$402&gt;3</xm:f>
            <x14:dxf>
              <fill>
                <patternFill>
                  <bgColor rgb="FF428BCE"/>
                </patternFill>
              </fill>
            </x14:dxf>
          </x14:cfRule>
          <xm:sqref>AZ119</xm:sqref>
        </x14:conditionalFormatting>
        <x14:conditionalFormatting xmlns:xm="http://schemas.microsoft.com/office/excel/2006/main">
          <x14:cfRule type="expression" priority="123" id="{C43D7566-D682-4192-A405-29AD53C17129}">
            <xm:f>'CALCULS Eaux usées'!G$402&gt;2</xm:f>
            <x14:dxf>
              <fill>
                <patternFill>
                  <bgColor rgb="FF428BCE"/>
                </patternFill>
              </fill>
            </x14:dxf>
          </x14:cfRule>
          <xm:sqref>AZ120</xm:sqref>
        </x14:conditionalFormatting>
        <x14:conditionalFormatting xmlns:xm="http://schemas.microsoft.com/office/excel/2006/main">
          <x14:cfRule type="expression" priority="122" id="{1C8908B8-7299-47EE-9951-A87A6E29430D}">
            <xm:f>'CALCULS Eaux usées'!G$402&gt;1</xm:f>
            <x14:dxf>
              <fill>
                <patternFill>
                  <bgColor rgb="FF428BCE"/>
                </patternFill>
              </fill>
            </x14:dxf>
          </x14:cfRule>
          <xm:sqref>AZ121</xm:sqref>
        </x14:conditionalFormatting>
        <x14:conditionalFormatting xmlns:xm="http://schemas.microsoft.com/office/excel/2006/main">
          <x14:cfRule type="expression" priority="121" id="{81DFB178-8824-4E43-9C16-1C3FF2D8D368}">
            <xm:f>'CALCULS Eaux usées'!G$402&gt;0</xm:f>
            <x14:dxf>
              <fill>
                <patternFill>
                  <bgColor rgb="FF428BCE"/>
                </patternFill>
              </fill>
            </x14:dxf>
          </x14:cfRule>
          <xm:sqref>AZ122</xm:sqref>
        </x14:conditionalFormatting>
        <x14:conditionalFormatting xmlns:xm="http://schemas.microsoft.com/office/excel/2006/main">
          <x14:cfRule type="expression" priority="135" id="{1ACF3172-4910-4107-B3F3-53F36AD47CD1}">
            <xm:f>'CALCULS Eaux usées'!H$402&gt;4</xm:f>
            <x14:dxf>
              <fill>
                <patternFill>
                  <bgColor rgb="FF428BCE"/>
                </patternFill>
              </fill>
            </x14:dxf>
          </x14:cfRule>
          <xm:sqref>BB118</xm:sqref>
        </x14:conditionalFormatting>
        <x14:conditionalFormatting xmlns:xm="http://schemas.microsoft.com/office/excel/2006/main">
          <x14:cfRule type="expression" priority="134" id="{CFCA1CB3-DB52-49A7-B30B-EE7F526F816A}">
            <xm:f>'CALCULS Eaux usées'!H$402&gt;3</xm:f>
            <x14:dxf>
              <fill>
                <patternFill>
                  <bgColor rgb="FF428BCE"/>
                </patternFill>
              </fill>
            </x14:dxf>
          </x14:cfRule>
          <xm:sqref>BB119</xm:sqref>
        </x14:conditionalFormatting>
        <x14:conditionalFormatting xmlns:xm="http://schemas.microsoft.com/office/excel/2006/main">
          <x14:cfRule type="expression" priority="133" id="{2E35DFE2-5635-4F89-A318-F1C366DF2D49}">
            <xm:f>'CALCULS Eaux usées'!H$402&gt;2</xm:f>
            <x14:dxf>
              <fill>
                <patternFill>
                  <bgColor rgb="FF428BCE"/>
                </patternFill>
              </fill>
            </x14:dxf>
          </x14:cfRule>
          <xm:sqref>BB120</xm:sqref>
        </x14:conditionalFormatting>
        <x14:conditionalFormatting xmlns:xm="http://schemas.microsoft.com/office/excel/2006/main">
          <x14:cfRule type="expression" priority="132" id="{E2579620-714C-47C4-8F39-21B372DC9A01}">
            <xm:f>'CALCULS Eaux usées'!H$402&gt;1</xm:f>
            <x14:dxf>
              <fill>
                <patternFill>
                  <bgColor rgb="FF428BCE"/>
                </patternFill>
              </fill>
            </x14:dxf>
          </x14:cfRule>
          <xm:sqref>BB121</xm:sqref>
        </x14:conditionalFormatting>
        <x14:conditionalFormatting xmlns:xm="http://schemas.microsoft.com/office/excel/2006/main">
          <x14:cfRule type="expression" priority="131" id="{8C76FBD5-E992-4124-BEFF-38A70FC7E906}">
            <xm:f>'CALCULS Eaux usées'!H$402&gt;0</xm:f>
            <x14:dxf>
              <fill>
                <patternFill>
                  <bgColor rgb="FF428BCE"/>
                </patternFill>
              </fill>
            </x14:dxf>
          </x14:cfRule>
          <xm:sqref>BB122</xm:sqref>
        </x14:conditionalFormatting>
        <x14:conditionalFormatting xmlns:xm="http://schemas.microsoft.com/office/excel/2006/main">
          <x14:cfRule type="expression" priority="145" id="{719F3558-90B3-49F4-894D-33E9E6F62E0B}">
            <xm:f>'CALCULS Eaux usées'!I$402&gt;4</xm:f>
            <x14:dxf>
              <fill>
                <patternFill>
                  <bgColor rgb="FF428BCE"/>
                </patternFill>
              </fill>
            </x14:dxf>
          </x14:cfRule>
          <xm:sqref>BD118</xm:sqref>
        </x14:conditionalFormatting>
        <x14:conditionalFormatting xmlns:xm="http://schemas.microsoft.com/office/excel/2006/main">
          <x14:cfRule type="expression" priority="144" id="{07FD212C-D393-4741-BCE6-16C564316F92}">
            <xm:f>'CALCULS Eaux usées'!I$402&gt;3</xm:f>
            <x14:dxf>
              <fill>
                <patternFill>
                  <bgColor rgb="FF428BCE"/>
                </patternFill>
              </fill>
            </x14:dxf>
          </x14:cfRule>
          <xm:sqref>BD119</xm:sqref>
        </x14:conditionalFormatting>
        <x14:conditionalFormatting xmlns:xm="http://schemas.microsoft.com/office/excel/2006/main">
          <x14:cfRule type="expression" priority="143" id="{19A25747-AD57-45C9-B1DA-9D575E4E3A58}">
            <xm:f>'CALCULS Eaux usées'!I$402&gt;2</xm:f>
            <x14:dxf>
              <fill>
                <patternFill>
                  <bgColor rgb="FF428BCE"/>
                </patternFill>
              </fill>
            </x14:dxf>
          </x14:cfRule>
          <xm:sqref>BD120</xm:sqref>
        </x14:conditionalFormatting>
        <x14:conditionalFormatting xmlns:xm="http://schemas.microsoft.com/office/excel/2006/main">
          <x14:cfRule type="expression" priority="142" id="{5AA12A00-4D29-462A-BC08-E12DA42BE06F}">
            <xm:f>'CALCULS Eaux usées'!I$402&gt;1</xm:f>
            <x14:dxf>
              <fill>
                <patternFill>
                  <bgColor rgb="FF428BCE"/>
                </patternFill>
              </fill>
            </x14:dxf>
          </x14:cfRule>
          <xm:sqref>BD121</xm:sqref>
        </x14:conditionalFormatting>
        <x14:conditionalFormatting xmlns:xm="http://schemas.microsoft.com/office/excel/2006/main">
          <x14:cfRule type="expression" priority="141" id="{B5D46A81-BE19-4AB0-A232-DBF15A007B0A}">
            <xm:f>'CALCULS Eaux usées'!I$402&gt;0</xm:f>
            <x14:dxf>
              <fill>
                <patternFill>
                  <bgColor rgb="FF428BCE"/>
                </patternFill>
              </fill>
            </x14:dxf>
          </x14:cfRule>
          <xm:sqref>BD122</xm:sqref>
        </x14:conditionalFormatting>
        <x14:conditionalFormatting xmlns:xm="http://schemas.microsoft.com/office/excel/2006/main">
          <x14:cfRule type="expression" priority="155" id="{D366C04F-E6B6-4566-AAA8-0217AF933736}">
            <xm:f>'CALCULS Eaux usées'!J$402&gt;4</xm:f>
            <x14:dxf>
              <fill>
                <patternFill>
                  <bgColor rgb="FF428BCE"/>
                </patternFill>
              </fill>
            </x14:dxf>
          </x14:cfRule>
          <xm:sqref>BF118</xm:sqref>
        </x14:conditionalFormatting>
        <x14:conditionalFormatting xmlns:xm="http://schemas.microsoft.com/office/excel/2006/main">
          <x14:cfRule type="expression" priority="154" id="{CCEA9C98-F92A-468E-8CA0-1702B9418789}">
            <xm:f>'CALCULS Eaux usées'!J$402&gt;3</xm:f>
            <x14:dxf>
              <fill>
                <patternFill>
                  <bgColor rgb="FF428BCE"/>
                </patternFill>
              </fill>
            </x14:dxf>
          </x14:cfRule>
          <xm:sqref>BF119</xm:sqref>
        </x14:conditionalFormatting>
        <x14:conditionalFormatting xmlns:xm="http://schemas.microsoft.com/office/excel/2006/main">
          <x14:cfRule type="expression" priority="153" id="{9C4EE809-D1D7-4848-9986-43D113C2E2D6}">
            <xm:f>'CALCULS Eaux usées'!J$402&gt;2</xm:f>
            <x14:dxf>
              <fill>
                <patternFill>
                  <bgColor rgb="FF428BCE"/>
                </patternFill>
              </fill>
            </x14:dxf>
          </x14:cfRule>
          <xm:sqref>BF120</xm:sqref>
        </x14:conditionalFormatting>
        <x14:conditionalFormatting xmlns:xm="http://schemas.microsoft.com/office/excel/2006/main">
          <x14:cfRule type="expression" priority="152" id="{8DA53B31-0942-43BF-8EB5-6A6A645CA3FE}">
            <xm:f>'CALCULS Eaux usées'!J$402&gt;1</xm:f>
            <x14:dxf>
              <fill>
                <patternFill>
                  <bgColor rgb="FF428BCE"/>
                </patternFill>
              </fill>
            </x14:dxf>
          </x14:cfRule>
          <xm:sqref>BF121</xm:sqref>
        </x14:conditionalFormatting>
        <x14:conditionalFormatting xmlns:xm="http://schemas.microsoft.com/office/excel/2006/main">
          <x14:cfRule type="expression" priority="151" id="{FA9A6599-B1D1-4696-BE5C-FFFED09A6E4E}">
            <xm:f>'CALCULS Eaux usées'!J$402&gt;0</xm:f>
            <x14:dxf>
              <fill>
                <patternFill>
                  <bgColor rgb="FF428BCE"/>
                </patternFill>
              </fill>
            </x14:dxf>
          </x14:cfRule>
          <xm:sqref>BF122</xm:sqref>
        </x14:conditionalFormatting>
        <x14:conditionalFormatting xmlns:xm="http://schemas.microsoft.com/office/excel/2006/main">
          <x14:cfRule type="expression" priority="165" id="{72EBB62D-851C-4A47-BCA6-DB8644756387}">
            <xm:f>'CALCULS Eaux usées'!K$402&gt;4</xm:f>
            <x14:dxf>
              <fill>
                <patternFill>
                  <bgColor rgb="FF428BCE"/>
                </patternFill>
              </fill>
            </x14:dxf>
          </x14:cfRule>
          <xm:sqref>BH118</xm:sqref>
        </x14:conditionalFormatting>
        <x14:conditionalFormatting xmlns:xm="http://schemas.microsoft.com/office/excel/2006/main">
          <x14:cfRule type="expression" priority="164" id="{C13BF340-1D38-4818-ACD2-B32D64F381CB}">
            <xm:f>'CALCULS Eaux usées'!K$402&gt;3</xm:f>
            <x14:dxf>
              <fill>
                <patternFill>
                  <bgColor rgb="FF428BCE"/>
                </patternFill>
              </fill>
            </x14:dxf>
          </x14:cfRule>
          <xm:sqref>BH119</xm:sqref>
        </x14:conditionalFormatting>
        <x14:conditionalFormatting xmlns:xm="http://schemas.microsoft.com/office/excel/2006/main">
          <x14:cfRule type="expression" priority="163" id="{815693D4-117A-4364-8AC1-92A724463DC8}">
            <xm:f>'CALCULS Eaux usées'!K$402&gt;2</xm:f>
            <x14:dxf>
              <fill>
                <patternFill>
                  <bgColor rgb="FF428BCE"/>
                </patternFill>
              </fill>
            </x14:dxf>
          </x14:cfRule>
          <xm:sqref>BH120</xm:sqref>
        </x14:conditionalFormatting>
        <x14:conditionalFormatting xmlns:xm="http://schemas.microsoft.com/office/excel/2006/main">
          <x14:cfRule type="expression" priority="162" id="{D23684BE-BC11-45D9-BCC9-DB68181A20AF}">
            <xm:f>'CALCULS Eaux usées'!K$402&gt;1</xm:f>
            <x14:dxf>
              <fill>
                <patternFill>
                  <bgColor rgb="FF428BCE"/>
                </patternFill>
              </fill>
            </x14:dxf>
          </x14:cfRule>
          <xm:sqref>BH121</xm:sqref>
        </x14:conditionalFormatting>
        <x14:conditionalFormatting xmlns:xm="http://schemas.microsoft.com/office/excel/2006/main">
          <x14:cfRule type="expression" priority="161" id="{47789127-5DB9-4EC5-AADF-B5F8D3A4FBD0}">
            <xm:f>'CALCULS Eaux usées'!K$402&gt;0</xm:f>
            <x14:dxf>
              <fill>
                <patternFill>
                  <bgColor rgb="FF428BCE"/>
                </patternFill>
              </fill>
            </x14:dxf>
          </x14:cfRule>
          <xm:sqref>BH122</xm:sqref>
        </x14:conditionalFormatting>
        <x14:conditionalFormatting xmlns:xm="http://schemas.microsoft.com/office/excel/2006/main">
          <x14:cfRule type="expression" priority="175" id="{C42C6A44-01C9-4259-80D3-BD4982897096}">
            <xm:f>'CALCULS Eaux usées'!L$402&gt;4</xm:f>
            <x14:dxf>
              <fill>
                <patternFill>
                  <bgColor theme="8" tint="-0.499984740745262"/>
                </patternFill>
              </fill>
            </x14:dxf>
          </x14:cfRule>
          <xm:sqref>BJ118</xm:sqref>
        </x14:conditionalFormatting>
        <x14:conditionalFormatting xmlns:xm="http://schemas.microsoft.com/office/excel/2006/main">
          <x14:cfRule type="expression" priority="174" id="{16F2CBE6-22C7-4A53-B2A0-624D5BF192A2}">
            <xm:f>'CALCULS Eaux usées'!L$402&gt;3</xm:f>
            <x14:dxf>
              <fill>
                <patternFill>
                  <bgColor theme="8" tint="-0.499984740745262"/>
                </patternFill>
              </fill>
            </x14:dxf>
          </x14:cfRule>
          <xm:sqref>BJ119</xm:sqref>
        </x14:conditionalFormatting>
        <x14:conditionalFormatting xmlns:xm="http://schemas.microsoft.com/office/excel/2006/main">
          <x14:cfRule type="expression" priority="173" id="{D00BC3DB-CA51-4764-8F47-2962E35B92CE}">
            <xm:f>'CALCULS Eaux usées'!L$402&gt;2</xm:f>
            <x14:dxf>
              <fill>
                <patternFill>
                  <bgColor theme="8" tint="-0.499984740745262"/>
                </patternFill>
              </fill>
            </x14:dxf>
          </x14:cfRule>
          <xm:sqref>BJ120</xm:sqref>
        </x14:conditionalFormatting>
        <x14:conditionalFormatting xmlns:xm="http://schemas.microsoft.com/office/excel/2006/main">
          <x14:cfRule type="expression" priority="172" id="{BF953690-53A2-451D-BE3C-07B9A98CEF6C}">
            <xm:f>'CALCULS Eaux usées'!L$402&gt;1</xm:f>
            <x14:dxf>
              <fill>
                <patternFill>
                  <bgColor theme="8" tint="-0.499984740745262"/>
                </patternFill>
              </fill>
            </x14:dxf>
          </x14:cfRule>
          <xm:sqref>BJ121</xm:sqref>
        </x14:conditionalFormatting>
        <x14:conditionalFormatting xmlns:xm="http://schemas.microsoft.com/office/excel/2006/main">
          <x14:cfRule type="expression" priority="171" id="{540CB78A-060E-450B-8402-4951CCB51F78}">
            <xm:f>'CALCULS Eaux usées'!L$402&gt;0</xm:f>
            <x14:dxf>
              <fill>
                <patternFill>
                  <bgColor theme="8" tint="-0.499984740745262"/>
                </patternFill>
              </fill>
            </x14:dxf>
          </x14:cfRule>
          <xm:sqref>BJ122</xm:sqref>
        </x14:conditionalFormatting>
        <x14:conditionalFormatting xmlns:xm="http://schemas.microsoft.com/office/excel/2006/main">
          <x14:cfRule type="expression" priority="40" id="{2C60A85E-E40D-4E4D-85F9-E0BC514D79F0}">
            <xm:f>'CALCULS Eaux usées'!E$404&gt;4</xm:f>
            <x14:dxf>
              <fill>
                <patternFill>
                  <bgColor rgb="FF428BCE"/>
                </patternFill>
              </fill>
            </x14:dxf>
          </x14:cfRule>
          <xm:sqref>BL118</xm:sqref>
        </x14:conditionalFormatting>
        <x14:conditionalFormatting xmlns:xm="http://schemas.microsoft.com/office/excel/2006/main">
          <x14:cfRule type="expression" priority="39" id="{DCC147A6-F9F6-47F6-B83F-7D90504E01D4}">
            <xm:f>'CALCULS Eaux usées'!E$404&gt;3</xm:f>
            <x14:dxf>
              <fill>
                <patternFill>
                  <bgColor rgb="FF428BCE"/>
                </patternFill>
              </fill>
            </x14:dxf>
          </x14:cfRule>
          <xm:sqref>BL119</xm:sqref>
        </x14:conditionalFormatting>
        <x14:conditionalFormatting xmlns:xm="http://schemas.microsoft.com/office/excel/2006/main">
          <x14:cfRule type="expression" priority="38" id="{FDAA3381-0DA9-416B-B797-CE3100AC22A3}">
            <xm:f>'CALCULS Eaux usées'!E$404&gt;2</xm:f>
            <x14:dxf>
              <fill>
                <patternFill>
                  <bgColor rgb="FF428BCE"/>
                </patternFill>
              </fill>
            </x14:dxf>
          </x14:cfRule>
          <xm:sqref>BL120</xm:sqref>
        </x14:conditionalFormatting>
        <x14:conditionalFormatting xmlns:xm="http://schemas.microsoft.com/office/excel/2006/main">
          <x14:cfRule type="expression" priority="37" id="{F13D00F3-3DC6-4E4F-99E2-679CB7FD3AE5}">
            <xm:f>'CALCULS Eaux usées'!E$404&gt;1</xm:f>
            <x14:dxf>
              <fill>
                <patternFill>
                  <bgColor rgb="FF428BCE"/>
                </patternFill>
              </fill>
            </x14:dxf>
          </x14:cfRule>
          <xm:sqref>BL121</xm:sqref>
        </x14:conditionalFormatting>
        <x14:conditionalFormatting xmlns:xm="http://schemas.microsoft.com/office/excel/2006/main">
          <x14:cfRule type="expression" priority="36" id="{6661A895-1123-46DB-9385-8D1FAF0EF0F5}">
            <xm:f>'CALCULS Eaux usées'!E$404&gt;0</xm:f>
            <x14:dxf>
              <fill>
                <patternFill>
                  <bgColor rgb="FF428BCE"/>
                </patternFill>
              </fill>
            </x14:dxf>
          </x14:cfRule>
          <xm:sqref>BL122</xm:sqref>
        </x14:conditionalFormatting>
        <x14:conditionalFormatting xmlns:xm="http://schemas.microsoft.com/office/excel/2006/main">
          <x14:cfRule type="expression" priority="120" id="{59560EFE-9D2F-4B92-B95C-52818C17F2F4}">
            <xm:f>'CALCULS Eaux usées'!F$404&gt;4</xm:f>
            <x14:dxf>
              <fill>
                <patternFill>
                  <bgColor rgb="FF428BCE"/>
                </patternFill>
              </fill>
            </x14:dxf>
          </x14:cfRule>
          <xm:sqref>BN118</xm:sqref>
        </x14:conditionalFormatting>
        <x14:conditionalFormatting xmlns:xm="http://schemas.microsoft.com/office/excel/2006/main">
          <x14:cfRule type="expression" priority="119" id="{64EB658E-34A4-41A3-929E-8E390605D433}">
            <xm:f>'CALCULS Eaux usées'!F$404&gt;3</xm:f>
            <x14:dxf>
              <fill>
                <patternFill>
                  <bgColor rgb="FF428BCE"/>
                </patternFill>
              </fill>
            </x14:dxf>
          </x14:cfRule>
          <xm:sqref>BN119</xm:sqref>
        </x14:conditionalFormatting>
        <x14:conditionalFormatting xmlns:xm="http://schemas.microsoft.com/office/excel/2006/main">
          <x14:cfRule type="expression" priority="118" id="{310B9D57-128B-4DD1-A98A-20B1CAF32CE4}">
            <xm:f>'CALCULS Eaux usées'!F$404&gt;2</xm:f>
            <x14:dxf>
              <fill>
                <patternFill>
                  <bgColor rgb="FF428BCE"/>
                </patternFill>
              </fill>
            </x14:dxf>
          </x14:cfRule>
          <xm:sqref>BN120</xm:sqref>
        </x14:conditionalFormatting>
        <x14:conditionalFormatting xmlns:xm="http://schemas.microsoft.com/office/excel/2006/main">
          <x14:cfRule type="expression" priority="117" id="{17DBF87E-6B2B-46D7-92C7-1B5C9D25FF8E}">
            <xm:f>'CALCULS Eaux usées'!F$404&gt;1</xm:f>
            <x14:dxf>
              <fill>
                <patternFill>
                  <bgColor rgb="FF428BCE"/>
                </patternFill>
              </fill>
            </x14:dxf>
          </x14:cfRule>
          <xm:sqref>BN121</xm:sqref>
        </x14:conditionalFormatting>
        <x14:conditionalFormatting xmlns:xm="http://schemas.microsoft.com/office/excel/2006/main">
          <x14:cfRule type="expression" priority="116" id="{3449D551-3112-4967-BAF0-AB19CE5D20B9}">
            <xm:f>'CALCULS Eaux usées'!F$404&gt;0</xm:f>
            <x14:dxf>
              <fill>
                <patternFill>
                  <bgColor rgb="FF428BCE"/>
                </patternFill>
              </fill>
            </x14:dxf>
          </x14:cfRule>
          <xm:sqref>BN122</xm:sqref>
        </x14:conditionalFormatting>
        <x14:conditionalFormatting xmlns:xm="http://schemas.microsoft.com/office/excel/2006/main">
          <x14:cfRule type="expression" priority="130" id="{45CC760C-D6CC-4A8E-A900-71936ABC2B11}">
            <xm:f>'CALCULS Eaux usées'!G$404&gt;4</xm:f>
            <x14:dxf>
              <fill>
                <patternFill>
                  <bgColor rgb="FF428BCE"/>
                </patternFill>
              </fill>
            </x14:dxf>
          </x14:cfRule>
          <xm:sqref>BP118</xm:sqref>
        </x14:conditionalFormatting>
        <x14:conditionalFormatting xmlns:xm="http://schemas.microsoft.com/office/excel/2006/main">
          <x14:cfRule type="expression" priority="129" id="{31490026-9310-43A5-BA46-7AE7F79B1B71}">
            <xm:f>'CALCULS Eaux usées'!G$404&gt;3</xm:f>
            <x14:dxf>
              <fill>
                <patternFill>
                  <bgColor rgb="FF428BCE"/>
                </patternFill>
              </fill>
            </x14:dxf>
          </x14:cfRule>
          <xm:sqref>BP119</xm:sqref>
        </x14:conditionalFormatting>
        <x14:conditionalFormatting xmlns:xm="http://schemas.microsoft.com/office/excel/2006/main">
          <x14:cfRule type="expression" priority="128" id="{EF292094-31DB-42F5-A622-F39D7371DF97}">
            <xm:f>'CALCULS Eaux usées'!G$404&gt;2</xm:f>
            <x14:dxf>
              <fill>
                <patternFill>
                  <bgColor rgb="FF428BCE"/>
                </patternFill>
              </fill>
            </x14:dxf>
          </x14:cfRule>
          <xm:sqref>BP120</xm:sqref>
        </x14:conditionalFormatting>
        <x14:conditionalFormatting xmlns:xm="http://schemas.microsoft.com/office/excel/2006/main">
          <x14:cfRule type="expression" priority="127" id="{5239DEB7-C1BF-46B7-82B3-529111B4CC99}">
            <xm:f>'CALCULS Eaux usées'!G$404&gt;1</xm:f>
            <x14:dxf>
              <fill>
                <patternFill>
                  <bgColor rgb="FF428BCE"/>
                </patternFill>
              </fill>
            </x14:dxf>
          </x14:cfRule>
          <xm:sqref>BP121</xm:sqref>
        </x14:conditionalFormatting>
        <x14:conditionalFormatting xmlns:xm="http://schemas.microsoft.com/office/excel/2006/main">
          <x14:cfRule type="expression" priority="126" id="{C151DFEA-334E-4D9C-9EB8-66FCA4C3C0CC}">
            <xm:f>'CALCULS Eaux usées'!G$404&gt;0</xm:f>
            <x14:dxf>
              <fill>
                <patternFill>
                  <bgColor rgb="FF428BCE"/>
                </patternFill>
              </fill>
            </x14:dxf>
          </x14:cfRule>
          <xm:sqref>BP122</xm:sqref>
        </x14:conditionalFormatting>
        <x14:conditionalFormatting xmlns:xm="http://schemas.microsoft.com/office/excel/2006/main">
          <x14:cfRule type="expression" priority="140" id="{12D9F819-79CA-4E4E-90DE-ECD06877EE15}">
            <xm:f>'CALCULS Eaux usées'!H$404&gt;4</xm:f>
            <x14:dxf>
              <fill>
                <patternFill>
                  <bgColor rgb="FF428BCE"/>
                </patternFill>
              </fill>
            </x14:dxf>
          </x14:cfRule>
          <xm:sqref>BR118</xm:sqref>
        </x14:conditionalFormatting>
        <x14:conditionalFormatting xmlns:xm="http://schemas.microsoft.com/office/excel/2006/main">
          <x14:cfRule type="expression" priority="139" id="{0F5F9F02-4E7F-4A3C-A0DE-73E576A46028}">
            <xm:f>'CALCULS Eaux usées'!H$404&gt;3</xm:f>
            <x14:dxf>
              <fill>
                <patternFill>
                  <bgColor rgb="FF428BCE"/>
                </patternFill>
              </fill>
            </x14:dxf>
          </x14:cfRule>
          <xm:sqref>BR119</xm:sqref>
        </x14:conditionalFormatting>
        <x14:conditionalFormatting xmlns:xm="http://schemas.microsoft.com/office/excel/2006/main">
          <x14:cfRule type="expression" priority="138" id="{00986662-EC7C-4136-9AA7-8D7055ED05E3}">
            <xm:f>'CALCULS Eaux usées'!H$404&gt;2</xm:f>
            <x14:dxf>
              <fill>
                <patternFill>
                  <bgColor rgb="FF428BCE"/>
                </patternFill>
              </fill>
            </x14:dxf>
          </x14:cfRule>
          <xm:sqref>BR120</xm:sqref>
        </x14:conditionalFormatting>
        <x14:conditionalFormatting xmlns:xm="http://schemas.microsoft.com/office/excel/2006/main">
          <x14:cfRule type="expression" priority="137" id="{B045A317-AAAE-4710-9513-BFA5734B7E9D}">
            <xm:f>'CALCULS Eaux usées'!H$404&gt;1</xm:f>
            <x14:dxf>
              <fill>
                <patternFill>
                  <bgColor rgb="FF428BCE"/>
                </patternFill>
              </fill>
            </x14:dxf>
          </x14:cfRule>
          <xm:sqref>BR121</xm:sqref>
        </x14:conditionalFormatting>
        <x14:conditionalFormatting xmlns:xm="http://schemas.microsoft.com/office/excel/2006/main">
          <x14:cfRule type="expression" priority="136" id="{4102ADFD-0AC2-4162-87FA-CC2E7DF9CF63}">
            <xm:f>'CALCULS Eaux usées'!H$404&gt;0</xm:f>
            <x14:dxf>
              <fill>
                <patternFill>
                  <bgColor rgb="FF428BCE"/>
                </patternFill>
              </fill>
            </x14:dxf>
          </x14:cfRule>
          <xm:sqref>BR122</xm:sqref>
        </x14:conditionalFormatting>
        <x14:conditionalFormatting xmlns:xm="http://schemas.microsoft.com/office/excel/2006/main">
          <x14:cfRule type="expression" priority="150" id="{CA30C0C6-A375-4FD8-AA99-C6FFED2065A8}">
            <xm:f>'CALCULS Eaux usées'!I$404&gt;4</xm:f>
            <x14:dxf>
              <fill>
                <patternFill>
                  <bgColor rgb="FF428BCE"/>
                </patternFill>
              </fill>
            </x14:dxf>
          </x14:cfRule>
          <xm:sqref>BT118</xm:sqref>
        </x14:conditionalFormatting>
        <x14:conditionalFormatting xmlns:xm="http://schemas.microsoft.com/office/excel/2006/main">
          <x14:cfRule type="expression" priority="149" id="{82212C4D-0802-408E-B7C3-E5106F37E1B9}">
            <xm:f>'CALCULS Eaux usées'!I$404&gt;3</xm:f>
            <x14:dxf>
              <fill>
                <patternFill>
                  <bgColor rgb="FF428BCE"/>
                </patternFill>
              </fill>
            </x14:dxf>
          </x14:cfRule>
          <xm:sqref>BT119</xm:sqref>
        </x14:conditionalFormatting>
        <x14:conditionalFormatting xmlns:xm="http://schemas.microsoft.com/office/excel/2006/main">
          <x14:cfRule type="expression" priority="148" id="{82267A9A-0C90-4317-BC32-8895521BEF4F}">
            <xm:f>'CALCULS Eaux usées'!I$404&gt;2</xm:f>
            <x14:dxf>
              <fill>
                <patternFill>
                  <bgColor rgb="FF428BCE"/>
                </patternFill>
              </fill>
            </x14:dxf>
          </x14:cfRule>
          <xm:sqref>BT120</xm:sqref>
        </x14:conditionalFormatting>
        <x14:conditionalFormatting xmlns:xm="http://schemas.microsoft.com/office/excel/2006/main">
          <x14:cfRule type="expression" priority="147" id="{267E6586-8DA9-41B6-A348-A306D97107B0}">
            <xm:f>'CALCULS Eaux usées'!I$404&gt;1</xm:f>
            <x14:dxf>
              <fill>
                <patternFill>
                  <bgColor rgb="FF428BCE"/>
                </patternFill>
              </fill>
            </x14:dxf>
          </x14:cfRule>
          <xm:sqref>BT121</xm:sqref>
        </x14:conditionalFormatting>
        <x14:conditionalFormatting xmlns:xm="http://schemas.microsoft.com/office/excel/2006/main">
          <x14:cfRule type="expression" priority="146" id="{B74162F8-31D4-472F-9DC1-FE8689BB15B4}">
            <xm:f>'CALCULS Eaux usées'!I$404&gt;0</xm:f>
            <x14:dxf>
              <fill>
                <patternFill>
                  <bgColor rgb="FF428BCE"/>
                </patternFill>
              </fill>
            </x14:dxf>
          </x14:cfRule>
          <xm:sqref>BT122</xm:sqref>
        </x14:conditionalFormatting>
        <x14:conditionalFormatting xmlns:xm="http://schemas.microsoft.com/office/excel/2006/main">
          <x14:cfRule type="expression" priority="160" id="{89FB3187-0EF9-4C7A-A22E-1F2EE89B9D3D}">
            <xm:f>'CALCULS Eaux usées'!J$404&gt;4</xm:f>
            <x14:dxf>
              <fill>
                <patternFill>
                  <bgColor rgb="FF428BCE"/>
                </patternFill>
              </fill>
            </x14:dxf>
          </x14:cfRule>
          <xm:sqref>BV118</xm:sqref>
        </x14:conditionalFormatting>
        <x14:conditionalFormatting xmlns:xm="http://schemas.microsoft.com/office/excel/2006/main">
          <x14:cfRule type="expression" priority="159" id="{D8D1F59F-3189-4793-8805-57B06393E3D8}">
            <xm:f>'CALCULS Eaux usées'!J$404&gt;3</xm:f>
            <x14:dxf>
              <fill>
                <patternFill>
                  <bgColor rgb="FF428BCE"/>
                </patternFill>
              </fill>
            </x14:dxf>
          </x14:cfRule>
          <xm:sqref>BV119</xm:sqref>
        </x14:conditionalFormatting>
        <x14:conditionalFormatting xmlns:xm="http://schemas.microsoft.com/office/excel/2006/main">
          <x14:cfRule type="expression" priority="158" id="{14E1C54D-C763-4AE2-8E61-024154D19CBF}">
            <xm:f>'CALCULS Eaux usées'!J$404&gt;2</xm:f>
            <x14:dxf>
              <fill>
                <patternFill>
                  <bgColor rgb="FF428BCE"/>
                </patternFill>
              </fill>
            </x14:dxf>
          </x14:cfRule>
          <xm:sqref>BV120</xm:sqref>
        </x14:conditionalFormatting>
        <x14:conditionalFormatting xmlns:xm="http://schemas.microsoft.com/office/excel/2006/main">
          <x14:cfRule type="expression" priority="157" id="{336DF9D9-A0A6-4471-9E17-D6A10565E6A2}">
            <xm:f>'CALCULS Eaux usées'!J$404&gt;1</xm:f>
            <x14:dxf>
              <fill>
                <patternFill>
                  <bgColor rgb="FF428BCE"/>
                </patternFill>
              </fill>
            </x14:dxf>
          </x14:cfRule>
          <xm:sqref>BV121</xm:sqref>
        </x14:conditionalFormatting>
        <x14:conditionalFormatting xmlns:xm="http://schemas.microsoft.com/office/excel/2006/main">
          <x14:cfRule type="expression" priority="156" id="{D55A95EC-30F1-4B7F-8562-D3C51134A587}">
            <xm:f>'CALCULS Eaux usées'!J$404&gt;0</xm:f>
            <x14:dxf>
              <fill>
                <patternFill>
                  <bgColor rgb="FF428BCE"/>
                </patternFill>
              </fill>
            </x14:dxf>
          </x14:cfRule>
          <xm:sqref>BV122</xm:sqref>
        </x14:conditionalFormatting>
        <x14:conditionalFormatting xmlns:xm="http://schemas.microsoft.com/office/excel/2006/main">
          <x14:cfRule type="expression" priority="170" id="{7CBB3E42-1720-408E-AC7E-AD963846ADB2}">
            <xm:f>'CALCULS Eaux usées'!K$404&gt;4</xm:f>
            <x14:dxf>
              <fill>
                <patternFill>
                  <bgColor rgb="FF428BCE"/>
                </patternFill>
              </fill>
            </x14:dxf>
          </x14:cfRule>
          <xm:sqref>BX118</xm:sqref>
        </x14:conditionalFormatting>
        <x14:conditionalFormatting xmlns:xm="http://schemas.microsoft.com/office/excel/2006/main">
          <x14:cfRule type="expression" priority="169" id="{E2F33992-58DA-4E63-9555-C63166D29179}">
            <xm:f>'CALCULS Eaux usées'!K$404&gt;3</xm:f>
            <x14:dxf>
              <fill>
                <patternFill>
                  <bgColor rgb="FF428BCE"/>
                </patternFill>
              </fill>
            </x14:dxf>
          </x14:cfRule>
          <xm:sqref>BX119</xm:sqref>
        </x14:conditionalFormatting>
        <x14:conditionalFormatting xmlns:xm="http://schemas.microsoft.com/office/excel/2006/main">
          <x14:cfRule type="expression" priority="168" id="{3F91904C-692E-40E8-AA58-92043CD56AFF}">
            <xm:f>'CALCULS Eaux usées'!K$404&gt;2</xm:f>
            <x14:dxf>
              <fill>
                <patternFill>
                  <bgColor rgb="FF428BCE"/>
                </patternFill>
              </fill>
            </x14:dxf>
          </x14:cfRule>
          <xm:sqref>BX120</xm:sqref>
        </x14:conditionalFormatting>
        <x14:conditionalFormatting xmlns:xm="http://schemas.microsoft.com/office/excel/2006/main">
          <x14:cfRule type="expression" priority="167" id="{C5EDFA5E-0B8B-4100-A69E-6C32A9F8068E}">
            <xm:f>'CALCULS Eaux usées'!K$404&gt;1</xm:f>
            <x14:dxf>
              <fill>
                <patternFill>
                  <bgColor rgb="FF428BCE"/>
                </patternFill>
              </fill>
            </x14:dxf>
          </x14:cfRule>
          <xm:sqref>BX121</xm:sqref>
        </x14:conditionalFormatting>
        <x14:conditionalFormatting xmlns:xm="http://schemas.microsoft.com/office/excel/2006/main">
          <x14:cfRule type="expression" priority="166" id="{9C82C21E-5C23-4D99-931D-27A4CC96BE0B}">
            <xm:f>'CALCULS Eaux usées'!K$404&gt;0</xm:f>
            <x14:dxf>
              <fill>
                <patternFill>
                  <bgColor rgb="FF428BCE"/>
                </patternFill>
              </fill>
            </x14:dxf>
          </x14:cfRule>
          <xm:sqref>BX122</xm:sqref>
        </x14:conditionalFormatting>
        <x14:conditionalFormatting xmlns:xm="http://schemas.microsoft.com/office/excel/2006/main">
          <x14:cfRule type="expression" priority="180" id="{37AC3858-7C70-4291-B12B-AAA8E3B3CD07}">
            <xm:f>'CALCULS Eaux usées'!L$404&gt;4</xm:f>
            <x14:dxf>
              <fill>
                <patternFill>
                  <bgColor theme="8" tint="-0.499984740745262"/>
                </patternFill>
              </fill>
            </x14:dxf>
          </x14:cfRule>
          <xm:sqref>BZ118</xm:sqref>
        </x14:conditionalFormatting>
        <x14:conditionalFormatting xmlns:xm="http://schemas.microsoft.com/office/excel/2006/main">
          <x14:cfRule type="expression" priority="179" id="{4009E6C8-19F6-421C-9811-C3FE53325534}">
            <xm:f>'CALCULS Eaux usées'!L$404&gt;3</xm:f>
            <x14:dxf>
              <fill>
                <patternFill>
                  <bgColor theme="8" tint="-0.499984740745262"/>
                </patternFill>
              </fill>
            </x14:dxf>
          </x14:cfRule>
          <xm:sqref>BZ119</xm:sqref>
        </x14:conditionalFormatting>
        <x14:conditionalFormatting xmlns:xm="http://schemas.microsoft.com/office/excel/2006/main">
          <x14:cfRule type="expression" priority="178" id="{79F6B600-CDFD-47F5-9160-B5BCD9BB271C}">
            <xm:f>'CALCULS Eaux usées'!L$404&gt;2</xm:f>
            <x14:dxf>
              <fill>
                <patternFill>
                  <bgColor theme="8" tint="-0.499984740745262"/>
                </patternFill>
              </fill>
            </x14:dxf>
          </x14:cfRule>
          <xm:sqref>BZ120</xm:sqref>
        </x14:conditionalFormatting>
        <x14:conditionalFormatting xmlns:xm="http://schemas.microsoft.com/office/excel/2006/main">
          <x14:cfRule type="expression" priority="177" id="{47099492-10F1-46D3-B89B-03A448D6511E}">
            <xm:f>'CALCULS Eaux usées'!L$404&gt;1</xm:f>
            <x14:dxf>
              <fill>
                <patternFill>
                  <bgColor theme="8" tint="-0.499984740745262"/>
                </patternFill>
              </fill>
            </x14:dxf>
          </x14:cfRule>
          <xm:sqref>BZ121</xm:sqref>
        </x14:conditionalFormatting>
        <x14:conditionalFormatting xmlns:xm="http://schemas.microsoft.com/office/excel/2006/main">
          <x14:cfRule type="expression" priority="176" id="{A7922A2A-CA8E-4F92-90E2-9222954BE284}">
            <xm:f>'CALCULS Eaux usées'!L$404&gt;0</xm:f>
            <x14:dxf>
              <fill>
                <patternFill>
                  <bgColor theme="8" tint="-0.499984740745262"/>
                </patternFill>
              </fill>
            </x14:dxf>
          </x14:cfRule>
          <xm:sqref>BZ122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988A"/>
    <pageSetUpPr fitToPage="1"/>
  </sheetPr>
  <dimension ref="A1:AJ729"/>
  <sheetViews>
    <sheetView showGridLines="0" zoomScaleNormal="100" workbookViewId="0"/>
  </sheetViews>
  <sheetFormatPr baseColWidth="10" defaultRowHeight="15" x14ac:dyDescent="0.25"/>
  <cols>
    <col min="1" max="1" width="2" style="28" customWidth="1"/>
    <col min="2" max="2" width="3.42578125" style="28" customWidth="1"/>
    <col min="3" max="3" width="23.5703125" style="28" customWidth="1"/>
    <col min="4" max="4" width="15.42578125" style="28" customWidth="1"/>
    <col min="5" max="15" width="15" style="28" customWidth="1"/>
    <col min="16" max="16" width="2.85546875" style="28" customWidth="1"/>
    <col min="17" max="17" width="3" style="28" customWidth="1"/>
    <col min="18" max="18" width="9.140625" style="28" customWidth="1"/>
    <col min="19" max="19" width="45.28515625" style="28" customWidth="1"/>
    <col min="20" max="20" width="26.42578125" style="28" customWidth="1"/>
    <col min="21" max="21" width="17.140625" style="28" customWidth="1"/>
    <col min="22" max="30" width="11.42578125" style="28"/>
    <col min="31" max="31" width="15.42578125" style="28" customWidth="1"/>
    <col min="32" max="33" width="16.85546875" style="28" customWidth="1"/>
    <col min="34" max="34" width="16.42578125" style="28" customWidth="1"/>
    <col min="35" max="16384" width="11.42578125" style="28"/>
  </cols>
  <sheetData>
    <row r="1" spans="2:19" ht="9" customHeight="1" thickBot="1" x14ac:dyDescent="0.3">
      <c r="S1" s="627"/>
    </row>
    <row r="2" spans="2:19" ht="31.5" customHeight="1" x14ac:dyDescent="0.3">
      <c r="B2" s="2336" t="s">
        <v>1685</v>
      </c>
      <c r="C2" s="2337"/>
      <c r="D2" s="2337"/>
      <c r="E2" s="2337"/>
      <c r="F2" s="2337"/>
      <c r="G2" s="2337"/>
      <c r="H2" s="2337"/>
      <c r="I2" s="2337"/>
      <c r="J2" s="2337"/>
      <c r="K2" s="2337"/>
      <c r="L2" s="2109"/>
      <c r="M2" s="2109"/>
      <c r="N2" s="2109"/>
      <c r="O2" s="2338"/>
      <c r="P2" s="2338"/>
      <c r="Q2" s="2338"/>
      <c r="S2" s="2994" t="s">
        <v>1552</v>
      </c>
    </row>
    <row r="3" spans="2:19" ht="29.25" customHeight="1" thickBot="1" x14ac:dyDescent="0.3">
      <c r="B3" s="2533" t="str">
        <f>IF((IDENTIFICATION!G93='MENU DÉROULANT'!C10),"Note: La municipalité a fait le choix d'intégrer sa gestion des infrastructures d'eaux pluviales avec celles des eaux usées. Le présent formulaire n'a donc pas besoin d'être complété.","")</f>
        <v/>
      </c>
      <c r="C3" s="599"/>
      <c r="M3" s="2814" t="s">
        <v>2149</v>
      </c>
      <c r="N3" s="2815"/>
      <c r="O3" s="2815"/>
      <c r="P3" s="2815"/>
      <c r="Q3" s="2815"/>
      <c r="S3" s="2995"/>
    </row>
    <row r="4" spans="2:19" ht="9.75" customHeight="1" thickBot="1" x14ac:dyDescent="0.35">
      <c r="B4" s="483"/>
      <c r="C4" s="484"/>
      <c r="D4" s="484"/>
      <c r="E4" s="484"/>
      <c r="F4" s="484"/>
      <c r="G4" s="484"/>
      <c r="H4" s="484"/>
      <c r="I4" s="484"/>
      <c r="J4" s="484"/>
      <c r="K4" s="484"/>
      <c r="L4" s="35"/>
      <c r="M4" s="35"/>
      <c r="N4" s="35"/>
      <c r="O4" s="58"/>
      <c r="P4" s="58"/>
      <c r="Q4" s="58"/>
      <c r="S4" s="627"/>
    </row>
    <row r="5" spans="2:19" ht="9" customHeight="1" x14ac:dyDescent="0.25">
      <c r="B5" s="2313"/>
      <c r="C5" s="2314"/>
      <c r="D5" s="2314"/>
      <c r="E5" s="2314"/>
      <c r="F5" s="2314"/>
      <c r="G5" s="2314"/>
      <c r="H5" s="2314"/>
      <c r="I5" s="2314"/>
      <c r="J5" s="2314"/>
      <c r="K5" s="2314"/>
      <c r="L5" s="2314"/>
      <c r="M5" s="2314"/>
      <c r="N5" s="2314"/>
      <c r="O5" s="2314"/>
      <c r="P5" s="2315"/>
      <c r="Q5" s="2316"/>
      <c r="S5" s="2900"/>
    </row>
    <row r="6" spans="2:19" ht="18.75" customHeight="1" x14ac:dyDescent="0.25">
      <c r="B6" s="2317" t="s">
        <v>1654</v>
      </c>
      <c r="C6" s="2146"/>
      <c r="D6" s="2318"/>
      <c r="E6" s="2318"/>
      <c r="F6" s="2318"/>
      <c r="G6" s="2146"/>
      <c r="H6" s="3437"/>
      <c r="I6" s="3437"/>
      <c r="J6" s="3437"/>
      <c r="K6" s="3437"/>
      <c r="L6" s="3437"/>
      <c r="M6" s="3437"/>
      <c r="N6" s="3437"/>
      <c r="O6" s="3437"/>
      <c r="P6" s="2319"/>
      <c r="Q6" s="2320"/>
      <c r="S6" s="2899"/>
    </row>
    <row r="7" spans="2:19" ht="18" customHeight="1" x14ac:dyDescent="0.25">
      <c r="B7" s="2321"/>
      <c r="C7" s="2322"/>
      <c r="D7" s="2318"/>
      <c r="E7" s="2318"/>
      <c r="F7" s="2318"/>
      <c r="G7" s="2146"/>
      <c r="H7" s="2323"/>
      <c r="I7" s="2324" t="s">
        <v>1650</v>
      </c>
      <c r="J7" s="2146"/>
      <c r="K7" s="2325" t="s">
        <v>1483</v>
      </c>
      <c r="L7" s="2146"/>
      <c r="M7" s="2326"/>
      <c r="N7" s="2325" t="s">
        <v>1505</v>
      </c>
      <c r="O7" s="2327"/>
      <c r="P7" s="2319"/>
      <c r="Q7" s="2320"/>
      <c r="S7" s="2899"/>
    </row>
    <row r="8" spans="2:19" s="72" customFormat="1" ht="18" customHeight="1" x14ac:dyDescent="0.25">
      <c r="B8" s="2328"/>
      <c r="C8" s="2418" t="s">
        <v>1484</v>
      </c>
      <c r="D8" s="2419" t="s">
        <v>1482</v>
      </c>
      <c r="E8" s="2420"/>
      <c r="F8" s="2420"/>
      <c r="G8" s="2420"/>
      <c r="H8" s="2421"/>
      <c r="I8" s="2422" t="str">
        <f>IF(OR(O24="À compléter",O45="À compléter"),"À compléter","Complété")</f>
        <v>À compléter</v>
      </c>
      <c r="J8" s="2422"/>
      <c r="K8" s="2422" t="str">
        <f>"----"</f>
        <v>----</v>
      </c>
      <c r="L8" s="2422"/>
      <c r="M8" s="2422"/>
      <c r="N8" s="2422" t="str">
        <f>"----"</f>
        <v>----</v>
      </c>
      <c r="O8" s="2423"/>
      <c r="P8" s="2319"/>
      <c r="Q8" s="2320"/>
      <c r="S8" s="2899"/>
    </row>
    <row r="9" spans="2:19" s="72" customFormat="1" ht="18" customHeight="1" x14ac:dyDescent="0.25">
      <c r="B9" s="2328"/>
      <c r="C9" s="2408" t="s">
        <v>1479</v>
      </c>
      <c r="D9" s="2409" t="s">
        <v>24</v>
      </c>
      <c r="E9" s="2410"/>
      <c r="F9" s="2410"/>
      <c r="G9" s="2411"/>
      <c r="H9" s="2412"/>
      <c r="I9" s="2413" t="str">
        <f>O67</f>
        <v>À compléter</v>
      </c>
      <c r="J9" s="2414"/>
      <c r="K9" s="2414" t="str">
        <f>I169</f>
        <v>À compléter</v>
      </c>
      <c r="L9" s="2414"/>
      <c r="M9" s="2414"/>
      <c r="N9" s="2414" t="str">
        <f>I171</f>
        <v>À compléter</v>
      </c>
      <c r="O9" s="2411"/>
      <c r="P9" s="2319"/>
      <c r="Q9" s="2320"/>
      <c r="S9" s="2899"/>
    </row>
    <row r="10" spans="2:19" s="72" customFormat="1" ht="18" customHeight="1" x14ac:dyDescent="0.25">
      <c r="B10" s="2328"/>
      <c r="C10" s="2408" t="s">
        <v>1480</v>
      </c>
      <c r="D10" s="2409" t="s">
        <v>165</v>
      </c>
      <c r="E10" s="2410"/>
      <c r="F10" s="2410"/>
      <c r="G10" s="2415"/>
      <c r="H10" s="2412"/>
      <c r="I10" s="2413" t="str">
        <f>O179</f>
        <v>À compléter</v>
      </c>
      <c r="J10" s="2414"/>
      <c r="K10" s="2414" t="str">
        <f>I241</f>
        <v>À compléter</v>
      </c>
      <c r="L10" s="2414"/>
      <c r="M10" s="2414"/>
      <c r="N10" s="2414" t="str">
        <f>I243</f>
        <v>À compléter</v>
      </c>
      <c r="O10" s="2411"/>
      <c r="P10" s="2319"/>
      <c r="Q10" s="2320"/>
      <c r="S10" s="2899"/>
    </row>
    <row r="11" spans="2:19" s="72" customFormat="1" ht="18" customHeight="1" x14ac:dyDescent="0.25">
      <c r="B11" s="2328"/>
      <c r="C11" s="2408" t="s">
        <v>1488</v>
      </c>
      <c r="D11" s="2409" t="s">
        <v>28</v>
      </c>
      <c r="E11" s="2410"/>
      <c r="F11" s="2410"/>
      <c r="G11" s="2415"/>
      <c r="H11" s="2412"/>
      <c r="I11" s="2413" t="str">
        <f>O251</f>
        <v>À compléter</v>
      </c>
      <c r="J11" s="2414"/>
      <c r="K11" s="2414" t="str">
        <f>I285</f>
        <v>À compléter</v>
      </c>
      <c r="L11" s="2414"/>
      <c r="M11" s="2414"/>
      <c r="N11" s="2414" t="str">
        <f>I287</f>
        <v>À compléter</v>
      </c>
      <c r="O11" s="2411"/>
      <c r="P11" s="2319"/>
      <c r="Q11" s="2320"/>
      <c r="S11" s="2899"/>
    </row>
    <row r="12" spans="2:19" s="72" customFormat="1" ht="18" customHeight="1" x14ac:dyDescent="0.25">
      <c r="B12" s="2328"/>
      <c r="C12" s="2408" t="s">
        <v>1489</v>
      </c>
      <c r="D12" s="2409" t="s">
        <v>52</v>
      </c>
      <c r="E12" s="2410"/>
      <c r="F12" s="2410"/>
      <c r="G12" s="2415"/>
      <c r="H12" s="2416"/>
      <c r="I12" s="2413" t="str">
        <f>O295</f>
        <v>À compléter</v>
      </c>
      <c r="J12" s="2414"/>
      <c r="K12" s="2414" t="str">
        <f>I328</f>
        <v>À compléter</v>
      </c>
      <c r="L12" s="2414"/>
      <c r="M12" s="2414"/>
      <c r="N12" s="2414" t="str">
        <f>I330</f>
        <v>À compléter</v>
      </c>
      <c r="O12" s="2411"/>
      <c r="P12" s="2319"/>
      <c r="Q12" s="2320"/>
      <c r="S12" s="2899"/>
    </row>
    <row r="13" spans="2:19" s="72" customFormat="1" ht="18" customHeight="1" x14ac:dyDescent="0.25">
      <c r="B13" s="2328"/>
      <c r="C13" s="2408" t="s">
        <v>1490</v>
      </c>
      <c r="D13" s="2409" t="s">
        <v>1491</v>
      </c>
      <c r="E13" s="2410"/>
      <c r="F13" s="2410"/>
      <c r="G13" s="2410"/>
      <c r="H13" s="2411"/>
      <c r="I13" s="2417" t="str">
        <f>O338</f>
        <v>À compléter</v>
      </c>
      <c r="J13" s="2414"/>
      <c r="K13" s="2414" t="str">
        <f>I369</f>
        <v>À compléter</v>
      </c>
      <c r="L13" s="2414"/>
      <c r="M13" s="2414"/>
      <c r="N13" s="2414" t="str">
        <f>I371</f>
        <v>À compléter</v>
      </c>
      <c r="O13" s="2411"/>
      <c r="P13" s="2319"/>
      <c r="Q13" s="2320"/>
      <c r="S13" s="2899"/>
    </row>
    <row r="14" spans="2:19" s="72" customFormat="1" ht="18" customHeight="1" x14ac:dyDescent="0.25">
      <c r="B14" s="2328"/>
      <c r="C14" s="2408" t="s">
        <v>1584</v>
      </c>
      <c r="D14" s="2409" t="s">
        <v>1492</v>
      </c>
      <c r="E14" s="2410"/>
      <c r="F14" s="2410"/>
      <c r="G14" s="2410"/>
      <c r="H14" s="2411"/>
      <c r="I14" s="2417" t="str">
        <f>O375</f>
        <v>À compléter</v>
      </c>
      <c r="J14" s="2414"/>
      <c r="K14" s="2414" t="str">
        <f>I497</f>
        <v>À compléter</v>
      </c>
      <c r="L14" s="2414"/>
      <c r="M14" s="2414"/>
      <c r="N14" s="2414" t="str">
        <f>I499</f>
        <v>À compléter</v>
      </c>
      <c r="O14" s="2411"/>
      <c r="P14" s="2319"/>
      <c r="Q14" s="2320"/>
      <c r="S14" s="2899"/>
    </row>
    <row r="15" spans="2:19" s="72" customFormat="1" ht="18" customHeight="1" x14ac:dyDescent="0.25">
      <c r="B15" s="2328"/>
      <c r="C15" s="2408" t="s">
        <v>1481</v>
      </c>
      <c r="D15" s="2409" t="s">
        <v>1840</v>
      </c>
      <c r="E15" s="2410"/>
      <c r="F15" s="2410"/>
      <c r="G15" s="2410"/>
      <c r="H15" s="2411"/>
      <c r="I15" s="2417" t="str">
        <f>O507</f>
        <v>À compléter</v>
      </c>
      <c r="J15" s="2414"/>
      <c r="K15" s="2414" t="str">
        <f>I570</f>
        <v>À compléter</v>
      </c>
      <c r="L15" s="2414"/>
      <c r="M15" s="2414"/>
      <c r="N15" s="2414" t="str">
        <f>I572</f>
        <v>À compléter</v>
      </c>
      <c r="O15" s="2411"/>
      <c r="P15" s="2319"/>
      <c r="Q15" s="2320"/>
      <c r="S15" s="2899"/>
    </row>
    <row r="16" spans="2:19" s="72" customFormat="1" ht="18" customHeight="1" x14ac:dyDescent="0.25">
      <c r="B16" s="2328"/>
      <c r="C16" s="2408" t="s">
        <v>1496</v>
      </c>
      <c r="D16" s="2409" t="s">
        <v>1493</v>
      </c>
      <c r="E16" s="2410"/>
      <c r="F16" s="2410"/>
      <c r="G16" s="2410"/>
      <c r="H16" s="2411"/>
      <c r="I16" s="2417" t="str">
        <f>O580</f>
        <v>À compléter</v>
      </c>
      <c r="J16" s="2414"/>
      <c r="K16" s="2414" t="str">
        <f>"----"</f>
        <v>----</v>
      </c>
      <c r="L16" s="2414"/>
      <c r="M16" s="2414"/>
      <c r="N16" s="2414" t="str">
        <f>"----"</f>
        <v>----</v>
      </c>
      <c r="O16" s="2411"/>
      <c r="P16" s="2319"/>
      <c r="Q16" s="2320"/>
      <c r="S16" s="2899"/>
    </row>
    <row r="17" spans="1:36" s="72" customFormat="1" ht="18" customHeight="1" x14ac:dyDescent="0.25">
      <c r="B17" s="2328"/>
      <c r="C17" s="2408" t="s">
        <v>1585</v>
      </c>
      <c r="D17" s="2409" t="s">
        <v>1495</v>
      </c>
      <c r="E17" s="2410"/>
      <c r="F17" s="2410"/>
      <c r="G17" s="2410"/>
      <c r="H17" s="2411"/>
      <c r="I17" s="2417" t="str">
        <f>O646</f>
        <v>À compléter</v>
      </c>
      <c r="J17" s="2414"/>
      <c r="K17" s="2414" t="str">
        <f>"----"</f>
        <v>----</v>
      </c>
      <c r="L17" s="2414"/>
      <c r="M17" s="2414"/>
      <c r="N17" s="2414" t="str">
        <f>"----"</f>
        <v>----</v>
      </c>
      <c r="O17" s="2411"/>
      <c r="P17" s="2319"/>
      <c r="Q17" s="2320"/>
      <c r="S17" s="2899"/>
    </row>
    <row r="18" spans="1:36" s="72" customFormat="1" ht="18" customHeight="1" x14ac:dyDescent="0.25">
      <c r="B18" s="2328"/>
      <c r="C18" s="2424" t="s">
        <v>1485</v>
      </c>
      <c r="D18" s="2425" t="s">
        <v>1494</v>
      </c>
      <c r="E18" s="2426"/>
      <c r="F18" s="2426"/>
      <c r="G18" s="2426"/>
      <c r="H18" s="2427"/>
      <c r="I18" s="2428" t="str">
        <f>"----"</f>
        <v>----</v>
      </c>
      <c r="J18" s="2428"/>
      <c r="K18" s="2428" t="str">
        <f>"----"</f>
        <v>----</v>
      </c>
      <c r="L18" s="2428"/>
      <c r="M18" s="2428"/>
      <c r="N18" s="2428" t="str">
        <f>"----"</f>
        <v>----</v>
      </c>
      <c r="O18" s="2428"/>
      <c r="P18" s="2319"/>
      <c r="Q18" s="2320"/>
      <c r="S18" s="2899"/>
    </row>
    <row r="19" spans="1:36" ht="14.25" customHeight="1" thickBot="1" x14ac:dyDescent="0.3">
      <c r="B19" s="2329"/>
      <c r="C19" s="2330"/>
      <c r="D19" s="2330"/>
      <c r="E19" s="2330"/>
      <c r="F19" s="2331"/>
      <c r="G19" s="2331"/>
      <c r="H19" s="2331"/>
      <c r="I19" s="2331"/>
      <c r="J19" s="2332"/>
      <c r="K19" s="2332"/>
      <c r="L19" s="2332"/>
      <c r="M19" s="2333"/>
      <c r="N19" s="2333"/>
      <c r="O19" s="2333"/>
      <c r="P19" s="2334"/>
      <c r="Q19" s="2335"/>
      <c r="S19" s="2904"/>
    </row>
    <row r="20" spans="1:36" ht="14.25" customHeight="1" thickBot="1" x14ac:dyDescent="0.35">
      <c r="B20" s="483"/>
      <c r="C20" s="484"/>
      <c r="D20" s="484"/>
      <c r="E20" s="484"/>
      <c r="F20" s="484"/>
      <c r="G20" s="484"/>
      <c r="H20" s="484"/>
      <c r="I20" s="484"/>
      <c r="J20" s="484"/>
      <c r="K20" s="484"/>
      <c r="L20" s="35"/>
      <c r="M20" s="35"/>
      <c r="N20" s="35"/>
      <c r="O20" s="58"/>
      <c r="P20" s="58"/>
      <c r="Q20" s="58"/>
      <c r="S20" s="627"/>
    </row>
    <row r="21" spans="1:36" ht="22.5" customHeight="1" thickBot="1" x14ac:dyDescent="0.3">
      <c r="A21" s="1225"/>
      <c r="B21" s="2134" t="s">
        <v>57</v>
      </c>
      <c r="C21" s="2134"/>
      <c r="D21" s="2134"/>
      <c r="E21" s="2134"/>
      <c r="F21" s="2134"/>
      <c r="G21" s="2134"/>
      <c r="H21" s="2134"/>
      <c r="I21" s="2134"/>
      <c r="J21" s="2134"/>
      <c r="K21" s="2134"/>
      <c r="L21" s="2339"/>
      <c r="M21" s="2339"/>
      <c r="N21" s="2339"/>
      <c r="O21" s="3435" t="s">
        <v>1641</v>
      </c>
      <c r="P21" s="3435"/>
      <c r="Q21" s="3435"/>
      <c r="S21" s="628" t="s">
        <v>1537</v>
      </c>
      <c r="AD21" s="245"/>
      <c r="AE21" s="246"/>
      <c r="AF21" s="246"/>
      <c r="AG21" s="246"/>
      <c r="AH21" s="55"/>
      <c r="AI21" s="55"/>
      <c r="AJ21" s="55"/>
    </row>
    <row r="22" spans="1:36" ht="9.75" customHeight="1" thickBot="1" x14ac:dyDescent="0.3">
      <c r="S22" s="629"/>
    </row>
    <row r="23" spans="1:36" ht="12" customHeight="1" x14ac:dyDescent="0.25">
      <c r="B23" s="2340"/>
      <c r="C23" s="2341"/>
      <c r="D23" s="2341"/>
      <c r="E23" s="2342"/>
      <c r="F23" s="2343"/>
      <c r="G23" s="2343"/>
      <c r="H23" s="2343"/>
      <c r="I23" s="2343"/>
      <c r="J23" s="2343"/>
      <c r="K23" s="2343"/>
      <c r="L23" s="2343"/>
      <c r="M23" s="2343"/>
      <c r="N23" s="2343"/>
      <c r="O23" s="2343"/>
      <c r="P23" s="2343"/>
      <c r="Q23" s="2344"/>
      <c r="S23" s="2900"/>
    </row>
    <row r="24" spans="1:36" ht="18" customHeight="1" x14ac:dyDescent="0.25">
      <c r="B24" s="2402"/>
      <c r="C24" s="2346" t="s">
        <v>58</v>
      </c>
      <c r="D24" s="2346"/>
      <c r="E24" s="2403"/>
      <c r="F24" s="2146"/>
      <c r="G24" s="2146"/>
      <c r="H24" s="2146"/>
      <c r="I24" s="2146"/>
      <c r="J24" s="2146"/>
      <c r="K24" s="2146"/>
      <c r="L24" s="2146"/>
      <c r="M24" s="2146"/>
      <c r="N24" s="2368" t="s">
        <v>59</v>
      </c>
      <c r="O24" s="359" t="str">
        <f>IF(AND(IDENTIFICATION!O56="Complété",IDENTIFICATION!O102="Complété"),"Complété","À compléter")</f>
        <v>À compléter</v>
      </c>
      <c r="P24" s="2146"/>
      <c r="Q24" s="2370"/>
      <c r="S24" s="2899"/>
    </row>
    <row r="25" spans="1:36" ht="6.75" customHeight="1" x14ac:dyDescent="0.25">
      <c r="B25" s="2367"/>
      <c r="C25" s="2369"/>
      <c r="D25" s="2369"/>
      <c r="E25" s="2369"/>
      <c r="F25" s="2146"/>
      <c r="G25" s="2146"/>
      <c r="H25" s="2146"/>
      <c r="I25" s="2146"/>
      <c r="J25" s="2146"/>
      <c r="K25" s="2146"/>
      <c r="L25" s="2146"/>
      <c r="M25" s="2146"/>
      <c r="N25" s="2146"/>
      <c r="O25" s="2146"/>
      <c r="P25" s="2146"/>
      <c r="Q25" s="2370"/>
      <c r="S25" s="2899"/>
    </row>
    <row r="26" spans="1:36" x14ac:dyDescent="0.25">
      <c r="B26" s="2328"/>
      <c r="C26" s="2358" t="s">
        <v>1765</v>
      </c>
      <c r="D26" s="2351"/>
      <c r="E26" s="2319"/>
      <c r="F26" s="2319"/>
      <c r="G26" s="2319"/>
      <c r="H26" s="2319"/>
      <c r="I26" s="2319"/>
      <c r="J26" s="2319"/>
      <c r="K26" s="2319"/>
      <c r="L26" s="2319"/>
      <c r="M26" s="2319"/>
      <c r="N26" s="2319"/>
      <c r="O26" s="2319"/>
      <c r="P26" s="2319"/>
      <c r="Q26" s="2320"/>
      <c r="S26" s="2899"/>
    </row>
    <row r="27" spans="1:36" ht="19.5" customHeight="1" x14ac:dyDescent="0.25">
      <c r="B27" s="2328"/>
      <c r="C27" s="2366" t="s">
        <v>1774</v>
      </c>
      <c r="D27" s="2352"/>
      <c r="E27" s="2319"/>
      <c r="F27" s="2319"/>
      <c r="G27" s="2319"/>
      <c r="H27" s="2319"/>
      <c r="I27" s="2319"/>
      <c r="J27" s="2319"/>
      <c r="K27" s="2319"/>
      <c r="L27" s="2319"/>
      <c r="M27" s="2319"/>
      <c r="N27" s="2319"/>
      <c r="O27" s="2319"/>
      <c r="P27" s="2319"/>
      <c r="Q27" s="2320"/>
      <c r="S27" s="2899"/>
    </row>
    <row r="28" spans="1:36" ht="12.75" customHeight="1" x14ac:dyDescent="0.25">
      <c r="B28" s="2328"/>
      <c r="C28" s="2351"/>
      <c r="D28" s="2351"/>
      <c r="E28" s="2319"/>
      <c r="F28" s="2319"/>
      <c r="G28" s="2319"/>
      <c r="H28" s="2319"/>
      <c r="I28" s="2319"/>
      <c r="J28" s="2319"/>
      <c r="K28" s="2319"/>
      <c r="L28" s="2319"/>
      <c r="M28" s="2319"/>
      <c r="N28" s="2319"/>
      <c r="O28" s="2319"/>
      <c r="P28" s="2319"/>
      <c r="Q28" s="2320"/>
      <c r="S28" s="2899"/>
    </row>
    <row r="29" spans="1:36" ht="18" customHeight="1" x14ac:dyDescent="0.25">
      <c r="B29" s="2328"/>
      <c r="C29" s="264"/>
      <c r="D29" s="482" t="str">
        <f>IF(ISNA(#REF!)=TRUE,"Attention vérifier code géographique","")</f>
        <v/>
      </c>
      <c r="E29" s="266"/>
      <c r="F29" s="266"/>
      <c r="G29" s="266"/>
      <c r="H29" s="266"/>
      <c r="I29" s="266"/>
      <c r="J29" s="266"/>
      <c r="K29" s="266"/>
      <c r="L29" s="266"/>
      <c r="M29" s="266"/>
      <c r="N29" s="266"/>
      <c r="O29" s="266"/>
      <c r="P29" s="267"/>
      <c r="Q29" s="2320"/>
      <c r="S29" s="2899"/>
    </row>
    <row r="30" spans="1:36" ht="25.5" customHeight="1" x14ac:dyDescent="0.25">
      <c r="B30" s="2365"/>
      <c r="C30" s="973" t="s">
        <v>1766</v>
      </c>
      <c r="D30" s="2872" t="str">
        <f>IF(ISBLANK(IDENTIFICATION!D62),"",IDENTIFICATION!D62)</f>
        <v/>
      </c>
      <c r="E30" s="2873"/>
      <c r="F30" s="2874"/>
      <c r="G30" s="918" t="s">
        <v>274</v>
      </c>
      <c r="H30" s="2872" t="str">
        <f>IF(ISBLANK(IDENTIFICATION!H62),"",IDENTIFICATION!H62)</f>
        <v/>
      </c>
      <c r="I30" s="2873"/>
      <c r="J30" s="2873"/>
      <c r="K30" s="2874"/>
      <c r="L30" s="917" t="s">
        <v>1672</v>
      </c>
      <c r="M30" s="2872" t="str">
        <f>IF(ISBLANK(IDENTIFICATION!M62),"",IDENTIFICATION!M62)</f>
        <v/>
      </c>
      <c r="N30" s="2873"/>
      <c r="O30" s="2874"/>
      <c r="P30" s="617"/>
      <c r="Q30" s="2320"/>
      <c r="S30" s="2899"/>
    </row>
    <row r="31" spans="1:36" ht="8.25" customHeight="1" x14ac:dyDescent="0.25">
      <c r="B31" s="2328"/>
      <c r="C31" s="980"/>
      <c r="D31" s="270"/>
      <c r="F31" s="270"/>
      <c r="H31" s="270"/>
      <c r="I31" s="270"/>
      <c r="J31" s="270"/>
      <c r="K31" s="270"/>
      <c r="L31" s="271"/>
      <c r="P31" s="272"/>
      <c r="Q31" s="2320"/>
      <c r="S31" s="2899"/>
    </row>
    <row r="32" spans="1:36" ht="8.25" customHeight="1" x14ac:dyDescent="0.25">
      <c r="B32" s="2328"/>
      <c r="C32" s="980"/>
      <c r="D32" s="270"/>
      <c r="F32" s="270"/>
      <c r="H32" s="270"/>
      <c r="I32" s="270"/>
      <c r="J32" s="270"/>
      <c r="K32" s="270"/>
      <c r="L32" s="271"/>
      <c r="P32" s="272"/>
      <c r="Q32" s="2320"/>
      <c r="S32" s="2899"/>
    </row>
    <row r="33" spans="2:19" ht="14.25" customHeight="1" x14ac:dyDescent="0.25">
      <c r="B33" s="2365"/>
      <c r="C33" s="104"/>
      <c r="D33" s="922" t="s">
        <v>62</v>
      </c>
      <c r="E33" s="921"/>
      <c r="F33" s="922" t="s">
        <v>61</v>
      </c>
      <c r="G33" s="921"/>
      <c r="H33" s="922" t="s">
        <v>126</v>
      </c>
      <c r="I33" s="922"/>
      <c r="J33" s="922" t="s">
        <v>63</v>
      </c>
      <c r="K33" s="922"/>
      <c r="L33" s="923" t="s">
        <v>64</v>
      </c>
      <c r="M33" s="923" t="s">
        <v>65</v>
      </c>
      <c r="N33" s="919" t="s">
        <v>1763</v>
      </c>
      <c r="P33" s="617"/>
      <c r="Q33" s="2320"/>
      <c r="S33" s="2899"/>
    </row>
    <row r="34" spans="2:19" ht="4.5" customHeight="1" x14ac:dyDescent="0.25">
      <c r="B34" s="2328"/>
      <c r="C34" s="3021" t="s">
        <v>1762</v>
      </c>
      <c r="D34" s="270"/>
      <c r="F34" s="270"/>
      <c r="H34" s="270"/>
      <c r="I34" s="270"/>
      <c r="J34" s="270"/>
      <c r="K34" s="270"/>
      <c r="L34" s="271"/>
      <c r="P34" s="272"/>
      <c r="Q34" s="2320"/>
      <c r="S34" s="2899"/>
    </row>
    <row r="35" spans="2:19" ht="19.5" customHeight="1" x14ac:dyDescent="0.35">
      <c r="B35" s="2365"/>
      <c r="C35" s="3021"/>
      <c r="D35" s="2895" t="str">
        <f>IF(ISBLANK(IDENTIFICATION!D109),"",IDENTIFICATION!D109)</f>
        <v/>
      </c>
      <c r="E35" s="2896"/>
      <c r="F35" s="2897" t="str">
        <f>IF(ISBLANK(IDENTIFICATION!F109),"",IDENTIFICATION!F109)</f>
        <v/>
      </c>
      <c r="G35" s="2898"/>
      <c r="H35" s="2897" t="str">
        <f>IF(ISBLANK(IDENTIFICATION!H109),"",IDENTIFICATION!H109)</f>
        <v/>
      </c>
      <c r="I35" s="2898"/>
      <c r="J35" s="2897" t="str">
        <f>IF(ISBLANK(IDENTIFICATION!J109),"",IDENTIFICATION!J109)</f>
        <v/>
      </c>
      <c r="K35" s="2898"/>
      <c r="L35" s="982" t="str">
        <f>IF(ISBLANK(IDENTIFICATION!L109),"",IDENTIFICATION!L109)</f>
        <v/>
      </c>
      <c r="M35" s="982" t="str">
        <f>IF(ISBLANK(IDENTIFICATION!M109),"",IDENTIFICATION!M109)</f>
        <v/>
      </c>
      <c r="N35" s="2897" t="str">
        <f>IF(ISBLANK(IDENTIFICATION!N109),"",IDENTIFICATION!N109)</f>
        <v/>
      </c>
      <c r="O35" s="2898"/>
      <c r="P35" s="947">
        <v>6</v>
      </c>
      <c r="Q35" s="2320"/>
      <c r="S35" s="2899"/>
    </row>
    <row r="36" spans="2:19" ht="14.25" customHeight="1" x14ac:dyDescent="0.25">
      <c r="B36" s="2328"/>
      <c r="C36" s="3021"/>
      <c r="D36" s="2893"/>
      <c r="E36" s="2893"/>
      <c r="F36" s="2894"/>
      <c r="G36" s="2894"/>
      <c r="H36" s="2894"/>
      <c r="I36" s="2894"/>
      <c r="J36" s="2894"/>
      <c r="K36" s="2894"/>
      <c r="L36" s="981"/>
      <c r="M36" s="981"/>
      <c r="N36" s="2894"/>
      <c r="O36" s="2894"/>
      <c r="P36" s="946"/>
      <c r="Q36" s="2320"/>
      <c r="S36" s="2899"/>
    </row>
    <row r="37" spans="2:19" ht="19.5" customHeight="1" x14ac:dyDescent="0.35">
      <c r="B37" s="2328"/>
      <c r="C37" s="918" t="s">
        <v>1768</v>
      </c>
      <c r="D37" s="2895" t="str">
        <f>IF(OR(IDENTIFICATION!N111='MENU DÉROULANT'!$E$12,IDENTIFICATION!N111='MENU DÉROULANT'!$E$15,IDENTIFICATION!N111='MENU DÉROULANT'!$E$16),IF(ISBLANK(IDENTIFICATION!D111),"",IDENTIFICATION!D111),"")</f>
        <v/>
      </c>
      <c r="E37" s="2896"/>
      <c r="F37" s="2897" t="str">
        <f>IF(($D37=""),"",IDENTIFICATION!F111)</f>
        <v/>
      </c>
      <c r="G37" s="2898"/>
      <c r="H37" s="2897" t="str">
        <f>IF(($D37=""),"",IDENTIFICATION!H111)</f>
        <v/>
      </c>
      <c r="I37" s="2898"/>
      <c r="J37" s="2897" t="str">
        <f>IF(($D37=""),"",IDENTIFICATION!J111)</f>
        <v/>
      </c>
      <c r="K37" s="2898"/>
      <c r="L37" s="982" t="str">
        <f>IF(($D37=""),"",IDENTIFICATION!L111)</f>
        <v/>
      </c>
      <c r="M37" s="982" t="str">
        <f>IF(($D37=""),"",IDENTIFICATION!M111)</f>
        <v/>
      </c>
      <c r="N37" s="2897" t="str">
        <f>IF(($D37=""),"",IDENTIFICATION!N111)</f>
        <v/>
      </c>
      <c r="O37" s="2898"/>
      <c r="P37" s="947">
        <v>6</v>
      </c>
      <c r="Q37" s="2320"/>
      <c r="S37" s="2899"/>
    </row>
    <row r="38" spans="2:19" ht="19.5" customHeight="1" x14ac:dyDescent="0.25">
      <c r="B38" s="2328"/>
      <c r="C38" s="924"/>
      <c r="D38" s="2895" t="str">
        <f>IF(OR(IDENTIFICATION!N113='MENU DÉROULANT'!$E$12,IDENTIFICATION!N113='MENU DÉROULANT'!$E$15,IDENTIFICATION!N113='MENU DÉROULANT'!$E$16),IF(ISBLANK(IDENTIFICATION!D113),"",IDENTIFICATION!D113),"")</f>
        <v/>
      </c>
      <c r="E38" s="2896"/>
      <c r="F38" s="2897" t="str">
        <f>IF(($D38=""),"",IDENTIFICATION!F113)</f>
        <v/>
      </c>
      <c r="G38" s="2898"/>
      <c r="H38" s="2897" t="str">
        <f>IF(($D38=""),"",IDENTIFICATION!H113)</f>
        <v/>
      </c>
      <c r="I38" s="2898"/>
      <c r="J38" s="2897" t="str">
        <f>IF(($D38=""),"",IDENTIFICATION!J113)</f>
        <v/>
      </c>
      <c r="K38" s="2898"/>
      <c r="L38" s="982" t="str">
        <f>IF(($D38=""),"",IDENTIFICATION!L113)</f>
        <v/>
      </c>
      <c r="M38" s="982" t="str">
        <f>IF(($D38=""),"",IDENTIFICATION!M113)</f>
        <v/>
      </c>
      <c r="N38" s="2897" t="str">
        <f>IF(($D38=""),"",IDENTIFICATION!N113)</f>
        <v/>
      </c>
      <c r="O38" s="2898"/>
      <c r="P38" s="946"/>
      <c r="Q38" s="2320"/>
      <c r="S38" s="2899"/>
    </row>
    <row r="39" spans="2:19" ht="19.5" customHeight="1" x14ac:dyDescent="0.35">
      <c r="B39" s="2328"/>
      <c r="C39" s="918"/>
      <c r="D39" s="2895" t="str">
        <f>IF(OR(IDENTIFICATION!N115='MENU DÉROULANT'!$E$12,IDENTIFICATION!N115='MENU DÉROULANT'!$E$15,IDENTIFICATION!N115='MENU DÉROULANT'!$E$16),IF(ISBLANK(IDENTIFICATION!D115),"",IDENTIFICATION!D115),"")</f>
        <v/>
      </c>
      <c r="E39" s="2896"/>
      <c r="F39" s="2897" t="str">
        <f>IF(($D39=""),"",IDENTIFICATION!F115)</f>
        <v/>
      </c>
      <c r="G39" s="2898"/>
      <c r="H39" s="2897" t="str">
        <f>IF(($D39=""),"",IDENTIFICATION!H115)</f>
        <v/>
      </c>
      <c r="I39" s="2898"/>
      <c r="J39" s="2897" t="str">
        <f>IF(($D39=""),"",IDENTIFICATION!J115)</f>
        <v/>
      </c>
      <c r="K39" s="2898"/>
      <c r="L39" s="982" t="str">
        <f>IF(($D39=""),"",IDENTIFICATION!L115)</f>
        <v/>
      </c>
      <c r="M39" s="982" t="str">
        <f>IF(($D39=""),"",IDENTIFICATION!M115)</f>
        <v/>
      </c>
      <c r="N39" s="2897" t="str">
        <f>IF(($D39=""),"",IDENTIFICATION!N115)</f>
        <v/>
      </c>
      <c r="O39" s="2898"/>
      <c r="P39" s="947">
        <v>6</v>
      </c>
      <c r="Q39" s="2320"/>
      <c r="S39" s="2899"/>
    </row>
    <row r="40" spans="2:19" ht="19.5" customHeight="1" x14ac:dyDescent="0.25">
      <c r="B40" s="2328"/>
      <c r="C40" s="924"/>
      <c r="D40" s="2895" t="str">
        <f>IF(OR(IDENTIFICATION!N117='MENU DÉROULANT'!$E$12,IDENTIFICATION!N117='MENU DÉROULANT'!$E$15,IDENTIFICATION!N117='MENU DÉROULANT'!$E$16),IF(ISBLANK(IDENTIFICATION!D117),"",IDENTIFICATION!D117),"")</f>
        <v/>
      </c>
      <c r="E40" s="2896"/>
      <c r="F40" s="2897" t="str">
        <f>IF(($D40=""),"",IDENTIFICATION!F117)</f>
        <v/>
      </c>
      <c r="G40" s="2898"/>
      <c r="H40" s="2897" t="str">
        <f>IF(($D40=""),"",IDENTIFICATION!H117)</f>
        <v/>
      </c>
      <c r="I40" s="2898"/>
      <c r="J40" s="2897" t="str">
        <f>IF(($D40=""),"",IDENTIFICATION!J117)</f>
        <v/>
      </c>
      <c r="K40" s="2898"/>
      <c r="L40" s="982" t="str">
        <f>IF(($D40=""),"",IDENTIFICATION!L117)</f>
        <v/>
      </c>
      <c r="M40" s="982" t="str">
        <f>IF(($D40=""),"",IDENTIFICATION!M117)</f>
        <v/>
      </c>
      <c r="N40" s="2897" t="str">
        <f>IF(($D40=""),"",IDENTIFICATION!N117)</f>
        <v/>
      </c>
      <c r="O40" s="2898"/>
      <c r="P40" s="946"/>
      <c r="Q40" s="2320"/>
      <c r="S40" s="2899"/>
    </row>
    <row r="41" spans="2:19" ht="16.5" customHeight="1" x14ac:dyDescent="0.25">
      <c r="B41" s="2328"/>
      <c r="C41" s="274"/>
      <c r="D41" s="275"/>
      <c r="E41" s="276"/>
      <c r="F41" s="276"/>
      <c r="G41" s="276"/>
      <c r="H41" s="276"/>
      <c r="I41" s="277"/>
      <c r="J41" s="278"/>
      <c r="K41" s="278"/>
      <c r="L41" s="278"/>
      <c r="M41" s="278"/>
      <c r="N41" s="278"/>
      <c r="O41" s="278"/>
      <c r="P41" s="279"/>
      <c r="Q41" s="2320"/>
      <c r="S41" s="2899"/>
    </row>
    <row r="42" spans="2:19" ht="13.5" customHeight="1" thickBot="1" x14ac:dyDescent="0.3">
      <c r="B42" s="2400"/>
      <c r="C42" s="2332"/>
      <c r="D42" s="2332"/>
      <c r="E42" s="2332"/>
      <c r="F42" s="2332"/>
      <c r="G42" s="2332"/>
      <c r="H42" s="2332"/>
      <c r="I42" s="2332"/>
      <c r="J42" s="2332"/>
      <c r="K42" s="2332"/>
      <c r="L42" s="2332"/>
      <c r="M42" s="2332"/>
      <c r="N42" s="2332"/>
      <c r="O42" s="2332"/>
      <c r="P42" s="2332"/>
      <c r="Q42" s="2399"/>
      <c r="S42" s="2899"/>
    </row>
    <row r="43" spans="2:19" ht="10.5" customHeight="1" thickBot="1" x14ac:dyDescent="0.3">
      <c r="S43" s="2899"/>
    </row>
    <row r="44" spans="2:19" ht="12" customHeight="1" x14ac:dyDescent="0.25">
      <c r="B44" s="2340"/>
      <c r="C44" s="2341"/>
      <c r="D44" s="2341"/>
      <c r="E44" s="2342"/>
      <c r="F44" s="2343"/>
      <c r="G44" s="2343"/>
      <c r="H44" s="2343"/>
      <c r="I44" s="2343"/>
      <c r="J44" s="2343"/>
      <c r="K44" s="2343"/>
      <c r="L44" s="2343"/>
      <c r="M44" s="2343"/>
      <c r="N44" s="2343"/>
      <c r="O44" s="2343"/>
      <c r="P44" s="2343"/>
      <c r="Q44" s="2344"/>
      <c r="S44" s="2899"/>
    </row>
    <row r="45" spans="2:19" ht="18" customHeight="1" x14ac:dyDescent="0.25">
      <c r="B45" s="2402"/>
      <c r="C45" s="2346" t="s">
        <v>1744</v>
      </c>
      <c r="D45" s="2346"/>
      <c r="E45" s="2403"/>
      <c r="F45" s="2146"/>
      <c r="G45" s="2146"/>
      <c r="H45" s="2146"/>
      <c r="I45" s="2146"/>
      <c r="J45" s="2146"/>
      <c r="K45" s="2146"/>
      <c r="L45" s="2146"/>
      <c r="M45" s="2146"/>
      <c r="N45" s="2368" t="s">
        <v>59</v>
      </c>
      <c r="O45" s="359" t="str">
        <f>IF(AND(IDENTIFICATION!O70="Complété",IDENTIFICATION!O124="Complété"),"Complété","À compléter")</f>
        <v>À compléter</v>
      </c>
      <c r="P45" s="2146"/>
      <c r="Q45" s="2370"/>
      <c r="S45" s="2899"/>
    </row>
    <row r="46" spans="2:19" ht="7.5" customHeight="1" x14ac:dyDescent="0.25">
      <c r="B46" s="2367"/>
      <c r="C46" s="2369"/>
      <c r="D46" s="2369"/>
      <c r="E46" s="2369"/>
      <c r="F46" s="2146"/>
      <c r="G46" s="2146"/>
      <c r="H46" s="2146"/>
      <c r="I46" s="2146"/>
      <c r="J46" s="2146"/>
      <c r="K46" s="2146"/>
      <c r="L46" s="2146"/>
      <c r="M46" s="2146"/>
      <c r="N46" s="2146"/>
      <c r="O46" s="2146"/>
      <c r="P46" s="2146"/>
      <c r="Q46" s="2370"/>
      <c r="S46" s="2899"/>
    </row>
    <row r="47" spans="2:19" x14ac:dyDescent="0.25">
      <c r="B47" s="2328"/>
      <c r="C47" s="2358" t="s">
        <v>1765</v>
      </c>
      <c r="D47" s="2351"/>
      <c r="E47" s="2319"/>
      <c r="F47" s="2319"/>
      <c r="G47" s="2319"/>
      <c r="H47" s="2319"/>
      <c r="I47" s="2319"/>
      <c r="J47" s="2319"/>
      <c r="K47" s="2319"/>
      <c r="L47" s="2319"/>
      <c r="M47" s="2319"/>
      <c r="N47" s="2319"/>
      <c r="O47" s="2319"/>
      <c r="P47" s="2319"/>
      <c r="Q47" s="2320"/>
      <c r="S47" s="2899"/>
    </row>
    <row r="48" spans="2:19" ht="19.5" customHeight="1" x14ac:dyDescent="0.25">
      <c r="B48" s="2328"/>
      <c r="C48" s="2366" t="s">
        <v>1774</v>
      </c>
      <c r="D48" s="2352"/>
      <c r="E48" s="2319"/>
      <c r="F48" s="2319"/>
      <c r="G48" s="2319"/>
      <c r="H48" s="2319"/>
      <c r="I48" s="2319"/>
      <c r="J48" s="2319"/>
      <c r="K48" s="2319"/>
      <c r="L48" s="2319"/>
      <c r="M48" s="2319"/>
      <c r="N48" s="2319"/>
      <c r="O48" s="2319"/>
      <c r="P48" s="2319"/>
      <c r="Q48" s="2320"/>
      <c r="S48" s="2899"/>
    </row>
    <row r="49" spans="1:19" ht="12" customHeight="1" x14ac:dyDescent="0.25">
      <c r="B49" s="2328"/>
      <c r="C49" s="2351"/>
      <c r="D49" s="2351"/>
      <c r="E49" s="2407"/>
      <c r="F49" s="2407"/>
      <c r="G49" s="2407"/>
      <c r="H49" s="2407"/>
      <c r="I49" s="2407"/>
      <c r="J49" s="2407"/>
      <c r="K49" s="2407"/>
      <c r="L49" s="2407"/>
      <c r="M49" s="2407"/>
      <c r="N49" s="2407"/>
      <c r="O49" s="2407"/>
      <c r="P49" s="2319"/>
      <c r="Q49" s="2320"/>
      <c r="S49" s="2899"/>
    </row>
    <row r="50" spans="1:19" ht="15" customHeight="1" x14ac:dyDescent="0.25">
      <c r="B50" s="2328"/>
      <c r="C50" s="264"/>
      <c r="D50" s="265"/>
      <c r="E50" s="281"/>
      <c r="F50" s="281"/>
      <c r="G50" s="281"/>
      <c r="H50" s="281"/>
      <c r="I50" s="281"/>
      <c r="J50" s="281"/>
      <c r="K50" s="281"/>
      <c r="L50" s="281"/>
      <c r="M50" s="281"/>
      <c r="N50" s="281"/>
      <c r="O50" s="281"/>
      <c r="P50" s="267"/>
      <c r="Q50" s="2320"/>
      <c r="S50" s="2899"/>
    </row>
    <row r="51" spans="1:19" ht="18" customHeight="1" x14ac:dyDescent="0.25">
      <c r="B51" s="2365"/>
      <c r="C51" s="104"/>
      <c r="D51" s="941" t="s">
        <v>1758</v>
      </c>
      <c r="E51" s="983" t="str">
        <f>IF(ISBLANK(IDENTIFICATION!E75),"",IDENTIFICATION!E75)</f>
        <v/>
      </c>
      <c r="F51" s="944" t="s">
        <v>1772</v>
      </c>
      <c r="G51" s="945"/>
      <c r="H51" s="945"/>
      <c r="I51" s="945"/>
      <c r="J51" s="945"/>
      <c r="K51" s="945"/>
      <c r="L51" s="271"/>
      <c r="M51" s="271"/>
      <c r="N51" s="271"/>
      <c r="O51" s="271"/>
      <c r="P51" s="272"/>
      <c r="Q51" s="2320"/>
      <c r="S51" s="2899"/>
    </row>
    <row r="52" spans="1:19" ht="10.5" customHeight="1" x14ac:dyDescent="0.25">
      <c r="B52" s="2328"/>
      <c r="C52" s="104"/>
      <c r="D52" s="309"/>
      <c r="E52" s="309"/>
      <c r="F52" s="271"/>
      <c r="G52" s="271"/>
      <c r="H52" s="271"/>
      <c r="I52" s="271"/>
      <c r="J52" s="271"/>
      <c r="K52" s="271"/>
      <c r="L52" s="271"/>
      <c r="M52" s="271"/>
      <c r="N52" s="271"/>
      <c r="O52" s="271"/>
      <c r="P52" s="272"/>
      <c r="Q52" s="2320"/>
      <c r="S52" s="2899"/>
    </row>
    <row r="53" spans="1:19" ht="18" customHeight="1" x14ac:dyDescent="0.25">
      <c r="B53" s="2365"/>
      <c r="C53" s="104"/>
      <c r="D53" s="943" t="s">
        <v>1759</v>
      </c>
      <c r="E53" s="983" t="str">
        <f>IF(ISBLANK(IDENTIFICATION!E77),"",IDENTIFICATION!E77)</f>
        <v/>
      </c>
      <c r="F53" s="942" t="s">
        <v>1771</v>
      </c>
      <c r="H53" s="271"/>
      <c r="I53" s="271"/>
      <c r="J53" s="271"/>
      <c r="K53" s="271"/>
      <c r="L53" s="271"/>
      <c r="M53" s="271"/>
      <c r="N53" s="271"/>
      <c r="O53" s="271"/>
      <c r="P53" s="272"/>
      <c r="Q53" s="2320"/>
      <c r="S53" s="2899"/>
    </row>
    <row r="54" spans="1:19" ht="15.75" customHeight="1" x14ac:dyDescent="0.25">
      <c r="B54" s="2328"/>
      <c r="C54" s="308"/>
      <c r="D54" s="309"/>
      <c r="E54" s="271"/>
      <c r="F54" s="271"/>
      <c r="G54" s="271"/>
      <c r="H54" s="271"/>
      <c r="I54" s="271"/>
      <c r="J54" s="271"/>
      <c r="K54" s="271"/>
      <c r="L54" s="271"/>
      <c r="M54" s="271"/>
      <c r="N54" s="271"/>
      <c r="O54" s="271"/>
      <c r="P54" s="272"/>
      <c r="Q54" s="2320"/>
      <c r="S54" s="2899"/>
    </row>
    <row r="55" spans="1:19" ht="19.5" customHeight="1" x14ac:dyDescent="0.25">
      <c r="B55" s="2365"/>
      <c r="C55" s="2876" t="s">
        <v>1769</v>
      </c>
      <c r="D55" s="2877"/>
      <c r="E55" s="3231" t="str">
        <f>IF(ISBLANK(IDENTIFICATION!J131),"",IDENTIFICATION!J131)</f>
        <v/>
      </c>
      <c r="F55" s="3232"/>
      <c r="G55" s="2862" t="s">
        <v>2013</v>
      </c>
      <c r="H55" s="2862"/>
      <c r="I55" s="3222"/>
      <c r="J55" s="3223"/>
      <c r="K55" s="3223"/>
      <c r="L55" s="3223"/>
      <c r="M55" s="3223"/>
      <c r="N55" s="3223"/>
      <c r="O55" s="3224"/>
      <c r="P55" s="617"/>
      <c r="Q55" s="2320"/>
      <c r="S55" s="2899"/>
    </row>
    <row r="56" spans="1:19" ht="14.25" customHeight="1" x14ac:dyDescent="0.25">
      <c r="B56" s="2328"/>
      <c r="C56" s="935"/>
      <c r="D56" s="936"/>
      <c r="E56" s="273"/>
      <c r="F56" s="273"/>
      <c r="G56" s="2862"/>
      <c r="H56" s="2862"/>
      <c r="I56" s="3225"/>
      <c r="J56" s="3226"/>
      <c r="K56" s="3226"/>
      <c r="L56" s="3226"/>
      <c r="M56" s="3226"/>
      <c r="N56" s="3226"/>
      <c r="O56" s="3227"/>
      <c r="P56" s="272"/>
      <c r="Q56" s="2320"/>
      <c r="S56" s="2899"/>
    </row>
    <row r="57" spans="1:19" ht="19.5" customHeight="1" x14ac:dyDescent="0.25">
      <c r="B57" s="2328"/>
      <c r="C57" s="2876" t="s">
        <v>1770</v>
      </c>
      <c r="D57" s="2877"/>
      <c r="E57" s="3231" t="str">
        <f>IF(ISBLANK(IDENTIFICATION!J133),"",IDENTIFICATION!J133)</f>
        <v/>
      </c>
      <c r="F57" s="3232"/>
      <c r="G57" s="2862"/>
      <c r="H57" s="2862"/>
      <c r="I57" s="3225"/>
      <c r="J57" s="3226"/>
      <c r="K57" s="3226"/>
      <c r="L57" s="3226"/>
      <c r="M57" s="3226"/>
      <c r="N57" s="3226"/>
      <c r="O57" s="3227"/>
      <c r="P57" s="272"/>
      <c r="Q57" s="2320"/>
      <c r="S57" s="2899"/>
    </row>
    <row r="58" spans="1:19" ht="19.5" customHeight="1" x14ac:dyDescent="0.25">
      <c r="B58" s="2328"/>
      <c r="C58" s="938"/>
      <c r="D58" s="936"/>
      <c r="E58" s="3231" t="str">
        <f>IF(ISBLANK(IDENTIFICATION!J134),"",IDENTIFICATION!J134)</f>
        <v/>
      </c>
      <c r="F58" s="3232"/>
      <c r="G58" s="288"/>
      <c r="H58" s="984"/>
      <c r="I58" s="3225"/>
      <c r="J58" s="3226"/>
      <c r="K58" s="3226"/>
      <c r="L58" s="3226"/>
      <c r="M58" s="3226"/>
      <c r="N58" s="3226"/>
      <c r="O58" s="3227"/>
      <c r="P58" s="272"/>
      <c r="Q58" s="2320"/>
      <c r="S58" s="2899"/>
    </row>
    <row r="59" spans="1:19" ht="19.5" customHeight="1" x14ac:dyDescent="0.25">
      <c r="B59" s="2328"/>
      <c r="C59" s="918"/>
      <c r="D59" s="974"/>
      <c r="E59" s="3231" t="str">
        <f>IF(ISBLANK(IDENTIFICATION!J135),"",IDENTIFICATION!J135)</f>
        <v/>
      </c>
      <c r="F59" s="3232"/>
      <c r="G59" s="288"/>
      <c r="H59" s="984"/>
      <c r="I59" s="3225"/>
      <c r="J59" s="3226"/>
      <c r="K59" s="3226"/>
      <c r="L59" s="3226"/>
      <c r="M59" s="3226"/>
      <c r="N59" s="3226"/>
      <c r="O59" s="3227"/>
      <c r="P59" s="617"/>
      <c r="Q59" s="2320"/>
      <c r="S59" s="2899"/>
    </row>
    <row r="60" spans="1:19" ht="17.25" customHeight="1" x14ac:dyDescent="0.25">
      <c r="B60" s="2328"/>
      <c r="C60" s="918"/>
      <c r="D60" s="939"/>
      <c r="E60" s="3231" t="str">
        <f>IF(ISBLANK(IDENTIFICATION!J136),"",IDENTIFICATION!J136)</f>
        <v/>
      </c>
      <c r="F60" s="3232"/>
      <c r="G60" s="288"/>
      <c r="H60" s="984"/>
      <c r="I60" s="3228"/>
      <c r="J60" s="3229"/>
      <c r="K60" s="3229"/>
      <c r="L60" s="3229"/>
      <c r="M60" s="3229"/>
      <c r="N60" s="3229"/>
      <c r="O60" s="3230"/>
      <c r="P60" s="617"/>
      <c r="Q60" s="2320"/>
      <c r="S60" s="2899"/>
    </row>
    <row r="61" spans="1:19" ht="17.25" customHeight="1" x14ac:dyDescent="0.25">
      <c r="B61" s="2328"/>
      <c r="C61" s="282"/>
      <c r="D61" s="283"/>
      <c r="E61" s="278"/>
      <c r="F61" s="289"/>
      <c r="G61" s="278"/>
      <c r="H61" s="289"/>
      <c r="I61" s="277"/>
      <c r="J61" s="278"/>
      <c r="K61" s="289"/>
      <c r="L61" s="278"/>
      <c r="M61" s="289"/>
      <c r="N61" s="278"/>
      <c r="O61" s="289"/>
      <c r="P61" s="279"/>
      <c r="Q61" s="2320"/>
      <c r="S61" s="2899"/>
    </row>
    <row r="62" spans="1:19" ht="13.5" customHeight="1" thickBot="1" x14ac:dyDescent="0.3">
      <c r="B62" s="2400"/>
      <c r="C62" s="2332"/>
      <c r="D62" s="2332"/>
      <c r="E62" s="2332"/>
      <c r="F62" s="2332"/>
      <c r="G62" s="2332"/>
      <c r="H62" s="2332"/>
      <c r="I62" s="2332"/>
      <c r="J62" s="2332"/>
      <c r="K62" s="2332"/>
      <c r="L62" s="2332"/>
      <c r="M62" s="2332"/>
      <c r="N62" s="2332"/>
      <c r="O62" s="2332"/>
      <c r="P62" s="2332"/>
      <c r="Q62" s="2399"/>
      <c r="S62" s="2904"/>
    </row>
    <row r="63" spans="1:19" ht="10.5" customHeight="1" thickBot="1" x14ac:dyDescent="0.3">
      <c r="B63" s="699"/>
      <c r="S63" s="627"/>
    </row>
    <row r="64" spans="1:19" ht="22.5" customHeight="1" thickBot="1" x14ac:dyDescent="0.3">
      <c r="A64" s="1225"/>
      <c r="B64" s="2134" t="s">
        <v>66</v>
      </c>
      <c r="C64" s="2134"/>
      <c r="D64" s="2134"/>
      <c r="E64" s="2134"/>
      <c r="F64" s="2134"/>
      <c r="G64" s="2134"/>
      <c r="H64" s="2134"/>
      <c r="I64" s="2134"/>
      <c r="J64" s="2134"/>
      <c r="K64" s="2134"/>
      <c r="L64" s="2339"/>
      <c r="M64" s="2339"/>
      <c r="N64" s="2339"/>
      <c r="O64" s="3435" t="s">
        <v>1641</v>
      </c>
      <c r="P64" s="3435"/>
      <c r="Q64" s="3435"/>
      <c r="S64" s="628" t="s">
        <v>1537</v>
      </c>
    </row>
    <row r="65" spans="2:19" ht="9.75" customHeight="1" thickBot="1" x14ac:dyDescent="0.3">
      <c r="S65" s="629"/>
    </row>
    <row r="66" spans="2:19" ht="8.25" customHeight="1" x14ac:dyDescent="0.25">
      <c r="B66" s="2340"/>
      <c r="C66" s="2341"/>
      <c r="D66" s="2341"/>
      <c r="E66" s="2342"/>
      <c r="F66" s="2343"/>
      <c r="G66" s="2343"/>
      <c r="H66" s="2343"/>
      <c r="I66" s="2343"/>
      <c r="J66" s="2343"/>
      <c r="K66" s="2343"/>
      <c r="L66" s="2343"/>
      <c r="M66" s="2343"/>
      <c r="N66" s="2343"/>
      <c r="O66" s="2343"/>
      <c r="P66" s="2343"/>
      <c r="Q66" s="2344"/>
      <c r="S66" s="2900"/>
    </row>
    <row r="67" spans="2:19" ht="18" customHeight="1" x14ac:dyDescent="0.25">
      <c r="B67" s="2345"/>
      <c r="C67" s="2346" t="s">
        <v>67</v>
      </c>
      <c r="D67" s="2346"/>
      <c r="E67" s="2390"/>
      <c r="F67" s="2347"/>
      <c r="G67" s="2348"/>
      <c r="H67" s="2348"/>
      <c r="I67" s="2348"/>
      <c r="J67" s="2348"/>
      <c r="K67" s="2348"/>
      <c r="L67" s="2735" t="str">
        <f>IF((COUNTBLANK(B72:B115)=ROWS(B72:B115)),"Complété","À compléter")</f>
        <v>À compléter</v>
      </c>
      <c r="M67" s="2735" t="str">
        <f>IF((COUNTBLANK(B72:B166)=ROWS(B72:B166)),"Complété","À compléter")</f>
        <v>À compléter</v>
      </c>
      <c r="N67" s="2368" t="s">
        <v>59</v>
      </c>
      <c r="O67" s="359" t="str">
        <f>IF($M$73='MENU DÉROULANT'!$C$63,'FORMULAIRE PGA Eaux pluviales '!L67,'FORMULAIRE PGA Eaux pluviales '!M67)</f>
        <v>À compléter</v>
      </c>
      <c r="P67" s="2348"/>
      <c r="Q67" s="2349"/>
      <c r="S67" s="2899"/>
    </row>
    <row r="68" spans="2:19" ht="6.75" customHeight="1" x14ac:dyDescent="0.25">
      <c r="B68" s="2345"/>
      <c r="C68" s="2347"/>
      <c r="D68" s="2347"/>
      <c r="E68" s="2347"/>
      <c r="F68" s="2348"/>
      <c r="G68" s="2348"/>
      <c r="H68" s="2348"/>
      <c r="I68" s="2348"/>
      <c r="J68" s="2348"/>
      <c r="K68" s="2348"/>
      <c r="L68" s="2348"/>
      <c r="M68" s="2348"/>
      <c r="N68" s="2348"/>
      <c r="O68" s="2348"/>
      <c r="P68" s="2348"/>
      <c r="Q68" s="2349"/>
      <c r="S68" s="2899"/>
    </row>
    <row r="69" spans="2:19" ht="17.25" customHeight="1" x14ac:dyDescent="0.25">
      <c r="B69" s="2367"/>
      <c r="C69" s="3417" t="s">
        <v>1590</v>
      </c>
      <c r="D69" s="3417"/>
      <c r="E69" s="3417"/>
      <c r="F69" s="3417"/>
      <c r="G69" s="3417"/>
      <c r="H69" s="3417"/>
      <c r="I69" s="3417"/>
      <c r="J69" s="3417"/>
      <c r="K69" s="3417"/>
      <c r="L69" s="3417"/>
      <c r="M69" s="3417"/>
      <c r="N69" s="2146"/>
      <c r="O69" s="2146"/>
      <c r="P69" s="2146"/>
      <c r="Q69" s="2370"/>
      <c r="S69" s="2899"/>
    </row>
    <row r="70" spans="2:19" ht="9.75" customHeight="1" x14ac:dyDescent="0.25">
      <c r="B70" s="2367"/>
      <c r="C70" s="2369"/>
      <c r="D70" s="2369"/>
      <c r="E70" s="2369"/>
      <c r="F70" s="2146"/>
      <c r="G70" s="2146"/>
      <c r="H70" s="2146"/>
      <c r="I70" s="2146"/>
      <c r="J70" s="2146"/>
      <c r="K70" s="2146"/>
      <c r="L70" s="2146"/>
      <c r="M70" s="2146"/>
      <c r="N70" s="2146"/>
      <c r="O70" s="2146"/>
      <c r="P70" s="2146"/>
      <c r="Q70" s="2370"/>
      <c r="S70" s="2899"/>
    </row>
    <row r="71" spans="2:19" ht="18.75" customHeight="1" x14ac:dyDescent="0.25">
      <c r="B71" s="2328"/>
      <c r="C71" s="2404" t="s">
        <v>2015</v>
      </c>
      <c r="D71" s="2351"/>
      <c r="E71" s="2319"/>
      <c r="F71" s="2319"/>
      <c r="G71" s="2319"/>
      <c r="H71" s="2319"/>
      <c r="I71" s="2319"/>
      <c r="J71" s="2319"/>
      <c r="K71" s="2319"/>
      <c r="L71" s="2319"/>
      <c r="M71" s="2319"/>
      <c r="N71" s="2319"/>
      <c r="O71" s="2319"/>
      <c r="P71" s="2319"/>
      <c r="Q71" s="2320"/>
      <c r="S71" s="2899"/>
    </row>
    <row r="72" spans="2:19" ht="42" customHeight="1" x14ac:dyDescent="0.25">
      <c r="B72" s="2328"/>
      <c r="C72" s="3423" t="s">
        <v>2139</v>
      </c>
      <c r="D72" s="3423"/>
      <c r="E72" s="3423"/>
      <c r="F72" s="3423"/>
      <c r="G72" s="3423"/>
      <c r="H72" s="3423"/>
      <c r="I72" s="3423"/>
      <c r="J72" s="3423"/>
      <c r="K72" s="3423"/>
      <c r="L72" s="3424" t="s">
        <v>2138</v>
      </c>
      <c r="M72" s="3425"/>
      <c r="N72" s="3425"/>
      <c r="O72" s="3425"/>
      <c r="P72" s="2535"/>
      <c r="Q72" s="2320"/>
      <c r="S72" s="2899"/>
    </row>
    <row r="73" spans="2:19" ht="45.75" customHeight="1" x14ac:dyDescent="0.25">
      <c r="B73" s="2365" t="str">
        <f>IF(ISBLANK(M73)=FALSE,"","u")</f>
        <v>u</v>
      </c>
      <c r="C73" s="3423"/>
      <c r="D73" s="3423"/>
      <c r="E73" s="3423"/>
      <c r="F73" s="3423"/>
      <c r="G73" s="3423"/>
      <c r="H73" s="3423"/>
      <c r="I73" s="3423"/>
      <c r="J73" s="3423"/>
      <c r="K73" s="3423"/>
      <c r="L73" s="2536"/>
      <c r="M73" s="3426"/>
      <c r="N73" s="3427"/>
      <c r="O73" s="3428"/>
      <c r="P73" s="2537"/>
      <c r="Q73" s="2320"/>
      <c r="S73" s="2899"/>
    </row>
    <row r="74" spans="2:19" ht="15.75" customHeight="1" x14ac:dyDescent="0.25">
      <c r="B74" s="2328"/>
      <c r="C74" s="3436" t="s">
        <v>1593</v>
      </c>
      <c r="D74" s="3436"/>
      <c r="E74" s="2538" t="s">
        <v>278</v>
      </c>
      <c r="F74" s="2539"/>
      <c r="G74" s="2539"/>
      <c r="H74" s="2539"/>
      <c r="I74" s="2539"/>
      <c r="J74" s="2539"/>
      <c r="K74" s="2539"/>
      <c r="L74" s="3429" t="str">
        <f>IF((M73='MENU DÉROULANT'!C63),"Notez que dans ce cas vous n'avez pas à remplir les parties du formulaire associées au sous-service Traitement et n'obtiendrai pas non plus de visuels dans le sommaire pour ce sous-service.","")</f>
        <v/>
      </c>
      <c r="M74" s="3430"/>
      <c r="N74" s="3430"/>
      <c r="O74" s="3430"/>
      <c r="P74" s="3431"/>
      <c r="Q74" s="2320"/>
      <c r="S74" s="2899"/>
    </row>
    <row r="75" spans="2:19" ht="15.75" customHeight="1" x14ac:dyDescent="0.25">
      <c r="B75" s="2328"/>
      <c r="C75" s="2540"/>
      <c r="D75" s="2541"/>
      <c r="E75" s="2538" t="s">
        <v>279</v>
      </c>
      <c r="F75" s="2539"/>
      <c r="G75" s="2539"/>
      <c r="H75" s="2539"/>
      <c r="I75" s="2539"/>
      <c r="J75" s="2539"/>
      <c r="K75" s="2539"/>
      <c r="L75" s="3429"/>
      <c r="M75" s="3430"/>
      <c r="N75" s="3430"/>
      <c r="O75" s="3430"/>
      <c r="P75" s="3431"/>
      <c r="Q75" s="2320"/>
      <c r="S75" s="2899"/>
    </row>
    <row r="76" spans="2:19" ht="15.75" customHeight="1" x14ac:dyDescent="0.25">
      <c r="B76" s="2328"/>
      <c r="C76" s="2540"/>
      <c r="D76" s="2541"/>
      <c r="E76" s="2538" t="s">
        <v>277</v>
      </c>
      <c r="F76" s="2539"/>
      <c r="G76" s="2539"/>
      <c r="H76" s="2539"/>
      <c r="I76" s="2539"/>
      <c r="J76" s="2539"/>
      <c r="K76" s="2539"/>
      <c r="L76" s="3432"/>
      <c r="M76" s="3433"/>
      <c r="N76" s="3433"/>
      <c r="O76" s="3433"/>
      <c r="P76" s="3434"/>
      <c r="Q76" s="2320"/>
      <c r="S76" s="2899"/>
    </row>
    <row r="77" spans="2:19" ht="12.75" customHeight="1" x14ac:dyDescent="0.25">
      <c r="B77" s="2328"/>
      <c r="C77" s="2542"/>
      <c r="D77" s="2542"/>
      <c r="E77" s="2539"/>
      <c r="F77" s="2539"/>
      <c r="G77" s="2539"/>
      <c r="H77" s="2539"/>
      <c r="I77" s="2539"/>
      <c r="J77" s="2539"/>
      <c r="K77" s="2539"/>
      <c r="L77" s="2319"/>
      <c r="M77" s="2319"/>
      <c r="N77" s="2319"/>
      <c r="O77" s="2319"/>
      <c r="P77" s="2319"/>
      <c r="Q77" s="2320"/>
      <c r="S77" s="2899"/>
    </row>
    <row r="78" spans="2:19" ht="12.75" customHeight="1" x14ac:dyDescent="0.25">
      <c r="B78" s="2328"/>
      <c r="C78" s="264"/>
      <c r="D78" s="265"/>
      <c r="E78" s="266"/>
      <c r="F78" s="266"/>
      <c r="G78" s="266"/>
      <c r="H78" s="266"/>
      <c r="I78" s="266"/>
      <c r="J78" s="266"/>
      <c r="K78" s="266"/>
      <c r="L78" s="266"/>
      <c r="M78" s="266"/>
      <c r="N78" s="266"/>
      <c r="O78" s="266"/>
      <c r="P78" s="267"/>
      <c r="Q78" s="2320"/>
      <c r="S78" s="2899"/>
    </row>
    <row r="79" spans="2:19" ht="3.75" customHeight="1" x14ac:dyDescent="0.25">
      <c r="B79" s="2328"/>
      <c r="C79" s="2984" t="s">
        <v>2016</v>
      </c>
      <c r="P79" s="272"/>
      <c r="Q79" s="2320"/>
      <c r="S79" s="2899"/>
    </row>
    <row r="80" spans="2:19" ht="9" customHeight="1" x14ac:dyDescent="0.25">
      <c r="B80" s="2328"/>
      <c r="C80" s="2984"/>
      <c r="D80" s="2987" t="s">
        <v>2027</v>
      </c>
      <c r="E80" s="2987"/>
      <c r="F80" s="2987"/>
      <c r="G80" s="2987"/>
      <c r="P80" s="272"/>
      <c r="Q80" s="2320"/>
      <c r="S80" s="2899"/>
    </row>
    <row r="81" spans="2:20" ht="18" customHeight="1" x14ac:dyDescent="0.25">
      <c r="B81" s="2365" t="str">
        <f>IF(ISBLANK(H81)=FALSE,"","u")</f>
        <v>u</v>
      </c>
      <c r="C81" s="2984"/>
      <c r="D81" s="2987"/>
      <c r="E81" s="2987"/>
      <c r="F81" s="2987"/>
      <c r="G81" s="2987"/>
      <c r="H81" s="2988"/>
      <c r="I81" s="2989"/>
      <c r="J81" s="2989"/>
      <c r="K81" s="2989"/>
      <c r="L81" s="2989"/>
      <c r="M81" s="2990"/>
      <c r="O81" s="1048" t="str">
        <f>IF(ISNA(VLOOKUP(H81,'MENU DÉROULANT'!C28:H32,6,FALSE)),"",VLOOKUP(H81,'MENU DÉROULANT'!C28:H32,6,FALSE))</f>
        <v/>
      </c>
      <c r="P81" s="272"/>
      <c r="Q81" s="2320"/>
      <c r="S81" s="2899"/>
    </row>
    <row r="82" spans="2:20" ht="30.75" customHeight="1" x14ac:dyDescent="0.25">
      <c r="B82" s="2328"/>
      <c r="C82" s="2984"/>
      <c r="D82" s="659"/>
      <c r="E82" s="659"/>
      <c r="F82" s="659"/>
      <c r="G82" s="659"/>
      <c r="H82" s="2991" t="str">
        <f>IF(H81='MENU DÉROULANT'!C28,"Notez que toutes les sections concernant ce sous-service ne seront donc pas remplies et qu'il n'y aura donc pas de visuel dans le sommaire pour ce sous-service. Une note apparaitra toutefois à ce sujet sur le sommaire.","")</f>
        <v/>
      </c>
      <c r="I82" s="2991"/>
      <c r="J82" s="2991"/>
      <c r="K82" s="2991"/>
      <c r="L82" s="2991"/>
      <c r="M82" s="2991"/>
      <c r="P82" s="272"/>
      <c r="Q82" s="2320"/>
      <c r="S82" s="2899"/>
    </row>
    <row r="83" spans="2:20" ht="9.75" customHeight="1" x14ac:dyDescent="0.25">
      <c r="B83" s="2328"/>
      <c r="C83" s="2984"/>
      <c r="P83" s="272"/>
      <c r="Q83" s="2320"/>
      <c r="S83" s="2899"/>
    </row>
    <row r="84" spans="2:20" ht="27" customHeight="1" x14ac:dyDescent="0.25">
      <c r="B84" s="2328"/>
      <c r="C84" s="2984"/>
      <c r="F84" s="2939" t="s">
        <v>130</v>
      </c>
      <c r="G84" s="2939"/>
      <c r="H84" s="2828"/>
      <c r="I84" s="2860"/>
      <c r="J84" s="2860"/>
      <c r="K84" s="2860"/>
      <c r="L84" s="2860"/>
      <c r="M84" s="2829"/>
      <c r="P84" s="272"/>
      <c r="Q84" s="2320"/>
      <c r="S84" s="2899"/>
    </row>
    <row r="85" spans="2:20" ht="15" customHeight="1" x14ac:dyDescent="0.25">
      <c r="B85" s="2328"/>
      <c r="C85" s="2984"/>
      <c r="D85" s="517"/>
      <c r="E85" s="517"/>
      <c r="F85" s="517"/>
      <c r="G85" s="517"/>
      <c r="H85" s="517"/>
      <c r="I85" s="517"/>
      <c r="J85" s="517"/>
      <c r="K85" s="517"/>
      <c r="L85" s="517"/>
      <c r="M85" s="517"/>
      <c r="N85" s="517"/>
      <c r="O85" s="517"/>
      <c r="P85" s="272"/>
      <c r="Q85" s="2320"/>
      <c r="S85" s="2899"/>
    </row>
    <row r="86" spans="2:20" ht="12.75" customHeight="1" x14ac:dyDescent="0.25">
      <c r="B86" s="2328"/>
      <c r="C86" s="385"/>
      <c r="P86" s="272"/>
      <c r="Q86" s="2320"/>
      <c r="S86" s="2899"/>
    </row>
    <row r="87" spans="2:20" ht="27" customHeight="1" x14ac:dyDescent="0.25">
      <c r="B87" s="2328"/>
      <c r="C87" s="385"/>
      <c r="D87" s="675" t="s">
        <v>69</v>
      </c>
      <c r="E87" s="457" t="s">
        <v>2029</v>
      </c>
      <c r="F87" s="85"/>
      <c r="G87" s="85"/>
      <c r="H87" s="85"/>
      <c r="I87" s="85"/>
      <c r="J87" s="2939" t="s">
        <v>1468</v>
      </c>
      <c r="K87" s="2939"/>
      <c r="L87" s="2985"/>
      <c r="M87" s="2828"/>
      <c r="N87" s="2860"/>
      <c r="O87" s="2829"/>
      <c r="P87" s="272"/>
      <c r="Q87" s="2320"/>
      <c r="S87" s="2899"/>
    </row>
    <row r="88" spans="2:20" ht="17.25" customHeight="1" x14ac:dyDescent="0.25">
      <c r="B88" s="2328"/>
      <c r="C88" s="385"/>
      <c r="D88" s="382"/>
      <c r="E88" s="456"/>
      <c r="F88" s="85"/>
      <c r="G88" s="85"/>
      <c r="H88" s="85"/>
      <c r="I88" s="85"/>
      <c r="J88" s="85"/>
      <c r="K88" s="85"/>
      <c r="L88" s="85"/>
      <c r="M88" s="85"/>
      <c r="N88" s="85"/>
      <c r="O88" s="451"/>
      <c r="P88" s="272"/>
      <c r="Q88" s="2320"/>
      <c r="S88" s="2899"/>
    </row>
    <row r="89" spans="2:20" ht="18" customHeight="1" x14ac:dyDescent="0.25">
      <c r="B89" s="2365" t="str">
        <f>IF(OR(O81=1,O81=3),"",IF(OR(ISBLANK(G89),ISBLANK(J89),ISBLANK(K89),ISBLANK(L89),ISBLANK(M89),ISBLANK(N89))=FALSE,"","u"))</f>
        <v>u</v>
      </c>
      <c r="C89" s="385"/>
      <c r="D89" s="297"/>
      <c r="F89" s="298" t="s">
        <v>70</v>
      </c>
      <c r="G89" s="574"/>
      <c r="H89" s="2939" t="s">
        <v>282</v>
      </c>
      <c r="I89" s="2939"/>
      <c r="J89" s="578"/>
      <c r="K89" s="578"/>
      <c r="L89" s="578"/>
      <c r="M89" s="578"/>
      <c r="N89" s="578"/>
      <c r="O89" s="730">
        <f>1-J89-K89-L89-M89-N89</f>
        <v>1</v>
      </c>
      <c r="P89" s="617"/>
      <c r="Q89" s="2320"/>
      <c r="S89" s="2899"/>
    </row>
    <row r="90" spans="2:20" ht="6.75" customHeight="1" x14ac:dyDescent="0.25">
      <c r="B90" s="2328"/>
      <c r="C90" s="385"/>
      <c r="D90" s="297"/>
      <c r="E90" s="85"/>
      <c r="F90" s="85"/>
      <c r="G90" s="85"/>
      <c r="H90" s="2939"/>
      <c r="I90" s="2939"/>
      <c r="J90" s="85"/>
      <c r="K90" s="85"/>
      <c r="L90" s="85"/>
      <c r="M90" s="85"/>
      <c r="N90" s="85"/>
      <c r="O90" s="85"/>
      <c r="P90" s="272"/>
      <c r="Q90" s="2320"/>
      <c r="S90" s="2899"/>
    </row>
    <row r="91" spans="2:20" ht="17.25" customHeight="1" x14ac:dyDescent="0.25">
      <c r="B91" s="2365" t="str">
        <f>IF(OR(O81=1,O81=3),"",IF(ISBLANK(G91)=FALSE,"","u"))</f>
        <v>u</v>
      </c>
      <c r="C91" s="385"/>
      <c r="D91" s="297"/>
      <c r="E91" s="658"/>
      <c r="F91" s="299" t="s">
        <v>71</v>
      </c>
      <c r="G91" s="575"/>
      <c r="H91" s="271"/>
      <c r="I91" s="271"/>
      <c r="J91" s="300" t="s">
        <v>72</v>
      </c>
      <c r="K91" s="300" t="s">
        <v>73</v>
      </c>
      <c r="L91" s="300" t="s">
        <v>74</v>
      </c>
      <c r="M91" s="300" t="s">
        <v>75</v>
      </c>
      <c r="N91" s="87" t="s">
        <v>76</v>
      </c>
      <c r="O91" s="87" t="s">
        <v>35</v>
      </c>
      <c r="P91" s="617"/>
      <c r="Q91" s="2320"/>
      <c r="S91" s="2899"/>
    </row>
    <row r="92" spans="2:20" ht="9" customHeight="1" x14ac:dyDescent="0.25">
      <c r="B92" s="2365"/>
      <c r="C92" s="385"/>
      <c r="D92" s="297"/>
      <c r="E92" s="658"/>
      <c r="F92" s="299"/>
      <c r="G92" s="685"/>
      <c r="H92" s="271"/>
      <c r="I92" s="271"/>
      <c r="J92" s="300"/>
      <c r="K92" s="300"/>
      <c r="L92" s="300"/>
      <c r="M92" s="300"/>
      <c r="N92" s="87"/>
      <c r="O92" s="87"/>
      <c r="P92" s="617"/>
      <c r="Q92" s="2320"/>
      <c r="S92" s="2899"/>
    </row>
    <row r="93" spans="2:20" ht="27" customHeight="1" x14ac:dyDescent="0.25">
      <c r="B93" s="2365"/>
      <c r="C93" s="385"/>
      <c r="D93" s="297"/>
      <c r="E93" s="658"/>
      <c r="F93" s="299"/>
      <c r="G93" s="501"/>
      <c r="H93" s="2939" t="s">
        <v>130</v>
      </c>
      <c r="I93" s="2939"/>
      <c r="J93" s="2828"/>
      <c r="K93" s="2860"/>
      <c r="L93" s="2860"/>
      <c r="M93" s="2860"/>
      <c r="N93" s="2860"/>
      <c r="O93" s="2829"/>
      <c r="P93" s="617"/>
      <c r="Q93" s="2320"/>
      <c r="S93" s="2899"/>
    </row>
    <row r="94" spans="2:20" ht="15" customHeight="1" x14ac:dyDescent="0.25">
      <c r="B94" s="2328"/>
      <c r="C94" s="385"/>
      <c r="D94" s="301"/>
      <c r="E94" s="278"/>
      <c r="F94" s="289"/>
      <c r="G94" s="278"/>
      <c r="H94" s="289"/>
      <c r="I94" s="277"/>
      <c r="J94" s="278"/>
      <c r="K94" s="289"/>
      <c r="L94" s="278"/>
      <c r="M94" s="289"/>
      <c r="N94" s="278"/>
      <c r="O94" s="289"/>
      <c r="P94" s="617"/>
      <c r="Q94" s="2320"/>
      <c r="S94" s="2899"/>
    </row>
    <row r="95" spans="2:20" ht="12.75" customHeight="1" x14ac:dyDescent="0.25">
      <c r="B95" s="2328"/>
      <c r="C95" s="639"/>
      <c r="D95" s="297"/>
      <c r="E95" s="658"/>
      <c r="F95" s="615"/>
      <c r="G95" s="658"/>
      <c r="H95" s="615"/>
      <c r="I95" s="55"/>
      <c r="J95" s="658"/>
      <c r="K95" s="615"/>
      <c r="L95" s="658"/>
      <c r="M95" s="615"/>
      <c r="N95" s="658"/>
      <c r="O95" s="615"/>
      <c r="P95" s="617"/>
      <c r="Q95" s="2320"/>
      <c r="S95" s="2899"/>
    </row>
    <row r="96" spans="2:20" ht="27" customHeight="1" x14ac:dyDescent="0.25">
      <c r="B96" s="2328"/>
      <c r="C96" s="385"/>
      <c r="D96" s="675" t="s">
        <v>77</v>
      </c>
      <c r="E96" s="457" t="s">
        <v>2031</v>
      </c>
      <c r="F96" s="85"/>
      <c r="G96" s="85"/>
      <c r="H96" s="85"/>
      <c r="I96" s="85"/>
      <c r="J96" s="2939" t="s">
        <v>1468</v>
      </c>
      <c r="K96" s="2939"/>
      <c r="L96" s="2985"/>
      <c r="M96" s="2828"/>
      <c r="N96" s="2860"/>
      <c r="O96" s="2829"/>
      <c r="P96" s="272"/>
      <c r="Q96" s="2320"/>
      <c r="S96" s="2899"/>
      <c r="T96" s="302"/>
    </row>
    <row r="97" spans="2:21" ht="17.25" customHeight="1" x14ac:dyDescent="0.25">
      <c r="B97" s="2328"/>
      <c r="C97" s="385"/>
      <c r="D97" s="381"/>
      <c r="E97" s="384"/>
      <c r="F97" s="85"/>
      <c r="G97" s="85"/>
      <c r="H97" s="85"/>
      <c r="I97" s="85"/>
      <c r="J97" s="85"/>
      <c r="K97" s="85"/>
      <c r="L97" s="85"/>
      <c r="M97" s="85"/>
      <c r="N97" s="85"/>
      <c r="O97" s="451"/>
      <c r="P97" s="272"/>
      <c r="Q97" s="2320"/>
      <c r="S97" s="2899"/>
      <c r="T97" s="302"/>
    </row>
    <row r="98" spans="2:21" ht="18" customHeight="1" x14ac:dyDescent="0.25">
      <c r="B98" s="2365" t="str">
        <f>IF(OR(O81=1,O81=2),"",IF(OR(ISBLANK(G98),ISBLANK(J98),ISBLANK(K98),ISBLANK(L98),ISBLANK(M98),ISBLANK(N98))=FALSE,"","u"))</f>
        <v>u</v>
      </c>
      <c r="C98" s="385"/>
      <c r="D98" s="297"/>
      <c r="F98" s="298" t="s">
        <v>283</v>
      </c>
      <c r="G98" s="574"/>
      <c r="H98" s="2939" t="s">
        <v>282</v>
      </c>
      <c r="I98" s="2939"/>
      <c r="J98" s="578"/>
      <c r="K98" s="578"/>
      <c r="L98" s="578"/>
      <c r="M98" s="578"/>
      <c r="N98" s="578"/>
      <c r="O98" s="730">
        <f>1-J98-K98-L98-M98-N98</f>
        <v>1</v>
      </c>
      <c r="P98" s="617"/>
      <c r="Q98" s="2320"/>
      <c r="S98" s="2899"/>
    </row>
    <row r="99" spans="2:21" ht="6.75" customHeight="1" x14ac:dyDescent="0.25">
      <c r="B99" s="2328"/>
      <c r="C99" s="385"/>
      <c r="D99" s="297"/>
      <c r="E99" s="85"/>
      <c r="F99" s="85"/>
      <c r="G99" s="85"/>
      <c r="H99" s="2939"/>
      <c r="I99" s="2939"/>
      <c r="J99" s="85"/>
      <c r="K99" s="85"/>
      <c r="L99" s="85"/>
      <c r="M99" s="85"/>
      <c r="N99" s="85"/>
      <c r="O99" s="85"/>
      <c r="P99" s="272"/>
      <c r="Q99" s="2320"/>
      <c r="S99" s="2899"/>
    </row>
    <row r="100" spans="2:21" ht="17.25" customHeight="1" x14ac:dyDescent="0.25">
      <c r="B100" s="2365" t="str">
        <f>IF(OR(O81=1,O81=2),"",IF(ISBLANK(G100)=FALSE,"","u"))</f>
        <v>u</v>
      </c>
      <c r="C100" s="385"/>
      <c r="D100" s="297"/>
      <c r="E100" s="658"/>
      <c r="F100" s="299" t="s">
        <v>71</v>
      </c>
      <c r="G100" s="575"/>
      <c r="H100" s="271"/>
      <c r="I100" s="271"/>
      <c r="J100" s="300" t="s">
        <v>72</v>
      </c>
      <c r="K100" s="300" t="s">
        <v>73</v>
      </c>
      <c r="L100" s="300" t="s">
        <v>74</v>
      </c>
      <c r="M100" s="300" t="s">
        <v>75</v>
      </c>
      <c r="N100" s="87" t="s">
        <v>76</v>
      </c>
      <c r="O100" s="300" t="s">
        <v>35</v>
      </c>
      <c r="P100" s="617"/>
      <c r="Q100" s="2320"/>
      <c r="S100" s="2899"/>
    </row>
    <row r="101" spans="2:21" ht="9" customHeight="1" x14ac:dyDescent="0.25">
      <c r="B101" s="2365"/>
      <c r="C101" s="385"/>
      <c r="D101" s="297"/>
      <c r="E101" s="658"/>
      <c r="F101" s="299"/>
      <c r="G101" s="685"/>
      <c r="H101" s="271"/>
      <c r="I101" s="271"/>
      <c r="J101" s="300"/>
      <c r="K101" s="300"/>
      <c r="L101" s="300"/>
      <c r="M101" s="300"/>
      <c r="N101" s="87"/>
      <c r="O101" s="87"/>
      <c r="P101" s="617"/>
      <c r="Q101" s="2320"/>
      <c r="S101" s="2899"/>
    </row>
    <row r="102" spans="2:21" ht="27" customHeight="1" x14ac:dyDescent="0.25">
      <c r="B102" s="2365"/>
      <c r="C102" s="385"/>
      <c r="D102" s="297"/>
      <c r="E102" s="658"/>
      <c r="F102" s="299"/>
      <c r="G102" s="501"/>
      <c r="H102" s="2939" t="s">
        <v>130</v>
      </c>
      <c r="I102" s="2939"/>
      <c r="J102" s="2828"/>
      <c r="K102" s="2860"/>
      <c r="L102" s="2860"/>
      <c r="M102" s="2860"/>
      <c r="N102" s="2860"/>
      <c r="O102" s="2829"/>
      <c r="P102" s="617"/>
      <c r="Q102" s="2320"/>
      <c r="S102" s="2899"/>
    </row>
    <row r="103" spans="2:21" ht="15" customHeight="1" x14ac:dyDescent="0.25">
      <c r="B103" s="2328"/>
      <c r="C103" s="677"/>
      <c r="D103" s="297"/>
      <c r="E103" s="658"/>
      <c r="F103" s="615"/>
      <c r="G103" s="658"/>
      <c r="H103" s="615"/>
      <c r="I103" s="55"/>
      <c r="J103" s="658"/>
      <c r="K103" s="615"/>
      <c r="L103" s="658"/>
      <c r="M103" s="615"/>
      <c r="N103" s="658"/>
      <c r="O103" s="615"/>
      <c r="P103" s="617"/>
      <c r="Q103" s="2320"/>
      <c r="S103" s="2899"/>
    </row>
    <row r="104" spans="2:21" ht="12.75" customHeight="1" x14ac:dyDescent="0.25">
      <c r="B104" s="2328"/>
      <c r="C104" s="677"/>
      <c r="D104" s="387"/>
      <c r="E104" s="366"/>
      <c r="F104" s="367"/>
      <c r="G104" s="366"/>
      <c r="H104" s="367"/>
      <c r="I104" s="374"/>
      <c r="J104" s="366"/>
      <c r="K104" s="367"/>
      <c r="L104" s="366"/>
      <c r="M104" s="367"/>
      <c r="N104" s="366"/>
      <c r="O104" s="367"/>
      <c r="P104" s="617"/>
      <c r="Q104" s="2320"/>
      <c r="S104" s="2899"/>
    </row>
    <row r="105" spans="2:21" ht="27" customHeight="1" x14ac:dyDescent="0.25">
      <c r="B105" s="2328"/>
      <c r="C105" s="452"/>
      <c r="D105" s="645" t="s">
        <v>284</v>
      </c>
      <c r="E105" s="646" t="s">
        <v>1858</v>
      </c>
      <c r="F105" s="510"/>
      <c r="G105" s="510"/>
      <c r="H105" s="510"/>
      <c r="I105" s="510"/>
      <c r="J105" s="2939" t="s">
        <v>1468</v>
      </c>
      <c r="K105" s="2939"/>
      <c r="L105" s="2985"/>
      <c r="M105" s="2828"/>
      <c r="N105" s="2860"/>
      <c r="O105" s="2829"/>
      <c r="P105" s="617"/>
      <c r="Q105" s="2320"/>
      <c r="S105" s="2899"/>
      <c r="U105" s="28" t="s">
        <v>124</v>
      </c>
    </row>
    <row r="106" spans="2:21" ht="27" customHeight="1" x14ac:dyDescent="0.25">
      <c r="B106" s="2328"/>
      <c r="C106" s="452"/>
      <c r="D106" s="463"/>
      <c r="E106" s="2986" t="s">
        <v>1620</v>
      </c>
      <c r="F106" s="2986"/>
      <c r="G106" s="2986"/>
      <c r="H106" s="2986"/>
      <c r="I106" s="2986"/>
      <c r="J106" s="2986"/>
      <c r="K106" s="2986"/>
      <c r="L106" s="2986"/>
      <c r="M106" s="2986"/>
      <c r="N106" s="2986"/>
      <c r="O106" s="2986"/>
      <c r="P106" s="617"/>
      <c r="Q106" s="2320"/>
      <c r="S106" s="2899"/>
    </row>
    <row r="107" spans="2:21" ht="13.5" customHeight="1" x14ac:dyDescent="0.25">
      <c r="B107" s="2328"/>
      <c r="C107" s="452"/>
      <c r="D107" s="459"/>
      <c r="E107" s="461"/>
      <c r="F107" s="461"/>
      <c r="G107" s="461"/>
      <c r="H107" s="461"/>
      <c r="I107" s="461"/>
      <c r="J107" s="461"/>
      <c r="K107" s="461"/>
      <c r="L107" s="461"/>
      <c r="M107" s="461"/>
      <c r="N107" s="461"/>
      <c r="O107" s="461"/>
      <c r="P107" s="617"/>
      <c r="Q107" s="2320"/>
      <c r="S107" s="2899"/>
    </row>
    <row r="108" spans="2:21" ht="18" customHeight="1" x14ac:dyDescent="0.25">
      <c r="B108" s="2328"/>
      <c r="C108" s="452"/>
      <c r="D108" s="459"/>
      <c r="E108" s="460"/>
      <c r="F108" s="298" t="s">
        <v>70</v>
      </c>
      <c r="G108" s="576"/>
      <c r="H108" s="3017" t="s">
        <v>287</v>
      </c>
      <c r="I108" s="3018"/>
      <c r="J108" s="2863"/>
      <c r="K108" s="2864"/>
      <c r="L108" s="2864"/>
      <c r="M108" s="2864"/>
      <c r="N108" s="2864"/>
      <c r="O108" s="2865"/>
      <c r="P108" s="617"/>
      <c r="Q108" s="2320"/>
      <c r="S108" s="2899"/>
    </row>
    <row r="109" spans="2:21" ht="9.75" customHeight="1" x14ac:dyDescent="0.25">
      <c r="B109" s="2328"/>
      <c r="C109" s="677"/>
      <c r="D109" s="296"/>
      <c r="E109" s="386"/>
      <c r="F109" s="386"/>
      <c r="G109" s="386"/>
      <c r="H109" s="464"/>
      <c r="I109" s="464"/>
      <c r="J109" s="386"/>
      <c r="K109" s="386"/>
      <c r="L109" s="386"/>
      <c r="M109" s="386"/>
      <c r="N109" s="386"/>
      <c r="O109" s="386"/>
      <c r="P109" s="617"/>
      <c r="Q109" s="2320"/>
      <c r="S109" s="2899"/>
    </row>
    <row r="110" spans="2:21" ht="18" customHeight="1" x14ac:dyDescent="0.25">
      <c r="B110" s="2328"/>
      <c r="C110" s="452"/>
      <c r="D110" s="459"/>
      <c r="E110" s="460"/>
      <c r="F110" s="298" t="s">
        <v>283</v>
      </c>
      <c r="G110" s="576"/>
      <c r="H110" s="3017" t="s">
        <v>287</v>
      </c>
      <c r="I110" s="3018"/>
      <c r="J110" s="2863"/>
      <c r="K110" s="2864"/>
      <c r="L110" s="2864"/>
      <c r="M110" s="2864"/>
      <c r="N110" s="2864"/>
      <c r="O110" s="2865"/>
      <c r="P110" s="617"/>
      <c r="Q110" s="2320"/>
      <c r="S110" s="2899"/>
    </row>
    <row r="111" spans="2:21" ht="9.75" customHeight="1" x14ac:dyDescent="0.25">
      <c r="B111" s="2328"/>
      <c r="C111" s="677"/>
      <c r="D111" s="296"/>
      <c r="E111" s="386"/>
      <c r="F111" s="386"/>
      <c r="G111" s="386"/>
      <c r="H111" s="386"/>
      <c r="I111" s="386"/>
      <c r="J111" s="386"/>
      <c r="K111" s="386"/>
      <c r="L111" s="386"/>
      <c r="M111" s="386"/>
      <c r="N111" s="386"/>
      <c r="O111" s="386"/>
      <c r="P111" s="617"/>
      <c r="Q111" s="2320"/>
      <c r="S111" s="2899"/>
    </row>
    <row r="112" spans="2:21" ht="17.25" customHeight="1" x14ac:dyDescent="0.25">
      <c r="B112" s="2328"/>
      <c r="C112" s="677"/>
      <c r="D112" s="296"/>
      <c r="E112" s="658"/>
      <c r="F112" s="462" t="s">
        <v>71</v>
      </c>
      <c r="G112" s="577"/>
      <c r="H112" s="615"/>
      <c r="I112" s="389"/>
      <c r="P112" s="617"/>
      <c r="Q112" s="2320"/>
      <c r="S112" s="2899"/>
    </row>
    <row r="113" spans="2:19" ht="9" customHeight="1" x14ac:dyDescent="0.25">
      <c r="B113" s="2365"/>
      <c r="C113" s="385"/>
      <c r="D113" s="297"/>
      <c r="E113" s="658"/>
      <c r="F113" s="299"/>
      <c r="G113" s="685"/>
      <c r="H113" s="271"/>
      <c r="I113" s="271"/>
      <c r="J113" s="300"/>
      <c r="K113" s="300"/>
      <c r="L113" s="300"/>
      <c r="M113" s="300"/>
      <c r="N113" s="87"/>
      <c r="O113" s="87"/>
      <c r="P113" s="617"/>
      <c r="Q113" s="2320"/>
      <c r="S113" s="2899"/>
    </row>
    <row r="114" spans="2:19" ht="27" customHeight="1" x14ac:dyDescent="0.25">
      <c r="B114" s="2365"/>
      <c r="C114" s="385"/>
      <c r="D114" s="297"/>
      <c r="E114" s="658"/>
      <c r="F114" s="299"/>
      <c r="G114" s="501"/>
      <c r="H114" s="2939" t="s">
        <v>130</v>
      </c>
      <c r="I114" s="2939"/>
      <c r="J114" s="2828"/>
      <c r="K114" s="2860"/>
      <c r="L114" s="2860"/>
      <c r="M114" s="2860"/>
      <c r="N114" s="2860"/>
      <c r="O114" s="2829"/>
      <c r="P114" s="617"/>
      <c r="Q114" s="2320"/>
      <c r="S114" s="2899"/>
    </row>
    <row r="115" spans="2:19" ht="15" customHeight="1" x14ac:dyDescent="0.25">
      <c r="B115" s="2328"/>
      <c r="C115" s="677"/>
      <c r="D115" s="297"/>
      <c r="E115" s="658"/>
      <c r="F115" s="615"/>
      <c r="G115" s="658"/>
      <c r="H115" s="615"/>
      <c r="I115" s="55"/>
      <c r="J115" s="658"/>
      <c r="K115" s="615"/>
      <c r="L115" s="658"/>
      <c r="M115" s="615"/>
      <c r="N115" s="658"/>
      <c r="O115" s="615"/>
      <c r="P115" s="617"/>
      <c r="Q115" s="2320"/>
      <c r="S115" s="2899"/>
    </row>
    <row r="116" spans="2:19" ht="14.25" customHeight="1" x14ac:dyDescent="0.25">
      <c r="B116" s="2328"/>
      <c r="C116" s="2405"/>
      <c r="D116" s="2406"/>
      <c r="E116" s="2405"/>
      <c r="F116" s="2405"/>
      <c r="G116" s="2405"/>
      <c r="H116" s="2405"/>
      <c r="I116" s="2405"/>
      <c r="J116" s="2405"/>
      <c r="K116" s="2405"/>
      <c r="L116" s="2405"/>
      <c r="M116" s="2405"/>
      <c r="N116" s="2405"/>
      <c r="O116" s="2405"/>
      <c r="P116" s="2405"/>
      <c r="Q116" s="2320"/>
      <c r="S116" s="2899"/>
    </row>
    <row r="117" spans="2:19" ht="13.5" customHeight="1" x14ac:dyDescent="0.25">
      <c r="B117" s="2328"/>
      <c r="C117" s="264"/>
      <c r="D117" s="303"/>
      <c r="E117" s="266"/>
      <c r="F117" s="266"/>
      <c r="G117" s="266"/>
      <c r="H117" s="266"/>
      <c r="I117" s="266"/>
      <c r="J117" s="266"/>
      <c r="K117" s="266"/>
      <c r="L117" s="266"/>
      <c r="M117" s="266"/>
      <c r="N117" s="266"/>
      <c r="O117" s="266"/>
      <c r="P117" s="267"/>
      <c r="Q117" s="2320"/>
      <c r="S117" s="2899"/>
    </row>
    <row r="118" spans="2:19" ht="3.75" customHeight="1" x14ac:dyDescent="0.25">
      <c r="B118" s="2328"/>
      <c r="C118" s="2984" t="s">
        <v>2025</v>
      </c>
      <c r="P118" s="272"/>
      <c r="Q118" s="2320"/>
      <c r="S118" s="2899"/>
    </row>
    <row r="119" spans="2:19" ht="9" customHeight="1" x14ac:dyDescent="0.25">
      <c r="B119" s="2328"/>
      <c r="C119" s="2984"/>
      <c r="D119" s="2987" t="s">
        <v>2026</v>
      </c>
      <c r="E119" s="2987"/>
      <c r="F119" s="2987"/>
      <c r="G119" s="2987"/>
      <c r="P119" s="272"/>
      <c r="Q119" s="2320"/>
      <c r="S119" s="2899"/>
    </row>
    <row r="120" spans="2:19" ht="18" customHeight="1" x14ac:dyDescent="0.25">
      <c r="B120" s="2365" t="str">
        <f>IF(ISBLANK(H120)=FALSE,"","u")</f>
        <v>u</v>
      </c>
      <c r="C120" s="2984"/>
      <c r="D120" s="2987"/>
      <c r="E120" s="2987"/>
      <c r="F120" s="2987"/>
      <c r="G120" s="2987"/>
      <c r="H120" s="2988"/>
      <c r="I120" s="2989"/>
      <c r="J120" s="2989"/>
      <c r="K120" s="2989"/>
      <c r="L120" s="2989"/>
      <c r="M120" s="2990"/>
      <c r="O120" s="1048" t="str">
        <f>IF(ISNA(VLOOKUP('FORMULAIRE PGA Eaux pluviales '!H120,'MENU DÉROULANT'!F28:H32,3,FALSE)),"",VLOOKUP('FORMULAIRE PGA Eaux pluviales '!H120,'MENU DÉROULANT'!F28:H32,3,FALSE))</f>
        <v/>
      </c>
      <c r="P120" s="272"/>
      <c r="Q120" s="2320"/>
      <c r="S120" s="2899"/>
    </row>
    <row r="121" spans="2:19" ht="30.75" customHeight="1" x14ac:dyDescent="0.25">
      <c r="B121" s="2328"/>
      <c r="C121" s="2984"/>
      <c r="D121" s="659"/>
      <c r="E121" s="659"/>
      <c r="F121" s="659"/>
      <c r="G121" s="659"/>
      <c r="H121" s="2991" t="str">
        <f>IF(H120='MENU DÉROULANT'!F28,"Notez que toutes les sections concernant ce sous-service ne seront donc pas remplies et qu'il n'y aura donc pas de visuel dans le sommaire pour ce sous-service. Une note apparaitra toutefois à ce sujet sur le sommaire.","")</f>
        <v/>
      </c>
      <c r="I121" s="2991"/>
      <c r="J121" s="2991"/>
      <c r="K121" s="2991"/>
      <c r="L121" s="2991"/>
      <c r="M121" s="2991"/>
      <c r="P121" s="272"/>
      <c r="Q121" s="2320"/>
      <c r="S121" s="2899"/>
    </row>
    <row r="122" spans="2:19" ht="9.75" customHeight="1" x14ac:dyDescent="0.25">
      <c r="B122" s="2328"/>
      <c r="C122" s="2984"/>
      <c r="P122" s="272"/>
      <c r="Q122" s="2320"/>
      <c r="S122" s="2899"/>
    </row>
    <row r="123" spans="2:19" ht="27" customHeight="1" x14ac:dyDescent="0.25">
      <c r="B123" s="2328"/>
      <c r="C123" s="2984"/>
      <c r="F123" s="2939" t="s">
        <v>130</v>
      </c>
      <c r="G123" s="2939"/>
      <c r="H123" s="2828"/>
      <c r="I123" s="2860"/>
      <c r="J123" s="2860"/>
      <c r="K123" s="2860"/>
      <c r="L123" s="2860"/>
      <c r="M123" s="2829"/>
      <c r="P123" s="272"/>
      <c r="Q123" s="2320"/>
      <c r="S123" s="2899"/>
    </row>
    <row r="124" spans="2:19" ht="15" customHeight="1" x14ac:dyDescent="0.25">
      <c r="B124" s="2328"/>
      <c r="C124" s="2984"/>
      <c r="D124" s="517"/>
      <c r="E124" s="517"/>
      <c r="F124" s="517"/>
      <c r="G124" s="517"/>
      <c r="H124" s="517"/>
      <c r="I124" s="517"/>
      <c r="J124" s="517"/>
      <c r="K124" s="517"/>
      <c r="L124" s="517"/>
      <c r="M124" s="517"/>
      <c r="N124" s="517"/>
      <c r="O124" s="517"/>
      <c r="P124" s="272"/>
      <c r="Q124" s="2320"/>
      <c r="S124" s="2899"/>
    </row>
    <row r="125" spans="2:19" ht="12.75" customHeight="1" x14ac:dyDescent="0.25">
      <c r="B125" s="2328"/>
      <c r="C125" s="385"/>
      <c r="P125" s="272"/>
      <c r="Q125" s="2320"/>
      <c r="S125" s="2899"/>
    </row>
    <row r="126" spans="2:19" ht="27" customHeight="1" x14ac:dyDescent="0.25">
      <c r="B126" s="2328"/>
      <c r="C126" s="385"/>
      <c r="D126" s="675" t="s">
        <v>69</v>
      </c>
      <c r="E126" s="457" t="s">
        <v>2030</v>
      </c>
      <c r="F126" s="85"/>
      <c r="G126" s="85"/>
      <c r="H126" s="85"/>
      <c r="I126" s="85"/>
      <c r="J126" s="2939" t="s">
        <v>1468</v>
      </c>
      <c r="K126" s="2939"/>
      <c r="L126" s="2985"/>
      <c r="M126" s="2828"/>
      <c r="N126" s="2860"/>
      <c r="O126" s="2829"/>
      <c r="P126" s="272"/>
      <c r="Q126" s="2320"/>
      <c r="R126" s="422"/>
      <c r="S126" s="2899"/>
    </row>
    <row r="127" spans="2:19" ht="17.25" customHeight="1" x14ac:dyDescent="0.25">
      <c r="B127" s="2328"/>
      <c r="C127" s="385"/>
      <c r="D127" s="382"/>
      <c r="E127" s="383"/>
      <c r="F127" s="85"/>
      <c r="G127" s="85"/>
      <c r="H127" s="85"/>
      <c r="I127" s="85"/>
      <c r="J127" s="85"/>
      <c r="K127" s="85"/>
      <c r="L127" s="85"/>
      <c r="M127" s="85"/>
      <c r="N127" s="85"/>
      <c r="O127" s="451"/>
      <c r="P127" s="272"/>
      <c r="Q127" s="2320"/>
      <c r="S127" s="2899"/>
    </row>
    <row r="128" spans="2:19" ht="18" customHeight="1" x14ac:dyDescent="0.25">
      <c r="B128" s="2365" t="str">
        <f>IF(OR(O120=1,O120=3),"",IF(OR(ISBLANK(G128),ISBLANK(J128),ISBLANK(K128),ISBLANK(L128),ISBLANK(M128),ISBLANK(N128))=FALSE,"","u"))</f>
        <v>u</v>
      </c>
      <c r="C128" s="385"/>
      <c r="D128" s="297"/>
      <c r="F128" s="298" t="s">
        <v>70</v>
      </c>
      <c r="G128" s="574"/>
      <c r="H128" s="2939" t="s">
        <v>282</v>
      </c>
      <c r="I128" s="2939"/>
      <c r="J128" s="578"/>
      <c r="K128" s="578"/>
      <c r="L128" s="578"/>
      <c r="M128" s="578"/>
      <c r="N128" s="578"/>
      <c r="O128" s="730">
        <f>1-J128-K128-L128-M128-N128</f>
        <v>1</v>
      </c>
      <c r="P128" s="617"/>
      <c r="Q128" s="2320"/>
      <c r="S128" s="2899"/>
    </row>
    <row r="129" spans="2:20" ht="6.75" customHeight="1" x14ac:dyDescent="0.25">
      <c r="B129" s="2328"/>
      <c r="C129" s="385"/>
      <c r="D129" s="297"/>
      <c r="E129" s="85"/>
      <c r="F129" s="85"/>
      <c r="G129" s="85"/>
      <c r="H129" s="2939"/>
      <c r="I129" s="2939"/>
      <c r="J129" s="85"/>
      <c r="K129" s="85"/>
      <c r="L129" s="85"/>
      <c r="M129" s="85"/>
      <c r="N129" s="85"/>
      <c r="O129" s="85"/>
      <c r="P129" s="272"/>
      <c r="Q129" s="2320"/>
      <c r="S129" s="2899"/>
    </row>
    <row r="130" spans="2:20" ht="17.25" customHeight="1" x14ac:dyDescent="0.25">
      <c r="B130" s="2365" t="str">
        <f>IF(OR(O120=1,O120=3),"",IF(ISBLANK(G130)=FALSE,"","u"))</f>
        <v>u</v>
      </c>
      <c r="C130" s="385"/>
      <c r="D130" s="297"/>
      <c r="E130" s="658"/>
      <c r="F130" s="299" t="s">
        <v>71</v>
      </c>
      <c r="G130" s="575"/>
      <c r="H130" s="271"/>
      <c r="I130" s="271"/>
      <c r="J130" s="300" t="s">
        <v>72</v>
      </c>
      <c r="K130" s="300" t="s">
        <v>73</v>
      </c>
      <c r="L130" s="300" t="s">
        <v>74</v>
      </c>
      <c r="M130" s="300" t="s">
        <v>75</v>
      </c>
      <c r="N130" s="87" t="s">
        <v>76</v>
      </c>
      <c r="O130" s="300" t="s">
        <v>35</v>
      </c>
      <c r="P130" s="617"/>
      <c r="Q130" s="2320"/>
      <c r="S130" s="2899"/>
    </row>
    <row r="131" spans="2:20" ht="9" customHeight="1" x14ac:dyDescent="0.25">
      <c r="B131" s="2365"/>
      <c r="C131" s="385"/>
      <c r="D131" s="297"/>
      <c r="E131" s="658"/>
      <c r="F131" s="299"/>
      <c r="G131" s="685"/>
      <c r="H131" s="271"/>
      <c r="I131" s="271"/>
      <c r="J131" s="300"/>
      <c r="K131" s="300"/>
      <c r="L131" s="300"/>
      <c r="M131" s="300"/>
      <c r="N131" s="87"/>
      <c r="O131" s="87"/>
      <c r="P131" s="617"/>
      <c r="Q131" s="2320"/>
      <c r="S131" s="2899"/>
    </row>
    <row r="132" spans="2:20" ht="27" customHeight="1" x14ac:dyDescent="0.25">
      <c r="B132" s="2365"/>
      <c r="C132" s="385"/>
      <c r="D132" s="297"/>
      <c r="E132" s="658"/>
      <c r="F132" s="299"/>
      <c r="G132" s="501"/>
      <c r="H132" s="2939" t="s">
        <v>130</v>
      </c>
      <c r="I132" s="2939"/>
      <c r="J132" s="2828"/>
      <c r="K132" s="2860"/>
      <c r="L132" s="2860"/>
      <c r="M132" s="2860"/>
      <c r="N132" s="2860"/>
      <c r="O132" s="2829"/>
      <c r="P132" s="617"/>
      <c r="Q132" s="2320"/>
      <c r="S132" s="2899"/>
    </row>
    <row r="133" spans="2:20" ht="15" customHeight="1" x14ac:dyDescent="0.25">
      <c r="B133" s="2328"/>
      <c r="C133" s="385"/>
      <c r="D133" s="301"/>
      <c r="E133" s="278"/>
      <c r="F133" s="289"/>
      <c r="G133" s="278"/>
      <c r="H133" s="289"/>
      <c r="I133" s="277"/>
      <c r="J133" s="278"/>
      <c r="K133" s="289"/>
      <c r="L133" s="278"/>
      <c r="M133" s="289"/>
      <c r="N133" s="278"/>
      <c r="O133" s="289"/>
      <c r="P133" s="617"/>
      <c r="Q133" s="2320"/>
      <c r="S133" s="2899"/>
    </row>
    <row r="134" spans="2:20" ht="12.75" customHeight="1" x14ac:dyDescent="0.25">
      <c r="B134" s="2328"/>
      <c r="C134" s="639"/>
      <c r="D134" s="297"/>
      <c r="E134" s="658"/>
      <c r="F134" s="615"/>
      <c r="G134" s="658"/>
      <c r="H134" s="615"/>
      <c r="I134" s="55"/>
      <c r="J134" s="658"/>
      <c r="K134" s="615"/>
      <c r="L134" s="658"/>
      <c r="M134" s="615"/>
      <c r="N134" s="658"/>
      <c r="O134" s="615"/>
      <c r="P134" s="617"/>
      <c r="Q134" s="2320"/>
      <c r="S134" s="2899"/>
    </row>
    <row r="135" spans="2:20" ht="27" customHeight="1" x14ac:dyDescent="0.25">
      <c r="B135" s="2328"/>
      <c r="C135" s="104"/>
      <c r="D135" s="675" t="s">
        <v>77</v>
      </c>
      <c r="E135" s="457" t="s">
        <v>2034</v>
      </c>
      <c r="F135" s="85"/>
      <c r="G135" s="85"/>
      <c r="H135" s="85"/>
      <c r="I135" s="85"/>
      <c r="J135" s="2939" t="s">
        <v>1468</v>
      </c>
      <c r="K135" s="2939"/>
      <c r="L135" s="2985"/>
      <c r="M135" s="2828"/>
      <c r="N135" s="2860"/>
      <c r="O135" s="2829"/>
      <c r="P135" s="272"/>
      <c r="Q135" s="2320"/>
      <c r="S135" s="2899"/>
      <c r="T135" s="302"/>
    </row>
    <row r="136" spans="2:20" ht="17.25" customHeight="1" x14ac:dyDescent="0.25">
      <c r="B136" s="2328"/>
      <c r="C136" s="104"/>
      <c r="D136" s="381"/>
      <c r="E136" s="384"/>
      <c r="F136" s="85"/>
      <c r="G136" s="85"/>
      <c r="H136" s="85"/>
      <c r="I136" s="85"/>
      <c r="J136" s="85"/>
      <c r="K136" s="85"/>
      <c r="L136" s="85"/>
      <c r="M136" s="85"/>
      <c r="N136" s="85"/>
      <c r="O136" s="451"/>
      <c r="P136" s="272"/>
      <c r="Q136" s="2320"/>
      <c r="S136" s="2899"/>
      <c r="T136" s="302"/>
    </row>
    <row r="137" spans="2:20" ht="18" customHeight="1" x14ac:dyDescent="0.25">
      <c r="B137" s="2365" t="str">
        <f>IF(OR(O120=1,O120=2),"",IF(OR(ISBLANK(G137),ISBLANK(J137),ISBLANK(K137),ISBLANK(L137),ISBLANK(M137),ISBLANK(N137))=FALSE,"","u"))</f>
        <v>u</v>
      </c>
      <c r="C137" s="104"/>
      <c r="D137" s="297"/>
      <c r="F137" s="298" t="s">
        <v>283</v>
      </c>
      <c r="G137" s="574"/>
      <c r="H137" s="2939" t="s">
        <v>282</v>
      </c>
      <c r="I137" s="2939"/>
      <c r="J137" s="578"/>
      <c r="K137" s="578"/>
      <c r="L137" s="578"/>
      <c r="M137" s="578"/>
      <c r="N137" s="578"/>
      <c r="O137" s="730">
        <f>1-J137-K137-L137-M137-N137</f>
        <v>1</v>
      </c>
      <c r="P137" s="617"/>
      <c r="Q137" s="2320"/>
      <c r="S137" s="2899"/>
    </row>
    <row r="138" spans="2:20" ht="6.75" customHeight="1" x14ac:dyDescent="0.25">
      <c r="B138" s="2328"/>
      <c r="C138" s="104"/>
      <c r="D138" s="297"/>
      <c r="E138" s="85"/>
      <c r="F138" s="85"/>
      <c r="G138" s="85"/>
      <c r="H138" s="2939"/>
      <c r="I138" s="2939"/>
      <c r="J138" s="85"/>
      <c r="K138" s="85"/>
      <c r="L138" s="85"/>
      <c r="M138" s="85"/>
      <c r="N138" s="85"/>
      <c r="O138" s="85"/>
      <c r="P138" s="272"/>
      <c r="Q138" s="2320"/>
      <c r="S138" s="2899"/>
    </row>
    <row r="139" spans="2:20" ht="17.25" customHeight="1" x14ac:dyDescent="0.25">
      <c r="B139" s="2365" t="str">
        <f>IF(OR(O120=1,O120=2),"",IF(ISBLANK(G139)=FALSE,"","u"))</f>
        <v>u</v>
      </c>
      <c r="C139" s="104"/>
      <c r="D139" s="297"/>
      <c r="E139" s="658"/>
      <c r="F139" s="299" t="s">
        <v>71</v>
      </c>
      <c r="G139" s="575"/>
      <c r="H139" s="271"/>
      <c r="I139" s="271"/>
      <c r="J139" s="300" t="s">
        <v>72</v>
      </c>
      <c r="K139" s="300" t="s">
        <v>73</v>
      </c>
      <c r="L139" s="300" t="s">
        <v>74</v>
      </c>
      <c r="M139" s="300" t="s">
        <v>75</v>
      </c>
      <c r="N139" s="87" t="s">
        <v>76</v>
      </c>
      <c r="O139" s="300" t="s">
        <v>35</v>
      </c>
      <c r="P139" s="617"/>
      <c r="Q139" s="2320"/>
      <c r="S139" s="2899"/>
    </row>
    <row r="140" spans="2:20" ht="9" customHeight="1" x14ac:dyDescent="0.25">
      <c r="B140" s="2365"/>
      <c r="C140" s="385"/>
      <c r="D140" s="297"/>
      <c r="E140" s="658"/>
      <c r="F140" s="299"/>
      <c r="G140" s="685"/>
      <c r="H140" s="271"/>
      <c r="I140" s="271"/>
      <c r="J140" s="300"/>
      <c r="K140" s="300"/>
      <c r="L140" s="300"/>
      <c r="M140" s="300"/>
      <c r="N140" s="87"/>
      <c r="O140" s="87"/>
      <c r="P140" s="617"/>
      <c r="Q140" s="2320"/>
      <c r="S140" s="2899"/>
    </row>
    <row r="141" spans="2:20" ht="27" customHeight="1" x14ac:dyDescent="0.25">
      <c r="B141" s="2365"/>
      <c r="C141" s="385"/>
      <c r="D141" s="297"/>
      <c r="E141" s="658"/>
      <c r="F141" s="299"/>
      <c r="G141" s="501"/>
      <c r="H141" s="2939" t="s">
        <v>130</v>
      </c>
      <c r="I141" s="2939"/>
      <c r="J141" s="2828"/>
      <c r="K141" s="2860"/>
      <c r="L141" s="2860"/>
      <c r="M141" s="2860"/>
      <c r="N141" s="2860"/>
      <c r="O141" s="2829"/>
      <c r="P141" s="617"/>
      <c r="Q141" s="2320"/>
      <c r="S141" s="2899"/>
    </row>
    <row r="142" spans="2:20" ht="15" customHeight="1" x14ac:dyDescent="0.25">
      <c r="B142" s="2328"/>
      <c r="C142" s="385"/>
      <c r="D142" s="301"/>
      <c r="E142" s="278"/>
      <c r="F142" s="289"/>
      <c r="G142" s="278"/>
      <c r="H142" s="289"/>
      <c r="I142" s="277"/>
      <c r="J142" s="278"/>
      <c r="K142" s="289"/>
      <c r="L142" s="278"/>
      <c r="M142" s="289"/>
      <c r="N142" s="278"/>
      <c r="O142" s="289"/>
      <c r="P142" s="617"/>
      <c r="Q142" s="2320"/>
      <c r="S142" s="2899"/>
    </row>
    <row r="143" spans="2:20" ht="12.75" customHeight="1" x14ac:dyDescent="0.25">
      <c r="B143" s="2328"/>
      <c r="C143" s="639"/>
      <c r="D143" s="297"/>
      <c r="E143" s="658"/>
      <c r="F143" s="615"/>
      <c r="G143" s="658"/>
      <c r="H143" s="615"/>
      <c r="I143" s="55"/>
      <c r="J143" s="658"/>
      <c r="K143" s="615"/>
      <c r="L143" s="658"/>
      <c r="M143" s="615"/>
      <c r="N143" s="658"/>
      <c r="O143" s="615"/>
      <c r="P143" s="617"/>
      <c r="Q143" s="2320"/>
      <c r="S143" s="2899"/>
    </row>
    <row r="144" spans="2:20" ht="27" customHeight="1" x14ac:dyDescent="0.25">
      <c r="B144" s="2328"/>
      <c r="C144" s="104"/>
      <c r="D144" s="645" t="s">
        <v>284</v>
      </c>
      <c r="E144" s="646" t="s">
        <v>1858</v>
      </c>
      <c r="F144" s="510"/>
      <c r="G144" s="510"/>
      <c r="H144" s="510"/>
      <c r="I144" s="510"/>
      <c r="J144" s="2939" t="s">
        <v>1468</v>
      </c>
      <c r="K144" s="2939"/>
      <c r="L144" s="2985"/>
      <c r="M144" s="2828"/>
      <c r="N144" s="2860"/>
      <c r="O144" s="2829"/>
      <c r="P144" s="617"/>
      <c r="Q144" s="2320"/>
      <c r="S144" s="2899"/>
    </row>
    <row r="145" spans="2:19" ht="27" customHeight="1" x14ac:dyDescent="0.25">
      <c r="B145" s="2328"/>
      <c r="C145" s="104"/>
      <c r="D145" s="463"/>
      <c r="E145" s="2986" t="s">
        <v>1619</v>
      </c>
      <c r="F145" s="2986"/>
      <c r="G145" s="2986"/>
      <c r="H145" s="2986"/>
      <c r="I145" s="2986"/>
      <c r="J145" s="2986"/>
      <c r="K145" s="2986"/>
      <c r="L145" s="2986"/>
      <c r="M145" s="2986"/>
      <c r="N145" s="2986"/>
      <c r="O145" s="2986"/>
      <c r="P145" s="617"/>
      <c r="Q145" s="2320"/>
      <c r="S145" s="2899"/>
    </row>
    <row r="146" spans="2:19" ht="13.5" customHeight="1" x14ac:dyDescent="0.25">
      <c r="B146" s="2328"/>
      <c r="C146" s="104"/>
      <c r="D146" s="459"/>
      <c r="E146" s="461"/>
      <c r="F146" s="461"/>
      <c r="G146" s="461"/>
      <c r="H146" s="461"/>
      <c r="I146" s="461"/>
      <c r="J146" s="461"/>
      <c r="K146" s="461"/>
      <c r="L146" s="461"/>
      <c r="M146" s="461"/>
      <c r="N146" s="461"/>
      <c r="O146" s="461"/>
      <c r="P146" s="617"/>
      <c r="Q146" s="2320"/>
      <c r="S146" s="2899"/>
    </row>
    <row r="147" spans="2:19" ht="18" customHeight="1" x14ac:dyDescent="0.25">
      <c r="B147" s="2328"/>
      <c r="C147" s="104"/>
      <c r="D147" s="459"/>
      <c r="E147" s="460"/>
      <c r="F147" s="298" t="s">
        <v>70</v>
      </c>
      <c r="G147" s="576"/>
      <c r="H147" s="3017" t="s">
        <v>287</v>
      </c>
      <c r="I147" s="3018"/>
      <c r="J147" s="2863"/>
      <c r="K147" s="2864"/>
      <c r="L147" s="2864"/>
      <c r="M147" s="2864"/>
      <c r="N147" s="2864"/>
      <c r="O147" s="2865"/>
      <c r="P147" s="617"/>
      <c r="Q147" s="2320"/>
      <c r="S147" s="2899"/>
    </row>
    <row r="148" spans="2:19" ht="9.75" customHeight="1" x14ac:dyDescent="0.25">
      <c r="B148" s="2328"/>
      <c r="C148" s="104"/>
      <c r="D148" s="296"/>
      <c r="E148" s="386"/>
      <c r="F148" s="386"/>
      <c r="G148" s="386"/>
      <c r="H148" s="464"/>
      <c r="I148" s="464"/>
      <c r="J148" s="386"/>
      <c r="K148" s="386"/>
      <c r="L148" s="386"/>
      <c r="M148" s="386"/>
      <c r="N148" s="386"/>
      <c r="O148" s="386"/>
      <c r="P148" s="617"/>
      <c r="Q148" s="2320"/>
      <c r="S148" s="2899"/>
    </row>
    <row r="149" spans="2:19" ht="18" customHeight="1" x14ac:dyDescent="0.25">
      <c r="B149" s="2328"/>
      <c r="C149" s="104"/>
      <c r="D149" s="459"/>
      <c r="E149" s="460"/>
      <c r="F149" s="298" t="s">
        <v>283</v>
      </c>
      <c r="G149" s="576"/>
      <c r="H149" s="3017" t="s">
        <v>287</v>
      </c>
      <c r="I149" s="3018"/>
      <c r="J149" s="2863"/>
      <c r="K149" s="2864"/>
      <c r="L149" s="2864"/>
      <c r="M149" s="2864"/>
      <c r="N149" s="2864"/>
      <c r="O149" s="2865"/>
      <c r="P149" s="617"/>
      <c r="Q149" s="2320"/>
      <c r="S149" s="2899"/>
    </row>
    <row r="150" spans="2:19" ht="9.75" customHeight="1" x14ac:dyDescent="0.25">
      <c r="B150" s="2328"/>
      <c r="C150" s="677"/>
      <c r="D150" s="296"/>
      <c r="E150" s="386"/>
      <c r="F150" s="386"/>
      <c r="G150" s="386"/>
      <c r="H150" s="386"/>
      <c r="I150" s="386"/>
      <c r="J150" s="386"/>
      <c r="K150" s="386"/>
      <c r="L150" s="386"/>
      <c r="M150" s="386"/>
      <c r="N150" s="386"/>
      <c r="O150" s="386"/>
      <c r="P150" s="617"/>
      <c r="Q150" s="2320"/>
      <c r="S150" s="2899"/>
    </row>
    <row r="151" spans="2:19" ht="17.25" customHeight="1" x14ac:dyDescent="0.25">
      <c r="B151" s="2328"/>
      <c r="C151" s="677"/>
      <c r="D151" s="296"/>
      <c r="E151" s="658"/>
      <c r="F151" s="462" t="s">
        <v>71</v>
      </c>
      <c r="G151" s="577"/>
      <c r="H151" s="615"/>
      <c r="I151" s="389"/>
      <c r="P151" s="617"/>
      <c r="Q151" s="2320"/>
      <c r="S151" s="2899"/>
    </row>
    <row r="152" spans="2:19" ht="9" customHeight="1" x14ac:dyDescent="0.25">
      <c r="B152" s="2365"/>
      <c r="C152" s="385"/>
      <c r="D152" s="297"/>
      <c r="E152" s="658"/>
      <c r="F152" s="299"/>
      <c r="G152" s="685"/>
      <c r="H152" s="271"/>
      <c r="I152" s="271"/>
      <c r="J152" s="300"/>
      <c r="K152" s="300"/>
      <c r="L152" s="300"/>
      <c r="M152" s="300"/>
      <c r="N152" s="87"/>
      <c r="O152" s="87"/>
      <c r="P152" s="617"/>
      <c r="Q152" s="2320"/>
      <c r="S152" s="2899"/>
    </row>
    <row r="153" spans="2:19" ht="27" customHeight="1" x14ac:dyDescent="0.25">
      <c r="B153" s="2365"/>
      <c r="C153" s="385"/>
      <c r="D153" s="297"/>
      <c r="E153" s="658"/>
      <c r="F153" s="299"/>
      <c r="G153" s="501"/>
      <c r="H153" s="2939" t="s">
        <v>130</v>
      </c>
      <c r="I153" s="2939"/>
      <c r="J153" s="2828"/>
      <c r="K153" s="2860"/>
      <c r="L153" s="2860"/>
      <c r="M153" s="2860"/>
      <c r="N153" s="2860"/>
      <c r="O153" s="2829"/>
      <c r="P153" s="617"/>
      <c r="Q153" s="2320"/>
      <c r="S153" s="2899"/>
    </row>
    <row r="154" spans="2:19" ht="15" customHeight="1" x14ac:dyDescent="0.25">
      <c r="B154" s="2328"/>
      <c r="C154" s="677"/>
      <c r="D154" s="297"/>
      <c r="E154" s="658"/>
      <c r="F154" s="615"/>
      <c r="G154" s="658"/>
      <c r="H154" s="615"/>
      <c r="I154" s="55"/>
      <c r="J154" s="658"/>
      <c r="K154" s="615"/>
      <c r="L154" s="658"/>
      <c r="M154" s="615"/>
      <c r="N154" s="658"/>
      <c r="O154" s="615"/>
      <c r="P154" s="617"/>
      <c r="Q154" s="2320"/>
      <c r="S154" s="2899"/>
    </row>
    <row r="155" spans="2:19" ht="12" customHeight="1" x14ac:dyDescent="0.25">
      <c r="B155" s="2328"/>
      <c r="C155" s="2405"/>
      <c r="D155" s="2406"/>
      <c r="E155" s="2405"/>
      <c r="F155" s="2405"/>
      <c r="G155" s="2405"/>
      <c r="H155" s="2405"/>
      <c r="I155" s="2405"/>
      <c r="J155" s="2405"/>
      <c r="K155" s="2405"/>
      <c r="L155" s="2405"/>
      <c r="M155" s="2405"/>
      <c r="N155" s="2405"/>
      <c r="O155" s="2405"/>
      <c r="P155" s="2405"/>
      <c r="Q155" s="2320"/>
      <c r="S155" s="2899"/>
    </row>
    <row r="156" spans="2:19" ht="15" customHeight="1" x14ac:dyDescent="0.25">
      <c r="B156" s="2328"/>
      <c r="C156" s="677"/>
      <c r="D156" s="387"/>
      <c r="E156" s="366"/>
      <c r="F156" s="367"/>
      <c r="G156" s="366"/>
      <c r="H156" s="367"/>
      <c r="I156" s="374"/>
      <c r="J156" s="366"/>
      <c r="K156" s="367"/>
      <c r="L156" s="366"/>
      <c r="M156" s="367"/>
      <c r="N156" s="366"/>
      <c r="O156" s="367"/>
      <c r="P156" s="617"/>
      <c r="Q156" s="2320"/>
      <c r="S156" s="2899"/>
    </row>
    <row r="157" spans="2:19" ht="18" customHeight="1" x14ac:dyDescent="0.3">
      <c r="B157" s="2365" t="str">
        <f>IF(ISBLANK(G157)=FALSE,"","u")</f>
        <v>u</v>
      </c>
      <c r="C157" s="2543" t="s">
        <v>220</v>
      </c>
      <c r="D157" s="511" t="s">
        <v>1471</v>
      </c>
      <c r="E157" s="78"/>
      <c r="F157" s="78"/>
      <c r="G157" s="573"/>
      <c r="H157" s="512" t="s">
        <v>289</v>
      </c>
      <c r="L157" s="78"/>
      <c r="M157" s="78"/>
      <c r="N157" s="78"/>
      <c r="O157" s="78"/>
      <c r="P157" s="617"/>
      <c r="Q157" s="2320"/>
      <c r="S157" s="2899"/>
    </row>
    <row r="158" spans="2:19" ht="9.75" customHeight="1" x14ac:dyDescent="0.25">
      <c r="B158" s="2328"/>
      <c r="C158" s="458"/>
      <c r="D158" s="459"/>
      <c r="E158" s="465"/>
      <c r="F158" s="78"/>
      <c r="G158" s="78"/>
      <c r="H158" s="78"/>
      <c r="I158" s="78"/>
      <c r="J158" s="78"/>
      <c r="K158" s="78"/>
      <c r="L158" s="78"/>
      <c r="M158" s="78"/>
      <c r="N158" s="78"/>
      <c r="O158" s="78"/>
      <c r="P158" s="617"/>
      <c r="Q158" s="2320"/>
      <c r="S158" s="2899"/>
    </row>
    <row r="159" spans="2:19" ht="27" customHeight="1" x14ac:dyDescent="0.25">
      <c r="B159" s="2328"/>
      <c r="C159" s="388"/>
      <c r="D159" s="519" t="s">
        <v>1473</v>
      </c>
      <c r="E159" s="519"/>
      <c r="F159" s="519" t="s">
        <v>293</v>
      </c>
      <c r="G159" s="519" t="s">
        <v>1472</v>
      </c>
      <c r="H159" s="519"/>
      <c r="I159" s="3011" t="s">
        <v>1859</v>
      </c>
      <c r="J159" s="3011"/>
      <c r="K159" s="2544" t="s">
        <v>2140</v>
      </c>
      <c r="L159" s="518"/>
      <c r="M159" s="518" t="s">
        <v>1474</v>
      </c>
      <c r="N159" s="78"/>
      <c r="O159" s="78"/>
      <c r="P159" s="617"/>
      <c r="Q159" s="2320"/>
      <c r="S159" s="2899"/>
    </row>
    <row r="160" spans="2:19" ht="18" customHeight="1" x14ac:dyDescent="0.25">
      <c r="B160" s="2328"/>
      <c r="C160" s="388"/>
      <c r="D160" s="3024" t="s">
        <v>2022</v>
      </c>
      <c r="E160" s="3025"/>
      <c r="F160" s="541" t="s">
        <v>269</v>
      </c>
      <c r="G160" s="2992"/>
      <c r="H160" s="2993"/>
      <c r="I160" s="3001"/>
      <c r="J160" s="3002"/>
      <c r="K160" s="3009"/>
      <c r="L160" s="3010"/>
      <c r="M160" s="2992"/>
      <c r="N160" s="3000"/>
      <c r="O160" s="2993"/>
      <c r="P160" s="617"/>
      <c r="Q160" s="2320"/>
      <c r="S160" s="2899"/>
    </row>
    <row r="161" spans="1:19" ht="18" customHeight="1" x14ac:dyDescent="0.25">
      <c r="B161" s="2328"/>
      <c r="C161" s="388"/>
      <c r="D161" s="3026"/>
      <c r="E161" s="3027"/>
      <c r="F161" s="542" t="s">
        <v>270</v>
      </c>
      <c r="G161" s="2996"/>
      <c r="H161" s="2997"/>
      <c r="I161" s="3022"/>
      <c r="J161" s="3023"/>
      <c r="K161" s="3005"/>
      <c r="L161" s="3006"/>
      <c r="M161" s="2996"/>
      <c r="N161" s="3015"/>
      <c r="O161" s="2997"/>
      <c r="P161" s="617"/>
      <c r="Q161" s="2320"/>
      <c r="S161" s="2899"/>
    </row>
    <row r="162" spans="1:19" ht="18" customHeight="1" x14ac:dyDescent="0.25">
      <c r="B162" s="2328"/>
      <c r="C162" s="388"/>
      <c r="D162" s="3028"/>
      <c r="E162" s="3029"/>
      <c r="F162" s="543" t="s">
        <v>1498</v>
      </c>
      <c r="G162" s="2998"/>
      <c r="H162" s="2999"/>
      <c r="I162" s="3003"/>
      <c r="J162" s="3004"/>
      <c r="K162" s="3030"/>
      <c r="L162" s="3031"/>
      <c r="M162" s="2998"/>
      <c r="N162" s="3014"/>
      <c r="O162" s="2999"/>
      <c r="P162" s="617"/>
      <c r="Q162" s="2320"/>
      <c r="S162" s="2899"/>
    </row>
    <row r="163" spans="1:19" ht="18" customHeight="1" x14ac:dyDescent="0.25">
      <c r="B163" s="2328"/>
      <c r="C163" s="388"/>
      <c r="D163" s="3024" t="s">
        <v>2023</v>
      </c>
      <c r="E163" s="3025"/>
      <c r="F163" s="541" t="s">
        <v>269</v>
      </c>
      <c r="G163" s="2992"/>
      <c r="H163" s="2993"/>
      <c r="I163" s="3001"/>
      <c r="J163" s="3002"/>
      <c r="K163" s="3007"/>
      <c r="L163" s="3008"/>
      <c r="M163" s="2992"/>
      <c r="N163" s="3000"/>
      <c r="O163" s="2993"/>
      <c r="P163" s="617"/>
      <c r="Q163" s="2320"/>
      <c r="S163" s="2899"/>
    </row>
    <row r="164" spans="1:19" ht="18" customHeight="1" x14ac:dyDescent="0.25">
      <c r="B164" s="2328"/>
      <c r="C164" s="388"/>
      <c r="D164" s="3026"/>
      <c r="E164" s="3027"/>
      <c r="F164" s="542" t="s">
        <v>270</v>
      </c>
      <c r="G164" s="2996"/>
      <c r="H164" s="2997"/>
      <c r="I164" s="3022"/>
      <c r="J164" s="3023"/>
      <c r="K164" s="3005"/>
      <c r="L164" s="3006"/>
      <c r="M164" s="2996"/>
      <c r="N164" s="3015"/>
      <c r="O164" s="2997"/>
      <c r="P164" s="617"/>
      <c r="Q164" s="2320"/>
      <c r="S164" s="2899"/>
    </row>
    <row r="165" spans="1:19" ht="18" customHeight="1" x14ac:dyDescent="0.25">
      <c r="B165" s="2328"/>
      <c r="C165" s="388"/>
      <c r="D165" s="3028"/>
      <c r="E165" s="3029"/>
      <c r="F165" s="543" t="s">
        <v>1498</v>
      </c>
      <c r="G165" s="2998"/>
      <c r="H165" s="2999"/>
      <c r="I165" s="3003"/>
      <c r="J165" s="3004"/>
      <c r="K165" s="3049"/>
      <c r="L165" s="3050"/>
      <c r="M165" s="2998"/>
      <c r="N165" s="3014"/>
      <c r="O165" s="2999"/>
      <c r="P165" s="617"/>
      <c r="Q165" s="2320"/>
      <c r="S165" s="2899"/>
    </row>
    <row r="166" spans="1:19" ht="14.25" customHeight="1" x14ac:dyDescent="0.25">
      <c r="B166" s="2328"/>
      <c r="C166" s="514"/>
      <c r="D166" s="515"/>
      <c r="E166" s="516"/>
      <c r="F166" s="517"/>
      <c r="G166" s="518"/>
      <c r="H166" s="518"/>
      <c r="I166" s="518"/>
      <c r="J166" s="518"/>
      <c r="K166" s="518"/>
      <c r="L166" s="518"/>
      <c r="M166" s="518"/>
      <c r="N166" s="518"/>
      <c r="O166" s="518"/>
      <c r="P166" s="279"/>
      <c r="Q166" s="2320"/>
      <c r="S166" s="2899"/>
    </row>
    <row r="167" spans="1:19" ht="18.75" customHeight="1" x14ac:dyDescent="0.25">
      <c r="B167" s="2328"/>
      <c r="C167" s="2371"/>
      <c r="D167" s="2319"/>
      <c r="E167" s="2319"/>
      <c r="F167" s="2319"/>
      <c r="G167" s="2319"/>
      <c r="H167" s="2319"/>
      <c r="I167" s="2319"/>
      <c r="J167" s="2319"/>
      <c r="K167" s="2319"/>
      <c r="L167" s="2319"/>
      <c r="M167" s="2319"/>
      <c r="N167" s="2319"/>
      <c r="O167" s="2319"/>
      <c r="P167" s="2319"/>
      <c r="Q167" s="2320"/>
      <c r="S167" s="2899"/>
    </row>
    <row r="168" spans="1:19" ht="17.25" customHeight="1" x14ac:dyDescent="0.25">
      <c r="B168" s="2328"/>
      <c r="C168" s="2372" t="s">
        <v>188</v>
      </c>
      <c r="D168" s="2319"/>
      <c r="E168" s="2319"/>
      <c r="F168" s="2319"/>
      <c r="G168" s="2319"/>
      <c r="H168" s="2319"/>
      <c r="I168" s="2736" t="str">
        <f>IF((OR(ISBLANK(F605),ISBLANK(F606),ISBLANK(F607),ISBLANK(F608),ISBLANK(F609),ISBLANK(F610))=FALSE),"Complété","À compléter")</f>
        <v>À compléter</v>
      </c>
      <c r="J168" s="2736" t="str">
        <f>IF((OR(ISBLANK(F605),ISBLANK(F606),ISBLANK(F607),ISBLANK(F608),ISBLANK(F609),ISBLANK(F610),ISBLANK(K605),ISBLANK(K606),ISBLANK(K607),ISBLANK(K608),ISBLANK(K609),ISBLANK(K610))=FALSE),"Complété","À compléter")</f>
        <v>À compléter</v>
      </c>
      <c r="K168" s="2319"/>
      <c r="L168" s="2319"/>
      <c r="M168" s="2319"/>
      <c r="N168" s="2319"/>
      <c r="O168" s="2319"/>
      <c r="P168" s="2319"/>
      <c r="Q168" s="2320"/>
      <c r="S168" s="2899"/>
    </row>
    <row r="169" spans="1:19" ht="18" customHeight="1" x14ac:dyDescent="0.25">
      <c r="B169" s="2328"/>
      <c r="C169" s="2146"/>
      <c r="D169" s="2373"/>
      <c r="E169" s="3418" t="s">
        <v>185</v>
      </c>
      <c r="F169" s="3418"/>
      <c r="G169" s="3418"/>
      <c r="H169" s="3419"/>
      <c r="I169" s="359" t="str">
        <f>IF($M$73='MENU DÉROULANT'!$C$63,I168,J168)</f>
        <v>À compléter</v>
      </c>
      <c r="J169" s="3420" t="s">
        <v>186</v>
      </c>
      <c r="K169" s="3420"/>
      <c r="L169" s="3420"/>
      <c r="M169" s="3420"/>
      <c r="N169" s="3420"/>
      <c r="O169" s="3420"/>
      <c r="P169" s="3420"/>
      <c r="Q169" s="2320"/>
      <c r="S169" s="2899"/>
    </row>
    <row r="170" spans="1:19" ht="6.75" customHeight="1" x14ac:dyDescent="0.25">
      <c r="B170" s="2328"/>
      <c r="C170" s="2319"/>
      <c r="D170" s="2373"/>
      <c r="E170" s="2373"/>
      <c r="F170" s="2373"/>
      <c r="G170" s="2373"/>
      <c r="H170" s="2373"/>
      <c r="I170" s="2319"/>
      <c r="J170" s="2374"/>
      <c r="K170" s="2374"/>
      <c r="L170" s="2374"/>
      <c r="M170" s="2374"/>
      <c r="N170" s="2374"/>
      <c r="O170" s="2374"/>
      <c r="P170" s="2374"/>
      <c r="Q170" s="2320"/>
      <c r="S170" s="2899"/>
    </row>
    <row r="171" spans="1:19" ht="18" customHeight="1" x14ac:dyDescent="0.25">
      <c r="B171" s="2328"/>
      <c r="C171" s="2319"/>
      <c r="D171" s="3418" t="s">
        <v>1594</v>
      </c>
      <c r="E171" s="3418"/>
      <c r="F171" s="3418"/>
      <c r="G171" s="3418"/>
      <c r="H171" s="3419"/>
      <c r="I171" s="359" t="str">
        <f>IF($M$73='MENU DÉROULANT'!$C$63,I172,J172)</f>
        <v>À compléter</v>
      </c>
      <c r="J171" s="3420" t="s">
        <v>187</v>
      </c>
      <c r="K171" s="3420"/>
      <c r="L171" s="3420"/>
      <c r="M171" s="3420"/>
      <c r="N171" s="3420"/>
      <c r="O171" s="3420"/>
      <c r="P171" s="3420"/>
      <c r="Q171" s="2320"/>
      <c r="S171" s="2899"/>
    </row>
    <row r="172" spans="1:19" ht="23.25" customHeight="1" x14ac:dyDescent="0.25">
      <c r="B172" s="2328"/>
      <c r="C172" s="2319"/>
      <c r="D172" s="2359"/>
      <c r="E172" s="2359"/>
      <c r="F172" s="2359"/>
      <c r="G172" s="2359"/>
      <c r="H172" s="2359"/>
      <c r="I172" s="2736" t="str">
        <f>IF((OR(ISBLANK(F671),ISBLANK(F672))=FALSE),"Complété","À compléter")</f>
        <v>À compléter</v>
      </c>
      <c r="J172" s="2736" t="str">
        <f>IF((OR(ISBLANK(F671),ISBLANK(F672),ISBLANK(K671),ISBLANK(K672))=FALSE),"Complété","À compléter")</f>
        <v>À compléter</v>
      </c>
      <c r="K172" s="2361"/>
      <c r="L172" s="2361"/>
      <c r="M172" s="2361"/>
      <c r="N172" s="2361"/>
      <c r="O172" s="2361"/>
      <c r="P172" s="2361"/>
      <c r="Q172" s="2320"/>
      <c r="S172" s="2899"/>
    </row>
    <row r="173" spans="1:19" ht="18" customHeight="1" x14ac:dyDescent="0.25">
      <c r="B173" s="2328"/>
      <c r="C173" s="2362" t="s">
        <v>1573</v>
      </c>
      <c r="D173" s="2359"/>
      <c r="E173" s="2359"/>
      <c r="F173" s="2359"/>
      <c r="G173" s="2146"/>
      <c r="H173" s="3416" t="s">
        <v>1486</v>
      </c>
      <c r="I173" s="3416"/>
      <c r="J173" s="2146"/>
      <c r="K173" s="2146"/>
      <c r="L173" s="2361"/>
      <c r="M173" s="2361"/>
      <c r="N173" s="2361"/>
      <c r="O173" s="2361"/>
      <c r="P173" s="2361"/>
      <c r="Q173" s="2320"/>
      <c r="S173" s="2899"/>
    </row>
    <row r="174" spans="1:19" ht="14.25" customHeight="1" thickBot="1" x14ac:dyDescent="0.3">
      <c r="B174" s="2329"/>
      <c r="C174" s="2334"/>
      <c r="D174" s="2334"/>
      <c r="E174" s="2334"/>
      <c r="F174" s="2334"/>
      <c r="G174" s="2334"/>
      <c r="H174" s="2334"/>
      <c r="I174" s="2334"/>
      <c r="J174" s="2334"/>
      <c r="K174" s="2334"/>
      <c r="L174" s="2334"/>
      <c r="M174" s="2334"/>
      <c r="N174" s="2334"/>
      <c r="O174" s="2334"/>
      <c r="P174" s="2334"/>
      <c r="Q174" s="2335"/>
      <c r="S174" s="2904"/>
    </row>
    <row r="175" spans="1:19" ht="15.75" thickBot="1" x14ac:dyDescent="0.3">
      <c r="B175" s="699"/>
      <c r="S175" s="630"/>
    </row>
    <row r="176" spans="1:19" ht="22.5" customHeight="1" thickBot="1" x14ac:dyDescent="0.3">
      <c r="A176" s="1225"/>
      <c r="B176" s="2134" t="s">
        <v>1589</v>
      </c>
      <c r="C176" s="2134"/>
      <c r="D176" s="2134"/>
      <c r="E176" s="2134"/>
      <c r="F176" s="2134"/>
      <c r="G176" s="2134"/>
      <c r="H176" s="2134"/>
      <c r="I176" s="2134"/>
      <c r="J176" s="2134"/>
      <c r="K176" s="2134"/>
      <c r="L176" s="2339"/>
      <c r="M176" s="2339"/>
      <c r="N176" s="2339"/>
      <c r="O176" s="3435" t="s">
        <v>1641</v>
      </c>
      <c r="P176" s="3435"/>
      <c r="Q176" s="3435"/>
      <c r="S176" s="628" t="s">
        <v>1537</v>
      </c>
    </row>
    <row r="177" spans="2:19" ht="9.75" customHeight="1" thickBot="1" x14ac:dyDescent="0.3">
      <c r="S177" s="629"/>
    </row>
    <row r="178" spans="2:19" ht="13.5" customHeight="1" x14ac:dyDescent="0.25">
      <c r="B178" s="2340"/>
      <c r="C178" s="2341"/>
      <c r="D178" s="2341"/>
      <c r="E178" s="2342"/>
      <c r="F178" s="2343"/>
      <c r="G178" s="2343"/>
      <c r="H178" s="2343"/>
      <c r="I178" s="2343"/>
      <c r="J178" s="2343"/>
      <c r="K178" s="2343"/>
      <c r="L178" s="2343"/>
      <c r="M178" s="2343"/>
      <c r="N178" s="2343"/>
      <c r="O178" s="2343"/>
      <c r="P178" s="2343"/>
      <c r="Q178" s="2344"/>
      <c r="S178" s="2900"/>
    </row>
    <row r="179" spans="2:19" ht="18" customHeight="1" x14ac:dyDescent="0.25">
      <c r="B179" s="2402"/>
      <c r="C179" s="2346" t="s">
        <v>36</v>
      </c>
      <c r="D179" s="2346"/>
      <c r="E179" s="2403"/>
      <c r="F179" s="2385"/>
      <c r="G179" s="2146"/>
      <c r="H179" s="2146"/>
      <c r="I179" s="2146"/>
      <c r="J179" s="2146"/>
      <c r="K179" s="2146"/>
      <c r="L179" s="2146"/>
      <c r="M179" s="2146"/>
      <c r="N179" s="2368" t="s">
        <v>59</v>
      </c>
      <c r="O179" s="359" t="str">
        <f>IF(OR(ISBLANK(H186))=FALSE,"Complété","À compléter")</f>
        <v>À compléter</v>
      </c>
      <c r="P179" s="2146"/>
      <c r="Q179" s="2370"/>
      <c r="S179" s="2899"/>
    </row>
    <row r="180" spans="2:19" ht="6" customHeight="1" x14ac:dyDescent="0.25">
      <c r="B180" s="2367"/>
      <c r="C180" s="2369"/>
      <c r="D180" s="2369"/>
      <c r="E180" s="2369"/>
      <c r="F180" s="2146"/>
      <c r="G180" s="2146"/>
      <c r="H180" s="2146"/>
      <c r="I180" s="2146"/>
      <c r="J180" s="2146"/>
      <c r="K180" s="2146"/>
      <c r="L180" s="2146"/>
      <c r="M180" s="2146"/>
      <c r="N180" s="2146"/>
      <c r="O180" s="2146"/>
      <c r="P180" s="2146"/>
      <c r="Q180" s="2370"/>
      <c r="S180" s="2899"/>
    </row>
    <row r="181" spans="2:19" ht="17.25" customHeight="1" x14ac:dyDescent="0.25">
      <c r="B181" s="2367"/>
      <c r="C181" s="3417" t="s">
        <v>1687</v>
      </c>
      <c r="D181" s="3417"/>
      <c r="E181" s="3417"/>
      <c r="F181" s="3417"/>
      <c r="G181" s="3417"/>
      <c r="H181" s="3417"/>
      <c r="I181" s="3417"/>
      <c r="J181" s="3417"/>
      <c r="K181" s="3417"/>
      <c r="L181" s="3417"/>
      <c r="M181" s="3417"/>
      <c r="N181" s="2146"/>
      <c r="O181" s="2146"/>
      <c r="P181" s="2146"/>
      <c r="Q181" s="2370"/>
      <c r="S181" s="2899"/>
    </row>
    <row r="182" spans="2:19" ht="15" customHeight="1" x14ac:dyDescent="0.25">
      <c r="B182" s="2367"/>
      <c r="C182" s="2369"/>
      <c r="D182" s="2369"/>
      <c r="E182" s="2369"/>
      <c r="F182" s="2146"/>
      <c r="G182" s="2146"/>
      <c r="H182" s="2146"/>
      <c r="I182" s="2146"/>
      <c r="J182" s="2146"/>
      <c r="K182" s="2146"/>
      <c r="L182" s="2146"/>
      <c r="M182" s="2146"/>
      <c r="N182" s="2146"/>
      <c r="O182" s="2146"/>
      <c r="P182" s="2146"/>
      <c r="Q182" s="2370"/>
      <c r="S182" s="2899"/>
    </row>
    <row r="183" spans="2:19" ht="18.75" customHeight="1" x14ac:dyDescent="0.25">
      <c r="B183" s="2328"/>
      <c r="C183" s="2395" t="s">
        <v>192</v>
      </c>
      <c r="D183" s="2351"/>
      <c r="E183" s="2319"/>
      <c r="F183" s="2319"/>
      <c r="G183" s="2319"/>
      <c r="H183" s="2319"/>
      <c r="I183" s="2319"/>
      <c r="J183" s="2319"/>
      <c r="K183" s="2319"/>
      <c r="L183" s="2319"/>
      <c r="M183" s="2319"/>
      <c r="N183" s="2319"/>
      <c r="O183" s="2319"/>
      <c r="P183" s="2319"/>
      <c r="Q183" s="2320"/>
      <c r="S183" s="2899"/>
    </row>
    <row r="184" spans="2:19" ht="6" customHeight="1" x14ac:dyDescent="0.25">
      <c r="B184" s="2328"/>
      <c r="C184" s="2404"/>
      <c r="D184" s="2351"/>
      <c r="E184" s="2319"/>
      <c r="F184" s="2319"/>
      <c r="G184" s="2319"/>
      <c r="H184" s="2319"/>
      <c r="I184" s="2319"/>
      <c r="J184" s="2319"/>
      <c r="K184" s="2319"/>
      <c r="L184" s="2319"/>
      <c r="M184" s="2319"/>
      <c r="N184" s="2319"/>
      <c r="O184" s="2319"/>
      <c r="P184" s="2319"/>
      <c r="Q184" s="2320"/>
      <c r="S184" s="2899"/>
    </row>
    <row r="185" spans="2:19" ht="14.25" customHeight="1" x14ac:dyDescent="0.25">
      <c r="B185" s="2328"/>
      <c r="C185" s="648"/>
      <c r="D185" s="265"/>
      <c r="E185" s="266"/>
      <c r="F185" s="266"/>
      <c r="G185" s="266"/>
      <c r="H185" s="266"/>
      <c r="I185" s="266"/>
      <c r="J185" s="266"/>
      <c r="K185" s="266"/>
      <c r="L185" s="266"/>
      <c r="M185" s="266"/>
      <c r="N185" s="266"/>
      <c r="O185" s="266"/>
      <c r="P185" s="267"/>
      <c r="Q185" s="2320"/>
      <c r="S185" s="2899"/>
    </row>
    <row r="186" spans="2:19" ht="15.75" customHeight="1" x14ac:dyDescent="0.25">
      <c r="B186" s="2365" t="str">
        <f>IF(ISBLANK(H186)=FALSE,"","u")</f>
        <v>u</v>
      </c>
      <c r="C186" s="2929" t="s">
        <v>2048</v>
      </c>
      <c r="D186" s="2930"/>
      <c r="E186" s="2930"/>
      <c r="F186" s="2930"/>
      <c r="G186" s="2930"/>
      <c r="H186" s="2947"/>
      <c r="I186" s="2948"/>
      <c r="J186" s="2948"/>
      <c r="K186" s="2949"/>
      <c r="L186" s="1155" t="str">
        <f>IF(OR(ISBLANK(H186),H186='MENU DÉROULANT'!C70),"","Vous pouvez donc passer à la section suivante du PGA.")</f>
        <v/>
      </c>
      <c r="M186" s="1051"/>
      <c r="N186" s="1051"/>
      <c r="O186" s="1051"/>
      <c r="P186" s="272"/>
      <c r="Q186" s="2320"/>
      <c r="S186" s="2899"/>
    </row>
    <row r="187" spans="2:19" ht="15.75" customHeight="1" x14ac:dyDescent="0.25">
      <c r="B187" s="2365" t="s">
        <v>124</v>
      </c>
      <c r="C187" s="2929"/>
      <c r="D187" s="2930"/>
      <c r="E187" s="2930"/>
      <c r="F187" s="2930"/>
      <c r="G187" s="2930"/>
      <c r="H187" s="2950"/>
      <c r="I187" s="2951"/>
      <c r="J187" s="2951"/>
      <c r="K187" s="2952"/>
      <c r="L187" s="2912" t="str">
        <f>IF(OR(ISBLANK(H186),H186='MENU DÉROULANT'!C70),"","Notez toutefois que dans ce cas, aucun visuel n'apparaitra dans le sommaire concernant les niveaux de service.")</f>
        <v/>
      </c>
      <c r="M187" s="2912"/>
      <c r="N187" s="2912"/>
      <c r="O187" s="2912"/>
      <c r="P187" s="686"/>
      <c r="Q187" s="2401"/>
      <c r="S187" s="2899"/>
    </row>
    <row r="188" spans="2:19" ht="16.5" customHeight="1" x14ac:dyDescent="0.25">
      <c r="B188" s="2328"/>
      <c r="C188" s="649"/>
      <c r="D188" s="647"/>
      <c r="E188" s="85"/>
      <c r="F188" s="85"/>
      <c r="G188" s="85"/>
      <c r="H188" s="85"/>
      <c r="I188" s="85"/>
      <c r="J188" s="85"/>
      <c r="K188" s="85"/>
      <c r="L188" s="2913"/>
      <c r="M188" s="2913"/>
      <c r="N188" s="2913"/>
      <c r="O188" s="2913"/>
      <c r="P188" s="618"/>
      <c r="Q188" s="2401"/>
      <c r="S188" s="2899"/>
    </row>
    <row r="189" spans="2:19" ht="31.5" customHeight="1" x14ac:dyDescent="0.25">
      <c r="B189" s="2365"/>
      <c r="C189" s="385"/>
      <c r="D189" s="297"/>
      <c r="E189" s="658"/>
      <c r="F189" s="2939" t="s">
        <v>130</v>
      </c>
      <c r="G189" s="2939"/>
      <c r="H189" s="3046"/>
      <c r="I189" s="3047"/>
      <c r="J189" s="3047"/>
      <c r="K189" s="3047"/>
      <c r="L189" s="3047"/>
      <c r="M189" s="3047"/>
      <c r="N189" s="3047"/>
      <c r="O189" s="3048"/>
      <c r="P189" s="617"/>
      <c r="Q189" s="2320"/>
      <c r="S189" s="2899"/>
    </row>
    <row r="190" spans="2:19" ht="15" customHeight="1" x14ac:dyDescent="0.25">
      <c r="B190" s="2328"/>
      <c r="C190" s="650"/>
      <c r="D190" s="651"/>
      <c r="E190" s="312"/>
      <c r="F190" s="312"/>
      <c r="G190" s="312"/>
      <c r="H190" s="312"/>
      <c r="I190" s="312"/>
      <c r="J190" s="312"/>
      <c r="K190" s="312"/>
      <c r="L190" s="312"/>
      <c r="M190" s="652"/>
      <c r="N190" s="652"/>
      <c r="O190" s="652"/>
      <c r="P190" s="653"/>
      <c r="Q190" s="2401"/>
      <c r="S190" s="2899"/>
    </row>
    <row r="191" spans="2:19" ht="18.75" customHeight="1" x14ac:dyDescent="0.25">
      <c r="B191" s="2328"/>
      <c r="C191" s="2351"/>
      <c r="D191" s="2351"/>
      <c r="E191" s="2319"/>
      <c r="F191" s="2319"/>
      <c r="G191" s="2319"/>
      <c r="H191" s="2319"/>
      <c r="I191" s="2319"/>
      <c r="J191" s="2319"/>
      <c r="K191" s="2319"/>
      <c r="L191" s="2319"/>
      <c r="M191" s="2319"/>
      <c r="N191" s="2319"/>
      <c r="O191" s="2319"/>
      <c r="P191" s="2319"/>
      <c r="Q191" s="2320"/>
      <c r="S191" s="2899"/>
    </row>
    <row r="192" spans="2:19" ht="22.5" customHeight="1" x14ac:dyDescent="0.25">
      <c r="B192" s="2328"/>
      <c r="C192" s="2959" t="s">
        <v>1548</v>
      </c>
      <c r="D192" s="2960"/>
      <c r="E192" s="2960"/>
      <c r="F192" s="2960"/>
      <c r="G192" s="316"/>
      <c r="H192" s="316"/>
      <c r="I192" s="316"/>
      <c r="J192" s="316"/>
      <c r="K192" s="316"/>
      <c r="L192" s="316"/>
      <c r="M192" s="316"/>
      <c r="N192" s="316"/>
      <c r="O192" s="991"/>
      <c r="P192" s="317"/>
      <c r="Q192" s="2320"/>
      <c r="S192" s="2899"/>
    </row>
    <row r="193" spans="2:19" ht="3" customHeight="1" x14ac:dyDescent="0.25">
      <c r="B193" s="2328"/>
      <c r="C193" s="2319"/>
      <c r="D193" s="2319"/>
      <c r="E193" s="2319"/>
      <c r="F193" s="2319"/>
      <c r="G193" s="2319"/>
      <c r="H193" s="2319"/>
      <c r="I193" s="2319"/>
      <c r="J193" s="2319"/>
      <c r="K193" s="2319"/>
      <c r="L193" s="2319"/>
      <c r="M193" s="2319"/>
      <c r="N193" s="2319"/>
      <c r="O193" s="2319"/>
      <c r="P193" s="2319"/>
      <c r="Q193" s="2320"/>
      <c r="S193" s="2899"/>
    </row>
    <row r="194" spans="2:19" ht="11.25" customHeight="1" x14ac:dyDescent="0.25">
      <c r="B194" s="2328"/>
      <c r="C194" s="264"/>
      <c r="D194" s="265"/>
      <c r="E194" s="266"/>
      <c r="F194" s="266"/>
      <c r="G194" s="266"/>
      <c r="H194" s="266"/>
      <c r="I194" s="266"/>
      <c r="J194" s="266"/>
      <c r="K194" s="266"/>
      <c r="L194" s="266"/>
      <c r="M194" s="266"/>
      <c r="N194" s="266"/>
      <c r="O194" s="266"/>
      <c r="P194" s="267"/>
      <c r="Q194" s="2320"/>
      <c r="S194" s="2899"/>
    </row>
    <row r="195" spans="2:19" ht="33.75" customHeight="1" x14ac:dyDescent="0.25">
      <c r="B195" s="2328"/>
      <c r="C195" s="3233" t="s">
        <v>2049</v>
      </c>
      <c r="D195" s="3234"/>
      <c r="E195" s="3234"/>
      <c r="F195" s="3234"/>
      <c r="G195" s="3234"/>
      <c r="H195" s="3234"/>
      <c r="I195" s="3234"/>
      <c r="J195" s="3234"/>
      <c r="K195" s="3234"/>
      <c r="L195" s="3234"/>
      <c r="M195" s="3234"/>
      <c r="N195" s="3234"/>
      <c r="O195" s="3234"/>
      <c r="P195" s="3235"/>
      <c r="Q195" s="2320"/>
      <c r="S195" s="2899"/>
    </row>
    <row r="196" spans="2:19" ht="24.75" customHeight="1" x14ac:dyDescent="0.25">
      <c r="B196" s="2328"/>
      <c r="C196" s="2963" t="s">
        <v>1860</v>
      </c>
      <c r="D196" s="2964"/>
      <c r="E196" s="2964"/>
      <c r="F196" s="2964"/>
      <c r="G196" s="2964"/>
      <c r="H196" s="2964"/>
      <c r="I196" s="2964"/>
      <c r="J196" s="2964"/>
      <c r="K196" s="2964"/>
      <c r="L196" s="2964"/>
      <c r="M196" s="2964"/>
      <c r="N196" s="2964"/>
      <c r="O196" s="2964"/>
      <c r="P196" s="2965"/>
      <c r="Q196" s="2320"/>
      <c r="S196" s="2899"/>
    </row>
    <row r="197" spans="2:19" ht="10.5" customHeight="1" x14ac:dyDescent="0.25">
      <c r="B197" s="2328"/>
      <c r="C197" s="362"/>
      <c r="D197" s="321"/>
      <c r="E197" s="85"/>
      <c r="F197" s="85"/>
      <c r="G197" s="85"/>
      <c r="H197" s="85"/>
      <c r="I197" s="55"/>
      <c r="J197" s="85"/>
      <c r="K197" s="85"/>
      <c r="L197" s="85"/>
      <c r="M197" s="85"/>
      <c r="N197" s="85"/>
      <c r="O197" s="85"/>
      <c r="P197" s="272"/>
      <c r="Q197" s="2320"/>
      <c r="S197" s="2899"/>
    </row>
    <row r="198" spans="2:19" s="72" customFormat="1" ht="26.25" customHeight="1" thickBot="1" x14ac:dyDescent="0.3">
      <c r="B198" s="2328"/>
      <c r="C198" s="368"/>
      <c r="D198" s="2973" t="s">
        <v>1460</v>
      </c>
      <c r="E198" s="2973"/>
      <c r="F198" s="2973" t="s">
        <v>1457</v>
      </c>
      <c r="G198" s="2973"/>
      <c r="H198" s="2973" t="s">
        <v>1459</v>
      </c>
      <c r="I198" s="2973"/>
      <c r="J198" s="2973" t="s">
        <v>1458</v>
      </c>
      <c r="K198" s="2973"/>
      <c r="L198" s="507" t="s">
        <v>1596</v>
      </c>
      <c r="M198" s="544"/>
      <c r="N198" s="370"/>
      <c r="O198" s="357"/>
      <c r="P198" s="272"/>
      <c r="Q198" s="2320"/>
      <c r="S198" s="2899"/>
    </row>
    <row r="199" spans="2:19" ht="26.25" customHeight="1" thickTop="1" x14ac:dyDescent="0.25">
      <c r="B199" s="2365" t="str">
        <f>IF(OR(ISBLANK(D199),ISBLANK(F199),ISBLANK(H199),ISBLANK(J199))=FALSE,"","w")</f>
        <v>w</v>
      </c>
      <c r="C199" s="508">
        <v>1</v>
      </c>
      <c r="D199" s="2905"/>
      <c r="E199" s="2906"/>
      <c r="F199" s="2905"/>
      <c r="G199" s="2906"/>
      <c r="H199" s="2905"/>
      <c r="I199" s="2906"/>
      <c r="J199" s="2905"/>
      <c r="K199" s="2906"/>
      <c r="L199" s="2976"/>
      <c r="M199" s="2977"/>
      <c r="N199" s="2977"/>
      <c r="O199" s="2978"/>
      <c r="P199" s="272"/>
      <c r="Q199" s="2320"/>
      <c r="S199" s="2899"/>
    </row>
    <row r="200" spans="2:19" ht="26.25" customHeight="1" x14ac:dyDescent="0.25">
      <c r="B200" s="2365" t="str">
        <f t="shared" ref="B200:B201" si="0">IF(OR(ISBLANK(D200),ISBLANK(F200),ISBLANK(H200),ISBLANK(J200))=FALSE,"","w")</f>
        <v>w</v>
      </c>
      <c r="C200" s="508">
        <v>2</v>
      </c>
      <c r="D200" s="2905"/>
      <c r="E200" s="2906"/>
      <c r="F200" s="2905"/>
      <c r="G200" s="2906"/>
      <c r="H200" s="2905"/>
      <c r="I200" s="2906"/>
      <c r="J200" s="2905"/>
      <c r="K200" s="2906"/>
      <c r="L200" s="2933"/>
      <c r="M200" s="2934"/>
      <c r="N200" s="2934"/>
      <c r="O200" s="2935"/>
      <c r="P200" s="272"/>
      <c r="Q200" s="2320"/>
      <c r="S200" s="2899"/>
    </row>
    <row r="201" spans="2:19" ht="26.25" customHeight="1" x14ac:dyDescent="0.25">
      <c r="B201" s="2365" t="str">
        <f t="shared" si="0"/>
        <v>w</v>
      </c>
      <c r="C201" s="508">
        <v>3</v>
      </c>
      <c r="D201" s="2905"/>
      <c r="E201" s="2906"/>
      <c r="F201" s="2905"/>
      <c r="G201" s="2906"/>
      <c r="H201" s="2905"/>
      <c r="I201" s="2906"/>
      <c r="J201" s="2905"/>
      <c r="K201" s="2906"/>
      <c r="L201" s="2933"/>
      <c r="M201" s="2934"/>
      <c r="N201" s="2934"/>
      <c r="O201" s="2935"/>
      <c r="P201" s="272"/>
      <c r="Q201" s="2320"/>
      <c r="S201" s="2899"/>
    </row>
    <row r="202" spans="2:19" ht="26.25" customHeight="1" x14ac:dyDescent="0.25">
      <c r="B202" s="2328"/>
      <c r="C202" s="508">
        <v>4</v>
      </c>
      <c r="D202" s="2953"/>
      <c r="E202" s="2954"/>
      <c r="F202" s="2953"/>
      <c r="G202" s="2954"/>
      <c r="H202" s="2953"/>
      <c r="I202" s="2954"/>
      <c r="J202" s="2953"/>
      <c r="K202" s="2954"/>
      <c r="L202" s="2933"/>
      <c r="M202" s="2934"/>
      <c r="N202" s="2934"/>
      <c r="O202" s="2935"/>
      <c r="P202" s="272"/>
      <c r="Q202" s="2320"/>
      <c r="S202" s="2899"/>
    </row>
    <row r="203" spans="2:19" ht="26.25" customHeight="1" x14ac:dyDescent="0.25">
      <c r="B203" s="2328"/>
      <c r="C203" s="508">
        <v>5</v>
      </c>
      <c r="D203" s="2982"/>
      <c r="E203" s="2983"/>
      <c r="F203" s="2982"/>
      <c r="G203" s="2983"/>
      <c r="H203" s="2982"/>
      <c r="I203" s="2983"/>
      <c r="J203" s="2982"/>
      <c r="K203" s="2983"/>
      <c r="L203" s="2982"/>
      <c r="M203" s="3218"/>
      <c r="N203" s="3218"/>
      <c r="O203" s="2983"/>
      <c r="P203" s="617"/>
      <c r="Q203" s="2320"/>
      <c r="S203" s="2899"/>
    </row>
    <row r="204" spans="2:19" ht="17.25" customHeight="1" x14ac:dyDescent="0.25">
      <c r="B204" s="2328"/>
      <c r="C204" s="364"/>
      <c r="D204" s="365"/>
      <c r="E204" s="658"/>
      <c r="F204" s="367"/>
      <c r="G204" s="366"/>
      <c r="H204" s="615"/>
      <c r="I204" s="55"/>
      <c r="J204" s="658"/>
      <c r="K204" s="615"/>
      <c r="L204" s="658"/>
      <c r="M204" s="615"/>
      <c r="N204" s="658"/>
      <c r="O204" s="615"/>
      <c r="P204" s="617"/>
      <c r="Q204" s="2320"/>
      <c r="S204" s="2899"/>
    </row>
    <row r="205" spans="2:19" ht="50.25" customHeight="1" x14ac:dyDescent="0.25">
      <c r="B205" s="2328"/>
      <c r="C205" s="2941" t="s">
        <v>1597</v>
      </c>
      <c r="D205" s="2942"/>
      <c r="E205" s="2943"/>
      <c r="F205" s="2944"/>
      <c r="G205" s="2945"/>
      <c r="H205" s="2945"/>
      <c r="I205" s="2945"/>
      <c r="J205" s="2945"/>
      <c r="K205" s="2945"/>
      <c r="L205" s="2945"/>
      <c r="M205" s="2945"/>
      <c r="N205" s="2945"/>
      <c r="O205" s="2946"/>
      <c r="P205" s="617"/>
      <c r="Q205" s="2320"/>
      <c r="S205" s="2899"/>
    </row>
    <row r="206" spans="2:19" ht="15.75" customHeight="1" x14ac:dyDescent="0.25">
      <c r="B206" s="2328"/>
      <c r="C206" s="677"/>
      <c r="D206" s="321"/>
      <c r="E206" s="658"/>
      <c r="F206" s="615"/>
      <c r="G206" s="658"/>
      <c r="H206" s="615"/>
      <c r="I206" s="55"/>
      <c r="J206" s="658"/>
      <c r="K206" s="615"/>
      <c r="L206" s="658"/>
      <c r="M206" s="615"/>
      <c r="N206" s="658"/>
      <c r="O206" s="615"/>
      <c r="P206" s="617"/>
      <c r="Q206" s="2320"/>
      <c r="S206" s="2899"/>
    </row>
    <row r="207" spans="2:19" ht="18" customHeight="1" x14ac:dyDescent="0.25">
      <c r="B207" s="2328"/>
      <c r="C207" s="773" t="s">
        <v>1861</v>
      </c>
      <c r="D207" s="774"/>
      <c r="E207" s="775"/>
      <c r="F207" s="776"/>
      <c r="G207" s="776"/>
      <c r="H207" s="777"/>
      <c r="I207" s="778"/>
      <c r="J207" s="775"/>
      <c r="K207" s="775"/>
      <c r="L207" s="775"/>
      <c r="M207" s="776"/>
      <c r="N207" s="776"/>
      <c r="O207" s="779"/>
      <c r="P207" s="617"/>
      <c r="Q207" s="2320"/>
      <c r="S207" s="2899"/>
    </row>
    <row r="208" spans="2:19" ht="18" customHeight="1" x14ac:dyDescent="0.25">
      <c r="B208" s="2328"/>
      <c r="C208" s="781" t="s">
        <v>2047</v>
      </c>
      <c r="D208" s="774"/>
      <c r="E208" s="775"/>
      <c r="F208" s="776"/>
      <c r="G208" s="776"/>
      <c r="H208" s="777"/>
      <c r="I208" s="778"/>
      <c r="J208" s="627"/>
      <c r="K208" s="782"/>
      <c r="L208" s="775"/>
      <c r="M208" s="776"/>
      <c r="N208" s="776"/>
      <c r="O208" s="779"/>
      <c r="P208" s="617"/>
      <c r="Q208" s="2320"/>
      <c r="S208" s="2899"/>
    </row>
    <row r="209" spans="2:19" ht="16.5" customHeight="1" x14ac:dyDescent="0.25">
      <c r="B209" s="2328"/>
      <c r="C209" s="783"/>
      <c r="D209" s="774"/>
      <c r="E209" s="775"/>
      <c r="F209" s="776"/>
      <c r="G209" s="776"/>
      <c r="H209" s="777"/>
      <c r="I209" s="778"/>
      <c r="J209" s="784" t="s">
        <v>1618</v>
      </c>
      <c r="K209" s="627"/>
      <c r="L209" s="775"/>
      <c r="M209" s="776"/>
      <c r="N209" s="776"/>
      <c r="O209" s="779"/>
      <c r="P209" s="617"/>
      <c r="Q209" s="2320"/>
      <c r="S209" s="2899"/>
    </row>
    <row r="210" spans="2:19" ht="18" customHeight="1" x14ac:dyDescent="0.25">
      <c r="B210" s="2328"/>
      <c r="C210" s="614"/>
      <c r="D210" s="283"/>
      <c r="E210" s="312"/>
      <c r="F210" s="312"/>
      <c r="G210" s="312"/>
      <c r="H210" s="312"/>
      <c r="I210" s="277"/>
      <c r="J210" s="312"/>
      <c r="K210" s="312"/>
      <c r="L210" s="312"/>
      <c r="M210" s="312"/>
      <c r="N210" s="312"/>
      <c r="O210" s="312"/>
      <c r="P210" s="313"/>
      <c r="Q210" s="2320"/>
      <c r="S210" s="2899"/>
    </row>
    <row r="211" spans="2:19" ht="20.25" customHeight="1" x14ac:dyDescent="0.25">
      <c r="B211" s="2328"/>
      <c r="C211" s="2351"/>
      <c r="D211" s="2351"/>
      <c r="E211" s="2319"/>
      <c r="F211" s="2319"/>
      <c r="G211" s="2319"/>
      <c r="H211" s="2319"/>
      <c r="I211" s="2319"/>
      <c r="J211" s="2319"/>
      <c r="K211" s="2319"/>
      <c r="L211" s="2319"/>
      <c r="M211" s="2319"/>
      <c r="N211" s="2319"/>
      <c r="O211" s="2319"/>
      <c r="P211" s="2319"/>
      <c r="Q211" s="2320"/>
      <c r="S211" s="2899"/>
    </row>
    <row r="212" spans="2:19" ht="22.5" customHeight="1" x14ac:dyDescent="0.25">
      <c r="B212" s="2328"/>
      <c r="C212" s="2959" t="s">
        <v>1549</v>
      </c>
      <c r="D212" s="2960"/>
      <c r="E212" s="2960"/>
      <c r="F212" s="2960"/>
      <c r="G212" s="316"/>
      <c r="H212" s="316"/>
      <c r="I212" s="316"/>
      <c r="J212" s="316"/>
      <c r="K212" s="316"/>
      <c r="L212" s="316"/>
      <c r="M212" s="316"/>
      <c r="N212" s="316"/>
      <c r="O212" s="991"/>
      <c r="P212" s="317"/>
      <c r="Q212" s="2320"/>
      <c r="S212" s="2899"/>
    </row>
    <row r="213" spans="2:19" ht="3" customHeight="1" x14ac:dyDescent="0.25">
      <c r="B213" s="2328"/>
      <c r="C213" s="2319"/>
      <c r="D213" s="2319"/>
      <c r="E213" s="2319"/>
      <c r="F213" s="2319"/>
      <c r="G213" s="2319"/>
      <c r="H213" s="2319"/>
      <c r="I213" s="2319"/>
      <c r="J213" s="2319"/>
      <c r="K213" s="2319"/>
      <c r="L213" s="2319"/>
      <c r="M213" s="2319"/>
      <c r="N213" s="2319"/>
      <c r="O213" s="2319"/>
      <c r="P213" s="2319"/>
      <c r="Q213" s="2320"/>
      <c r="S213" s="2899"/>
    </row>
    <row r="214" spans="2:19" ht="16.5" customHeight="1" x14ac:dyDescent="0.25">
      <c r="B214" s="2328"/>
      <c r="C214" s="264"/>
      <c r="D214" s="265"/>
      <c r="E214" s="266"/>
      <c r="F214" s="266"/>
      <c r="G214" s="266"/>
      <c r="H214" s="266"/>
      <c r="I214" s="266"/>
      <c r="J214" s="266"/>
      <c r="K214" s="266"/>
      <c r="L214" s="266"/>
      <c r="M214" s="266"/>
      <c r="N214" s="266"/>
      <c r="O214" s="266"/>
      <c r="P214" s="267"/>
      <c r="Q214" s="2320"/>
      <c r="S214" s="2899"/>
    </row>
    <row r="215" spans="2:19" ht="24.75" customHeight="1" x14ac:dyDescent="0.25">
      <c r="B215" s="2328"/>
      <c r="C215" s="2963" t="s">
        <v>1863</v>
      </c>
      <c r="D215" s="2974"/>
      <c r="E215" s="2974"/>
      <c r="F215" s="2974"/>
      <c r="G215" s="2974"/>
      <c r="H215" s="2974"/>
      <c r="I215" s="2974"/>
      <c r="J215" s="2974"/>
      <c r="K215" s="2974"/>
      <c r="L215" s="2974"/>
      <c r="M215" s="2974"/>
      <c r="N215" s="2974"/>
      <c r="O215" s="2974"/>
      <c r="P215" s="2975"/>
      <c r="Q215" s="2320"/>
      <c r="S215" s="2899"/>
    </row>
    <row r="216" spans="2:19" ht="41.25" customHeight="1" x14ac:dyDescent="0.25">
      <c r="B216" s="2328"/>
      <c r="C216" s="3219" t="s">
        <v>1864</v>
      </c>
      <c r="D216" s="3220"/>
      <c r="E216" s="3220"/>
      <c r="F216" s="3220"/>
      <c r="G216" s="3220"/>
      <c r="H216" s="3220"/>
      <c r="I216" s="3220"/>
      <c r="J216" s="3220"/>
      <c r="K216" s="3220"/>
      <c r="L216" s="3220"/>
      <c r="M216" s="3220"/>
      <c r="N216" s="3220"/>
      <c r="O216" s="3220"/>
      <c r="P216" s="3221"/>
      <c r="Q216" s="2320"/>
      <c r="S216" s="2899"/>
    </row>
    <row r="217" spans="2:19" ht="23.25" customHeight="1" x14ac:dyDescent="0.25">
      <c r="B217" s="2328"/>
      <c r="C217" s="623" t="s">
        <v>1547</v>
      </c>
      <c r="D217" s="505"/>
      <c r="E217" s="505"/>
      <c r="F217" s="505"/>
      <c r="G217" s="505"/>
      <c r="H217" s="505"/>
      <c r="I217" s="505"/>
      <c r="J217" s="505"/>
      <c r="K217" s="505"/>
      <c r="L217" s="505"/>
      <c r="M217" s="505"/>
      <c r="N217" s="505"/>
      <c r="O217" s="505"/>
      <c r="P217" s="506"/>
      <c r="Q217" s="2320"/>
      <c r="S217" s="2899"/>
    </row>
    <row r="218" spans="2:19" ht="10.5" customHeight="1" x14ac:dyDescent="0.25">
      <c r="B218" s="2328"/>
      <c r="C218" s="677"/>
      <c r="D218" s="321"/>
      <c r="E218" s="658"/>
      <c r="F218" s="615"/>
      <c r="G218" s="658"/>
      <c r="H218" s="615"/>
      <c r="I218" s="55"/>
      <c r="J218" s="658"/>
      <c r="K218" s="615"/>
      <c r="L218" s="658"/>
      <c r="M218" s="615"/>
      <c r="N218" s="658"/>
      <c r="O218" s="615"/>
      <c r="P218" s="617"/>
      <c r="Q218" s="2320"/>
      <c r="S218" s="2899"/>
    </row>
    <row r="219" spans="2:19" s="72" customFormat="1" ht="36" customHeight="1" thickBot="1" x14ac:dyDescent="0.3">
      <c r="B219" s="2328"/>
      <c r="C219" s="368"/>
      <c r="D219" s="2973" t="s">
        <v>1440</v>
      </c>
      <c r="E219" s="2973"/>
      <c r="F219" s="502" t="s">
        <v>1442</v>
      </c>
      <c r="G219" s="502" t="s">
        <v>1443</v>
      </c>
      <c r="H219" s="669" t="s">
        <v>1439</v>
      </c>
      <c r="I219" s="2966" t="s">
        <v>1441</v>
      </c>
      <c r="J219" s="2967"/>
      <c r="K219" s="669" t="s">
        <v>227</v>
      </c>
      <c r="L219" s="664" t="s">
        <v>228</v>
      </c>
      <c r="M219" s="2966" t="s">
        <v>219</v>
      </c>
      <c r="N219" s="2967"/>
      <c r="O219" s="2968"/>
      <c r="P219" s="272"/>
      <c r="Q219" s="2320"/>
      <c r="S219" s="2899"/>
    </row>
    <row r="220" spans="2:19" ht="35.25" customHeight="1" thickTop="1" x14ac:dyDescent="0.25">
      <c r="B220" s="2365" t="str">
        <f>IF(OR(ISBLANK(D220),ISBLANK(F220),ISBLANK(G220),ISBLANK(H220),ISBLANK(I220))=FALSE,"","w")</f>
        <v>w</v>
      </c>
      <c r="C220" s="508">
        <v>1</v>
      </c>
      <c r="D220" s="2971"/>
      <c r="E220" s="2972"/>
      <c r="F220" s="635"/>
      <c r="G220" s="671"/>
      <c r="H220" s="670"/>
      <c r="I220" s="2969"/>
      <c r="J220" s="2970"/>
      <c r="K220" s="674"/>
      <c r="L220" s="674"/>
      <c r="M220" s="3236"/>
      <c r="N220" s="3237"/>
      <c r="O220" s="3238"/>
      <c r="P220" s="272"/>
      <c r="Q220" s="2320"/>
      <c r="S220" s="2899"/>
    </row>
    <row r="221" spans="2:19" ht="35.25" customHeight="1" x14ac:dyDescent="0.25">
      <c r="B221" s="2365" t="str">
        <f>IF(OR(ISBLANK(D221),ISBLANK(F221),ISBLANK(G221),ISBLANK(H221),ISBLANK(I221))=FALSE,"","w")</f>
        <v>w</v>
      </c>
      <c r="C221" s="508">
        <v>2</v>
      </c>
      <c r="D221" s="2971"/>
      <c r="E221" s="2972"/>
      <c r="F221" s="636"/>
      <c r="G221" s="673"/>
      <c r="H221" s="672"/>
      <c r="I221" s="2955"/>
      <c r="J221" s="2956"/>
      <c r="K221" s="666"/>
      <c r="L221" s="666"/>
      <c r="M221" s="2907"/>
      <c r="N221" s="2908"/>
      <c r="O221" s="2909"/>
      <c r="P221" s="272"/>
      <c r="Q221" s="2320"/>
      <c r="S221" s="2899"/>
    </row>
    <row r="222" spans="2:19" ht="35.25" customHeight="1" x14ac:dyDescent="0.25">
      <c r="B222" s="2365" t="str">
        <f>IF(OR(ISBLANK(D222),ISBLANK(F222),ISBLANK(G222),ISBLANK(H222),ISBLANK(I222))=FALSE,"","w")</f>
        <v>w</v>
      </c>
      <c r="C222" s="508">
        <v>3</v>
      </c>
      <c r="D222" s="2971"/>
      <c r="E222" s="2972"/>
      <c r="F222" s="636"/>
      <c r="G222" s="673"/>
      <c r="H222" s="672"/>
      <c r="I222" s="2955"/>
      <c r="J222" s="2956"/>
      <c r="K222" s="666"/>
      <c r="L222" s="666"/>
      <c r="M222" s="2907"/>
      <c r="N222" s="2908"/>
      <c r="O222" s="2909"/>
      <c r="P222" s="272"/>
      <c r="Q222" s="2320"/>
      <c r="S222" s="2899"/>
    </row>
    <row r="223" spans="2:19" ht="35.25" customHeight="1" x14ac:dyDescent="0.25">
      <c r="B223" s="2328"/>
      <c r="C223" s="508">
        <v>4</v>
      </c>
      <c r="D223" s="2931"/>
      <c r="E223" s="2932"/>
      <c r="F223" s="637"/>
      <c r="G223" s="666"/>
      <c r="H223" s="665"/>
      <c r="I223" s="2907"/>
      <c r="J223" s="2909"/>
      <c r="K223" s="666"/>
      <c r="L223" s="666"/>
      <c r="M223" s="2907"/>
      <c r="N223" s="2908"/>
      <c r="O223" s="2909"/>
      <c r="P223" s="272"/>
      <c r="Q223" s="2320"/>
      <c r="S223" s="2899"/>
    </row>
    <row r="224" spans="2:19" ht="35.25" customHeight="1" x14ac:dyDescent="0.25">
      <c r="B224" s="2328"/>
      <c r="C224" s="508">
        <v>5</v>
      </c>
      <c r="D224" s="2931"/>
      <c r="E224" s="2932"/>
      <c r="F224" s="637"/>
      <c r="G224" s="666"/>
      <c r="H224" s="665"/>
      <c r="I224" s="2907"/>
      <c r="J224" s="2909"/>
      <c r="K224" s="666"/>
      <c r="L224" s="666"/>
      <c r="M224" s="2907"/>
      <c r="N224" s="2908"/>
      <c r="O224" s="2909"/>
      <c r="P224" s="272"/>
      <c r="Q224" s="2320"/>
      <c r="S224" s="2899"/>
    </row>
    <row r="225" spans="2:20" ht="35.25" customHeight="1" x14ac:dyDescent="0.25">
      <c r="B225" s="2328"/>
      <c r="C225" s="508">
        <v>6</v>
      </c>
      <c r="D225" s="2931"/>
      <c r="E225" s="2932"/>
      <c r="F225" s="637"/>
      <c r="G225" s="666"/>
      <c r="H225" s="665"/>
      <c r="I225" s="2907"/>
      <c r="J225" s="2909"/>
      <c r="K225" s="666"/>
      <c r="L225" s="666"/>
      <c r="M225" s="2907"/>
      <c r="N225" s="2908"/>
      <c r="O225" s="2909"/>
      <c r="P225" s="272"/>
      <c r="Q225" s="2320"/>
      <c r="S225" s="2899"/>
    </row>
    <row r="226" spans="2:20" ht="35.25" customHeight="1" x14ac:dyDescent="0.25">
      <c r="B226" s="2328"/>
      <c r="C226" s="508">
        <v>7</v>
      </c>
      <c r="D226" s="2931"/>
      <c r="E226" s="2932"/>
      <c r="F226" s="637"/>
      <c r="G226" s="666"/>
      <c r="H226" s="665"/>
      <c r="I226" s="2907"/>
      <c r="J226" s="2909"/>
      <c r="K226" s="666"/>
      <c r="L226" s="666"/>
      <c r="M226" s="2907"/>
      <c r="N226" s="2908"/>
      <c r="O226" s="2909"/>
      <c r="P226" s="272"/>
      <c r="Q226" s="2320"/>
      <c r="S226" s="2899"/>
    </row>
    <row r="227" spans="2:20" ht="35.25" customHeight="1" x14ac:dyDescent="0.25">
      <c r="B227" s="2328"/>
      <c r="C227" s="508">
        <v>8</v>
      </c>
      <c r="D227" s="2931"/>
      <c r="E227" s="2932"/>
      <c r="F227" s="637"/>
      <c r="G227" s="666"/>
      <c r="H227" s="665"/>
      <c r="I227" s="2907"/>
      <c r="J227" s="2909"/>
      <c r="K227" s="666"/>
      <c r="L227" s="666"/>
      <c r="M227" s="2907"/>
      <c r="N227" s="2908"/>
      <c r="O227" s="2909"/>
      <c r="P227" s="272"/>
      <c r="Q227" s="2320"/>
      <c r="S227" s="2899"/>
    </row>
    <row r="228" spans="2:20" ht="35.25" customHeight="1" x14ac:dyDescent="0.25">
      <c r="B228" s="2328"/>
      <c r="C228" s="508">
        <v>9</v>
      </c>
      <c r="D228" s="2931"/>
      <c r="E228" s="2932"/>
      <c r="F228" s="637"/>
      <c r="G228" s="666"/>
      <c r="H228" s="665"/>
      <c r="I228" s="2907"/>
      <c r="J228" s="2909"/>
      <c r="K228" s="666"/>
      <c r="L228" s="666"/>
      <c r="M228" s="2907"/>
      <c r="N228" s="2908"/>
      <c r="O228" s="2909"/>
      <c r="P228" s="617"/>
      <c r="Q228" s="2320"/>
      <c r="S228" s="2899"/>
    </row>
    <row r="229" spans="2:20" ht="35.25" customHeight="1" x14ac:dyDescent="0.25">
      <c r="B229" s="2328"/>
      <c r="C229" s="508">
        <v>10</v>
      </c>
      <c r="D229" s="3216"/>
      <c r="E229" s="3217"/>
      <c r="F229" s="638"/>
      <c r="G229" s="661"/>
      <c r="H229" s="660"/>
      <c r="I229" s="2957"/>
      <c r="J229" s="2958"/>
      <c r="K229" s="661"/>
      <c r="L229" s="661"/>
      <c r="M229" s="3216"/>
      <c r="N229" s="3239"/>
      <c r="O229" s="3217"/>
      <c r="P229" s="617"/>
      <c r="Q229" s="2320"/>
      <c r="S229" s="2899"/>
      <c r="T229" s="380"/>
    </row>
    <row r="230" spans="2:20" ht="17.25" customHeight="1" x14ac:dyDescent="0.25">
      <c r="B230" s="2328"/>
      <c r="C230" s="677"/>
      <c r="D230" s="321"/>
      <c r="E230" s="658"/>
      <c r="F230" s="615"/>
      <c r="G230" s="658"/>
      <c r="H230" s="615"/>
      <c r="I230" s="55"/>
      <c r="J230" s="658"/>
      <c r="K230" s="615"/>
      <c r="L230" s="658"/>
      <c r="M230" s="615"/>
      <c r="N230" s="658"/>
      <c r="O230" s="615"/>
      <c r="P230" s="617"/>
      <c r="Q230" s="2320"/>
      <c r="S230" s="2899"/>
    </row>
    <row r="231" spans="2:20" ht="50.25" customHeight="1" x14ac:dyDescent="0.25">
      <c r="B231" s="2328"/>
      <c r="C231" s="2941" t="s">
        <v>1598</v>
      </c>
      <c r="D231" s="2942"/>
      <c r="E231" s="2943"/>
      <c r="F231" s="2944"/>
      <c r="G231" s="2945"/>
      <c r="H231" s="2945"/>
      <c r="I231" s="2945"/>
      <c r="J231" s="2945"/>
      <c r="K231" s="2945"/>
      <c r="L231" s="2945"/>
      <c r="M231" s="2945"/>
      <c r="N231" s="2945"/>
      <c r="O231" s="2946"/>
      <c r="P231" s="617"/>
      <c r="Q231" s="2320"/>
      <c r="S231" s="2899"/>
    </row>
    <row r="232" spans="2:20" ht="18.75" customHeight="1" x14ac:dyDescent="0.25">
      <c r="B232" s="2328"/>
      <c r="C232" s="677"/>
      <c r="D232" s="321"/>
      <c r="E232" s="658"/>
      <c r="F232" s="615"/>
      <c r="G232" s="658"/>
      <c r="H232" s="615"/>
      <c r="I232" s="55"/>
      <c r="J232" s="658"/>
      <c r="K232" s="615"/>
      <c r="L232" s="658"/>
      <c r="M232" s="615"/>
      <c r="N232" s="658"/>
      <c r="O232" s="615"/>
      <c r="P232" s="617"/>
      <c r="Q232" s="2320"/>
      <c r="S232" s="2899"/>
    </row>
    <row r="233" spans="2:20" ht="18" customHeight="1" x14ac:dyDescent="0.25">
      <c r="B233" s="2328"/>
      <c r="C233" s="773" t="s">
        <v>1861</v>
      </c>
      <c r="D233" s="774"/>
      <c r="E233" s="775"/>
      <c r="F233" s="776"/>
      <c r="G233" s="776"/>
      <c r="H233" s="777"/>
      <c r="I233" s="778"/>
      <c r="J233" s="775"/>
      <c r="K233" s="775"/>
      <c r="L233" s="775"/>
      <c r="M233" s="776"/>
      <c r="N233" s="776"/>
      <c r="O233" s="779"/>
      <c r="P233" s="617"/>
      <c r="Q233" s="2320"/>
      <c r="S233" s="2899"/>
    </row>
    <row r="234" spans="2:20" ht="18" customHeight="1" x14ac:dyDescent="0.25">
      <c r="B234" s="2328"/>
      <c r="C234" s="781" t="s">
        <v>2047</v>
      </c>
      <c r="D234" s="774"/>
      <c r="E234" s="775"/>
      <c r="F234" s="776"/>
      <c r="G234" s="776"/>
      <c r="H234" s="777"/>
      <c r="I234" s="778"/>
      <c r="J234" s="627"/>
      <c r="K234" s="782"/>
      <c r="L234" s="775"/>
      <c r="M234" s="776"/>
      <c r="N234" s="776"/>
      <c r="O234" s="779"/>
      <c r="P234" s="617"/>
      <c r="Q234" s="2320"/>
      <c r="S234" s="2899"/>
    </row>
    <row r="235" spans="2:20" ht="16.5" customHeight="1" x14ac:dyDescent="0.25">
      <c r="B235" s="2328"/>
      <c r="C235" s="783"/>
      <c r="D235" s="774"/>
      <c r="E235" s="775"/>
      <c r="F235" s="776"/>
      <c r="G235" s="776"/>
      <c r="H235" s="777"/>
      <c r="I235" s="778"/>
      <c r="J235" s="784" t="s">
        <v>1618</v>
      </c>
      <c r="K235" s="627"/>
      <c r="L235" s="775"/>
      <c r="M235" s="776"/>
      <c r="N235" s="776"/>
      <c r="O235" s="779"/>
      <c r="P235" s="617"/>
      <c r="Q235" s="2320"/>
      <c r="S235" s="2899"/>
    </row>
    <row r="236" spans="2:20" ht="18" customHeight="1" x14ac:dyDescent="0.25">
      <c r="B236" s="2328"/>
      <c r="C236" s="781" t="s">
        <v>1556</v>
      </c>
      <c r="D236" s="774"/>
      <c r="E236" s="775"/>
      <c r="F236" s="775"/>
      <c r="G236" s="775"/>
      <c r="H236" s="775"/>
      <c r="I236" s="778"/>
      <c r="J236" s="775"/>
      <c r="K236" s="775"/>
      <c r="L236" s="775"/>
      <c r="M236" s="775"/>
      <c r="N236" s="775"/>
      <c r="O236" s="775"/>
      <c r="P236" s="272"/>
      <c r="Q236" s="2320"/>
      <c r="S236" s="2899"/>
    </row>
    <row r="237" spans="2:20" ht="18" customHeight="1" x14ac:dyDescent="0.25">
      <c r="B237" s="2328"/>
      <c r="C237" s="781" t="s">
        <v>1865</v>
      </c>
      <c r="D237" s="774"/>
      <c r="E237" s="775"/>
      <c r="F237" s="775"/>
      <c r="G237" s="775"/>
      <c r="H237" s="775"/>
      <c r="I237" s="778"/>
      <c r="J237" s="775"/>
      <c r="K237" s="775"/>
      <c r="L237" s="775"/>
      <c r="M237" s="775"/>
      <c r="N237" s="775"/>
      <c r="O237" s="775"/>
      <c r="P237" s="272"/>
      <c r="Q237" s="2320"/>
      <c r="S237" s="2899"/>
    </row>
    <row r="238" spans="2:20" ht="18" customHeight="1" x14ac:dyDescent="0.25">
      <c r="B238" s="2328"/>
      <c r="C238" s="614"/>
      <c r="D238" s="283"/>
      <c r="E238" s="312"/>
      <c r="F238" s="312"/>
      <c r="G238" s="312"/>
      <c r="H238" s="312"/>
      <c r="I238" s="277"/>
      <c r="J238" s="312"/>
      <c r="K238" s="312"/>
      <c r="L238" s="312"/>
      <c r="M238" s="312"/>
      <c r="N238" s="312"/>
      <c r="O238" s="312"/>
      <c r="P238" s="313"/>
      <c r="Q238" s="2320"/>
      <c r="S238" s="2899"/>
    </row>
    <row r="239" spans="2:20" ht="18" customHeight="1" x14ac:dyDescent="0.25">
      <c r="B239" s="2328"/>
      <c r="C239" s="2371"/>
      <c r="D239" s="2319"/>
      <c r="E239" s="2319"/>
      <c r="F239" s="2319"/>
      <c r="G239" s="2319"/>
      <c r="H239" s="2319"/>
      <c r="I239" s="2319"/>
      <c r="J239" s="2319"/>
      <c r="K239" s="2319"/>
      <c r="L239" s="2319"/>
      <c r="M239" s="2319"/>
      <c r="N239" s="2319"/>
      <c r="O239" s="2319"/>
      <c r="P239" s="2319"/>
      <c r="Q239" s="2320"/>
      <c r="S239" s="2899"/>
    </row>
    <row r="240" spans="2:20" ht="17.25" customHeight="1" x14ac:dyDescent="0.25">
      <c r="B240" s="2328"/>
      <c r="C240" s="2372" t="s">
        <v>188</v>
      </c>
      <c r="D240" s="2319"/>
      <c r="E240" s="2319"/>
      <c r="F240" s="2319"/>
      <c r="G240" s="2319"/>
      <c r="H240" s="2319"/>
      <c r="I240" s="2736" t="str">
        <f>IF((OR(ISBLANK(F613),ISBLANK(F614))=FALSE),"Complété","À compléter")</f>
        <v>À compléter</v>
      </c>
      <c r="J240" s="2736" t="str">
        <f>IF((OR(ISBLANK(F613),ISBLANK(F614),ISBLANK(K613),ISBLANK(K614))=FALSE),"Complété","À compléter")</f>
        <v>À compléter</v>
      </c>
      <c r="K240" s="2319"/>
      <c r="L240" s="2319"/>
      <c r="M240" s="2319"/>
      <c r="N240" s="2319"/>
      <c r="O240" s="2319"/>
      <c r="P240" s="2319"/>
      <c r="Q240" s="2320"/>
      <c r="S240" s="2899"/>
    </row>
    <row r="241" spans="1:19" ht="18" customHeight="1" x14ac:dyDescent="0.25">
      <c r="B241" s="2328"/>
      <c r="C241" s="2146"/>
      <c r="D241" s="2373"/>
      <c r="E241" s="3418" t="s">
        <v>185</v>
      </c>
      <c r="F241" s="3418"/>
      <c r="G241" s="3418"/>
      <c r="H241" s="3419"/>
      <c r="I241" s="359" t="str">
        <f>IF($M$73='MENU DÉROULANT'!$C$63,I240,J240)</f>
        <v>À compléter</v>
      </c>
      <c r="J241" s="3420" t="s">
        <v>186</v>
      </c>
      <c r="K241" s="3420"/>
      <c r="L241" s="3420"/>
      <c r="M241" s="3420"/>
      <c r="N241" s="3420"/>
      <c r="O241" s="3420"/>
      <c r="P241" s="3420"/>
      <c r="Q241" s="2320"/>
      <c r="S241" s="2899"/>
    </row>
    <row r="242" spans="1:19" ht="6.75" customHeight="1" x14ac:dyDescent="0.25">
      <c r="B242" s="2328"/>
      <c r="C242" s="2319"/>
      <c r="D242" s="2373"/>
      <c r="E242" s="2373"/>
      <c r="F242" s="2373"/>
      <c r="G242" s="2373"/>
      <c r="H242" s="2373"/>
      <c r="I242" s="2319"/>
      <c r="J242" s="2374"/>
      <c r="K242" s="2374"/>
      <c r="L242" s="2374"/>
      <c r="M242" s="2374"/>
      <c r="N242" s="2374"/>
      <c r="O242" s="2374"/>
      <c r="P242" s="2374"/>
      <c r="Q242" s="2320"/>
      <c r="S242" s="2899"/>
    </row>
    <row r="243" spans="1:19" ht="18" customHeight="1" x14ac:dyDescent="0.25">
      <c r="B243" s="2328"/>
      <c r="C243" s="2319"/>
      <c r="D243" s="3418" t="s">
        <v>1594</v>
      </c>
      <c r="E243" s="3418"/>
      <c r="F243" s="3418"/>
      <c r="G243" s="3418"/>
      <c r="H243" s="3419"/>
      <c r="I243" s="359" t="str">
        <f>IF($M$73='MENU DÉROULANT'!$C$63,I244,J244)</f>
        <v>À compléter</v>
      </c>
      <c r="J243" s="3420" t="s">
        <v>187</v>
      </c>
      <c r="K243" s="3420"/>
      <c r="L243" s="3420"/>
      <c r="M243" s="3420"/>
      <c r="N243" s="3420"/>
      <c r="O243" s="3420"/>
      <c r="P243" s="3420"/>
      <c r="Q243" s="2320"/>
      <c r="S243" s="2899"/>
    </row>
    <row r="244" spans="1:19" ht="27.75" customHeight="1" x14ac:dyDescent="0.25">
      <c r="B244" s="2328"/>
      <c r="C244" s="2319"/>
      <c r="D244" s="2359"/>
      <c r="E244" s="2359"/>
      <c r="F244" s="2359"/>
      <c r="G244" s="2359"/>
      <c r="H244" s="2359"/>
      <c r="I244" s="2736" t="str">
        <f>IF((OR(ISBLANK(F675),ISBLANK(F676))=FALSE),"Complété","À compléter")</f>
        <v>À compléter</v>
      </c>
      <c r="J244" s="2736" t="str">
        <f>IF((OR(ISBLANK(F675),ISBLANK(F676),ISBLANK(K675),ISBLANK(K676))=FALSE),"Complété","À compléter")</f>
        <v>À compléter</v>
      </c>
      <c r="K244" s="2361"/>
      <c r="L244" s="2361"/>
      <c r="M244" s="2361"/>
      <c r="N244" s="2361"/>
      <c r="O244" s="2361"/>
      <c r="P244" s="2361"/>
      <c r="Q244" s="2320"/>
      <c r="S244" s="2899"/>
    </row>
    <row r="245" spans="1:19" ht="18" customHeight="1" x14ac:dyDescent="0.25">
      <c r="B245" s="2328"/>
      <c r="C245" s="2362" t="s">
        <v>1573</v>
      </c>
      <c r="D245" s="2359"/>
      <c r="E245" s="2359"/>
      <c r="F245" s="2359"/>
      <c r="G245" s="2146"/>
      <c r="H245" s="3416" t="s">
        <v>1487</v>
      </c>
      <c r="I245" s="3416"/>
      <c r="J245" s="2146"/>
      <c r="K245" s="2146"/>
      <c r="L245" s="2361"/>
      <c r="M245" s="2361"/>
      <c r="N245" s="2361"/>
      <c r="O245" s="2361"/>
      <c r="P245" s="2361"/>
      <c r="Q245" s="2320"/>
      <c r="S245" s="2899"/>
    </row>
    <row r="246" spans="1:19" ht="13.5" customHeight="1" thickBot="1" x14ac:dyDescent="0.3">
      <c r="B246" s="2400"/>
      <c r="C246" s="2332"/>
      <c r="D246" s="2332"/>
      <c r="E246" s="2332"/>
      <c r="F246" s="2332"/>
      <c r="G246" s="2332"/>
      <c r="H246" s="2332"/>
      <c r="I246" s="2332"/>
      <c r="J246" s="2332"/>
      <c r="K246" s="2332"/>
      <c r="L246" s="2332"/>
      <c r="M246" s="2332"/>
      <c r="N246" s="2332"/>
      <c r="O246" s="2332"/>
      <c r="P246" s="2332"/>
      <c r="Q246" s="2399"/>
      <c r="S246" s="2904"/>
    </row>
    <row r="247" spans="1:19" ht="15.75" thickBot="1" x14ac:dyDescent="0.3">
      <c r="B247" s="699"/>
      <c r="S247" s="627"/>
    </row>
    <row r="248" spans="1:19" ht="22.5" customHeight="1" thickBot="1" x14ac:dyDescent="0.3">
      <c r="A248" s="1225"/>
      <c r="B248" s="2134" t="s">
        <v>2337</v>
      </c>
      <c r="C248" s="2134"/>
      <c r="D248" s="2134"/>
      <c r="E248" s="2134"/>
      <c r="F248" s="2134"/>
      <c r="G248" s="2134"/>
      <c r="H248" s="2134"/>
      <c r="I248" s="2134"/>
      <c r="J248" s="2134"/>
      <c r="K248" s="2134"/>
      <c r="L248" s="2339"/>
      <c r="M248" s="2339"/>
      <c r="N248" s="2339"/>
      <c r="O248" s="3435" t="s">
        <v>1641</v>
      </c>
      <c r="P248" s="3435"/>
      <c r="Q248" s="3435"/>
      <c r="S248" s="628" t="s">
        <v>1537</v>
      </c>
    </row>
    <row r="249" spans="1:19" ht="9.75" customHeight="1" thickBot="1" x14ac:dyDescent="0.3">
      <c r="S249" s="629"/>
    </row>
    <row r="250" spans="1:19" ht="8.25" customHeight="1" x14ac:dyDescent="0.25">
      <c r="B250" s="2340"/>
      <c r="C250" s="2341"/>
      <c r="D250" s="2341"/>
      <c r="E250" s="2342"/>
      <c r="F250" s="2343"/>
      <c r="G250" s="2343"/>
      <c r="H250" s="2343"/>
      <c r="I250" s="2343"/>
      <c r="J250" s="2343"/>
      <c r="K250" s="2343"/>
      <c r="L250" s="2343"/>
      <c r="M250" s="2343"/>
      <c r="N250" s="2343"/>
      <c r="O250" s="2343"/>
      <c r="P250" s="2343"/>
      <c r="Q250" s="2344"/>
      <c r="S250" s="2900"/>
    </row>
    <row r="251" spans="1:19" ht="18" customHeight="1" x14ac:dyDescent="0.25">
      <c r="B251" s="2402"/>
      <c r="C251" s="2346" t="s">
        <v>34</v>
      </c>
      <c r="D251" s="2346"/>
      <c r="E251" s="2403"/>
      <c r="F251" s="2146"/>
      <c r="G251" s="2146"/>
      <c r="H251" s="2146"/>
      <c r="I251" s="2146"/>
      <c r="J251" s="2146"/>
      <c r="K251" s="2146"/>
      <c r="L251" s="2146"/>
      <c r="M251" s="2146"/>
      <c r="N251" s="2368" t="s">
        <v>59</v>
      </c>
      <c r="O251" s="359" t="str">
        <f>IF(OR(ISBLANK(H258))=FALSE,"Complété","À compléter")</f>
        <v>À compléter</v>
      </c>
      <c r="P251" s="2146"/>
      <c r="Q251" s="2370"/>
      <c r="S251" s="2899"/>
    </row>
    <row r="252" spans="1:19" ht="6.75" customHeight="1" x14ac:dyDescent="0.25">
      <c r="B252" s="2367"/>
      <c r="C252" s="2369"/>
      <c r="D252" s="2369"/>
      <c r="E252" s="2369"/>
      <c r="F252" s="2146"/>
      <c r="G252" s="2146"/>
      <c r="H252" s="2146"/>
      <c r="I252" s="2146"/>
      <c r="J252" s="2146"/>
      <c r="K252" s="2146"/>
      <c r="L252" s="2146"/>
      <c r="M252" s="2146"/>
      <c r="N252" s="2146"/>
      <c r="O252" s="2146"/>
      <c r="P252" s="2146"/>
      <c r="Q252" s="2370"/>
      <c r="S252" s="2899"/>
    </row>
    <row r="253" spans="1:19" ht="17.25" customHeight="1" x14ac:dyDescent="0.25">
      <c r="B253" s="2367"/>
      <c r="C253" s="3417" t="s">
        <v>1590</v>
      </c>
      <c r="D253" s="3417"/>
      <c r="E253" s="3417"/>
      <c r="F253" s="3417"/>
      <c r="G253" s="3417"/>
      <c r="H253" s="3417"/>
      <c r="I253" s="3417"/>
      <c r="J253" s="3417"/>
      <c r="K253" s="3417"/>
      <c r="L253" s="3417"/>
      <c r="M253" s="3417"/>
      <c r="N253" s="2146"/>
      <c r="O253" s="2146"/>
      <c r="P253" s="2146"/>
      <c r="Q253" s="2370"/>
      <c r="S253" s="2899"/>
    </row>
    <row r="254" spans="1:19" ht="15" customHeight="1" x14ac:dyDescent="0.25">
      <c r="B254" s="2367"/>
      <c r="C254" s="2369"/>
      <c r="D254" s="2369"/>
      <c r="E254" s="2369"/>
      <c r="F254" s="2146"/>
      <c r="G254" s="2146"/>
      <c r="H254" s="2146"/>
      <c r="I254" s="2146"/>
      <c r="J254" s="2146"/>
      <c r="K254" s="2146"/>
      <c r="L254" s="2146"/>
      <c r="M254" s="2146"/>
      <c r="N254" s="2146"/>
      <c r="O254" s="2146"/>
      <c r="P254" s="2146"/>
      <c r="Q254" s="2370"/>
      <c r="S254" s="2899"/>
    </row>
    <row r="255" spans="1:19" ht="18.75" customHeight="1" x14ac:dyDescent="0.25">
      <c r="B255" s="2328"/>
      <c r="C255" s="2395" t="s">
        <v>214</v>
      </c>
      <c r="D255" s="2351"/>
      <c r="E255" s="2319"/>
      <c r="F255" s="2319"/>
      <c r="G255" s="2319"/>
      <c r="H255" s="2319"/>
      <c r="I255" s="2319"/>
      <c r="J255" s="2319"/>
      <c r="K255" s="2319"/>
      <c r="L255" s="2319"/>
      <c r="M255" s="2319"/>
      <c r="N255" s="2319"/>
      <c r="O255" s="2319"/>
      <c r="P255" s="2319"/>
      <c r="Q255" s="2320"/>
      <c r="S255" s="2899"/>
    </row>
    <row r="256" spans="1:19" ht="6" customHeight="1" x14ac:dyDescent="0.25">
      <c r="B256" s="2328"/>
      <c r="C256" s="2404"/>
      <c r="D256" s="2351"/>
      <c r="E256" s="2319"/>
      <c r="F256" s="2319"/>
      <c r="G256" s="2319"/>
      <c r="H256" s="2319"/>
      <c r="I256" s="2319"/>
      <c r="J256" s="2319"/>
      <c r="K256" s="2319"/>
      <c r="L256" s="2319"/>
      <c r="M256" s="2319"/>
      <c r="N256" s="2319"/>
      <c r="O256" s="2319"/>
      <c r="P256" s="2319"/>
      <c r="Q256" s="2320"/>
      <c r="S256" s="2899"/>
    </row>
    <row r="257" spans="2:19" ht="14.25" customHeight="1" x14ac:dyDescent="0.25">
      <c r="B257" s="2328"/>
      <c r="C257" s="648"/>
      <c r="D257" s="265"/>
      <c r="E257" s="266"/>
      <c r="F257" s="266"/>
      <c r="G257" s="266"/>
      <c r="H257" s="266"/>
      <c r="I257" s="266"/>
      <c r="J257" s="266"/>
      <c r="K257" s="266"/>
      <c r="L257" s="266"/>
      <c r="M257" s="266"/>
      <c r="N257" s="266"/>
      <c r="O257" s="266"/>
      <c r="P257" s="267"/>
      <c r="Q257" s="2320"/>
      <c r="S257" s="2899"/>
    </row>
    <row r="258" spans="2:19" ht="15.75" customHeight="1" x14ac:dyDescent="0.25">
      <c r="B258" s="2365" t="str">
        <f>IF(ISBLANK(H258)=FALSE,"","u")</f>
        <v>u</v>
      </c>
      <c r="C258" s="2929" t="s">
        <v>2051</v>
      </c>
      <c r="D258" s="2930"/>
      <c r="E258" s="2930"/>
      <c r="F258" s="2930"/>
      <c r="G258" s="2930"/>
      <c r="H258" s="2947"/>
      <c r="I258" s="2948"/>
      <c r="J258" s="2948"/>
      <c r="K258" s="2949"/>
      <c r="L258" s="2910" t="str">
        <f>IF(OR(ISBLANK(H258),H258='MENU DÉROULANT'!C83),"","Vous pouvez donc passer à la section suivante du PGA.")</f>
        <v/>
      </c>
      <c r="M258" s="2911"/>
      <c r="N258" s="2911"/>
      <c r="O258" s="2911"/>
      <c r="P258" s="272"/>
      <c r="Q258" s="2320"/>
      <c r="S258" s="2899"/>
    </row>
    <row r="259" spans="2:19" ht="15.75" customHeight="1" x14ac:dyDescent="0.25">
      <c r="B259" s="2365" t="s">
        <v>124</v>
      </c>
      <c r="C259" s="2929"/>
      <c r="D259" s="2930"/>
      <c r="E259" s="2930"/>
      <c r="F259" s="2930"/>
      <c r="G259" s="2930"/>
      <c r="H259" s="2950"/>
      <c r="I259" s="2951"/>
      <c r="J259" s="2951"/>
      <c r="K259" s="2952"/>
      <c r="L259" s="2912" t="str">
        <f>IF(OR(ISBLANK(H258),H258='MENU DÉROULANT'!C83),"","Notez toutefois que dans ce cas, aucun visuel n'apparaitra dans le sommaire concernant la gestion des risques.")</f>
        <v/>
      </c>
      <c r="M259" s="2912"/>
      <c r="N259" s="2912"/>
      <c r="O259" s="2912"/>
      <c r="P259" s="686"/>
      <c r="Q259" s="2401"/>
      <c r="S259" s="2899"/>
    </row>
    <row r="260" spans="2:19" ht="16.5" customHeight="1" x14ac:dyDescent="0.25">
      <c r="B260" s="2328"/>
      <c r="C260" s="649"/>
      <c r="D260" s="647"/>
      <c r="E260" s="85"/>
      <c r="F260" s="85"/>
      <c r="G260" s="85"/>
      <c r="H260" s="85"/>
      <c r="I260" s="85"/>
      <c r="J260" s="85"/>
      <c r="K260" s="85"/>
      <c r="L260" s="2913"/>
      <c r="M260" s="2913"/>
      <c r="N260" s="2913"/>
      <c r="O260" s="2913"/>
      <c r="P260" s="618"/>
      <c r="Q260" s="2401"/>
      <c r="S260" s="2899"/>
    </row>
    <row r="261" spans="2:19" ht="31.5" customHeight="1" x14ac:dyDescent="0.25">
      <c r="B261" s="2365"/>
      <c r="C261" s="385"/>
      <c r="D261" s="297"/>
      <c r="E261" s="658"/>
      <c r="F261" s="2939" t="s">
        <v>130</v>
      </c>
      <c r="G261" s="2939"/>
      <c r="H261" s="2828"/>
      <c r="I261" s="2860"/>
      <c r="J261" s="2860"/>
      <c r="K261" s="2860"/>
      <c r="L261" s="2860"/>
      <c r="M261" s="2860"/>
      <c r="N261" s="2860"/>
      <c r="O261" s="2829"/>
      <c r="P261" s="617"/>
      <c r="Q261" s="2320"/>
      <c r="S261" s="2899"/>
    </row>
    <row r="262" spans="2:19" ht="15" customHeight="1" x14ac:dyDescent="0.25">
      <c r="B262" s="2328"/>
      <c r="C262" s="650"/>
      <c r="D262" s="651"/>
      <c r="E262" s="312"/>
      <c r="F262" s="312"/>
      <c r="G262" s="312"/>
      <c r="H262" s="312"/>
      <c r="I262" s="312"/>
      <c r="J262" s="312"/>
      <c r="K262" s="312"/>
      <c r="L262" s="312"/>
      <c r="M262" s="652"/>
      <c r="N262" s="652"/>
      <c r="O262" s="652"/>
      <c r="P262" s="653"/>
      <c r="Q262" s="2401"/>
      <c r="S262" s="2899"/>
    </row>
    <row r="263" spans="2:19" ht="18.75" customHeight="1" x14ac:dyDescent="0.25">
      <c r="B263" s="2328"/>
      <c r="C263" s="2351"/>
      <c r="D263" s="2351"/>
      <c r="E263" s="2319"/>
      <c r="F263" s="2319"/>
      <c r="G263" s="2319"/>
      <c r="H263" s="2319"/>
      <c r="I263" s="2319"/>
      <c r="J263" s="2319"/>
      <c r="K263" s="2319"/>
      <c r="L263" s="2319"/>
      <c r="M263" s="2319"/>
      <c r="N263" s="2319"/>
      <c r="O263" s="2319"/>
      <c r="P263" s="2319"/>
      <c r="Q263" s="2320"/>
      <c r="S263" s="2899"/>
    </row>
    <row r="264" spans="2:19" ht="12.75" customHeight="1" x14ac:dyDescent="0.25">
      <c r="B264" s="2328"/>
      <c r="C264" s="264"/>
      <c r="D264" s="265"/>
      <c r="E264" s="266"/>
      <c r="F264" s="266"/>
      <c r="G264" s="266"/>
      <c r="H264" s="266"/>
      <c r="I264" s="266"/>
      <c r="J264" s="266"/>
      <c r="K264" s="266"/>
      <c r="L264" s="266"/>
      <c r="M264" s="266"/>
      <c r="N264" s="266"/>
      <c r="O264" s="266"/>
      <c r="P264" s="267"/>
      <c r="Q264" s="2320"/>
      <c r="S264" s="2899"/>
    </row>
    <row r="265" spans="2:19" ht="24" customHeight="1" x14ac:dyDescent="0.25">
      <c r="B265" s="2328"/>
      <c r="C265" s="655" t="s">
        <v>1833</v>
      </c>
      <c r="D265" s="321"/>
      <c r="E265" s="85"/>
      <c r="F265" s="363"/>
      <c r="G265" s="363"/>
      <c r="H265" s="615"/>
      <c r="I265" s="55"/>
      <c r="J265" s="85"/>
      <c r="K265" s="85"/>
      <c r="L265" s="85"/>
      <c r="M265" s="363"/>
      <c r="N265" s="363"/>
      <c r="O265" s="992"/>
      <c r="P265" s="617"/>
      <c r="Q265" s="2320"/>
      <c r="S265" s="2899"/>
    </row>
    <row r="266" spans="2:19" ht="15.75" customHeight="1" x14ac:dyDescent="0.25">
      <c r="B266" s="2328"/>
      <c r="C266" s="656" t="s">
        <v>1866</v>
      </c>
      <c r="D266" s="321"/>
      <c r="E266" s="85"/>
      <c r="F266" s="363"/>
      <c r="G266" s="363"/>
      <c r="H266" s="615"/>
      <c r="I266" s="55"/>
      <c r="J266" s="85"/>
      <c r="K266" s="85"/>
      <c r="L266" s="85"/>
      <c r="M266" s="363"/>
      <c r="N266" s="363"/>
      <c r="O266" s="658"/>
      <c r="P266" s="617"/>
      <c r="Q266" s="2320"/>
      <c r="S266" s="2899"/>
    </row>
    <row r="267" spans="2:19" ht="18.75" customHeight="1" x14ac:dyDescent="0.25">
      <c r="B267" s="2328"/>
      <c r="C267" s="362"/>
      <c r="D267" s="321"/>
      <c r="E267" s="85"/>
      <c r="F267" s="85"/>
      <c r="G267" s="85"/>
      <c r="H267" s="85"/>
      <c r="I267" s="55"/>
      <c r="J267" s="85"/>
      <c r="K267" s="85"/>
      <c r="L267" s="85"/>
      <c r="M267" s="85"/>
      <c r="N267" s="85"/>
      <c r="O267" s="85"/>
      <c r="P267" s="272"/>
      <c r="Q267" s="2320"/>
      <c r="S267" s="2899"/>
    </row>
    <row r="268" spans="2:19" s="72" customFormat="1" ht="21.75" customHeight="1" thickBot="1" x14ac:dyDescent="0.3">
      <c r="B268" s="2328"/>
      <c r="C268" s="368"/>
      <c r="D268" s="2940" t="s">
        <v>1832</v>
      </c>
      <c r="E268" s="2940"/>
      <c r="F268" s="2936" t="s">
        <v>207</v>
      </c>
      <c r="G268" s="2937"/>
      <c r="H268" s="2938"/>
      <c r="I268" s="632" t="s">
        <v>206</v>
      </c>
      <c r="J268" s="633"/>
      <c r="K268" s="633"/>
      <c r="L268" s="633"/>
      <c r="M268" s="633"/>
      <c r="N268" s="633"/>
      <c r="O268" s="357"/>
      <c r="P268" s="272"/>
      <c r="Q268" s="2320"/>
      <c r="S268" s="2899"/>
    </row>
    <row r="269" spans="2:19" ht="26.25" customHeight="1" thickTop="1" x14ac:dyDescent="0.25">
      <c r="B269" s="2365" t="str">
        <f>IF(ISBLANK(F269)=FALSE,"","w")</f>
        <v>w</v>
      </c>
      <c r="C269" s="369"/>
      <c r="D269" s="2924" t="s">
        <v>199</v>
      </c>
      <c r="E269" s="2925"/>
      <c r="F269" s="2918"/>
      <c r="G269" s="2919"/>
      <c r="H269" s="2920"/>
      <c r="I269" s="2926"/>
      <c r="J269" s="2927"/>
      <c r="K269" s="2927"/>
      <c r="L269" s="2927"/>
      <c r="M269" s="2927"/>
      <c r="N269" s="2927"/>
      <c r="O269" s="2928"/>
      <c r="P269" s="272"/>
      <c r="Q269" s="2320"/>
      <c r="S269" s="2899"/>
    </row>
    <row r="270" spans="2:19" ht="26.25" customHeight="1" x14ac:dyDescent="0.25">
      <c r="B270" s="2365" t="str">
        <f>IF(ISBLANK(F270)=FALSE,"","w")</f>
        <v>w</v>
      </c>
      <c r="C270" s="369"/>
      <c r="D270" s="2924" t="s">
        <v>197</v>
      </c>
      <c r="E270" s="2925"/>
      <c r="F270" s="2915"/>
      <c r="G270" s="2916"/>
      <c r="H270" s="2917"/>
      <c r="I270" s="2979"/>
      <c r="J270" s="2980"/>
      <c r="K270" s="2980"/>
      <c r="L270" s="2980"/>
      <c r="M270" s="2980"/>
      <c r="N270" s="2980"/>
      <c r="O270" s="2981"/>
      <c r="P270" s="272"/>
      <c r="Q270" s="2320"/>
      <c r="S270" s="2899"/>
    </row>
    <row r="271" spans="2:19" ht="26.25" customHeight="1" x14ac:dyDescent="0.25">
      <c r="B271" s="2365" t="str">
        <f>IF(ISBLANK(F271)=FALSE,"","w")</f>
        <v>w</v>
      </c>
      <c r="C271" s="369"/>
      <c r="D271" s="2961" t="s">
        <v>198</v>
      </c>
      <c r="E271" s="2962"/>
      <c r="F271" s="2915"/>
      <c r="G271" s="2916"/>
      <c r="H271" s="2917"/>
      <c r="I271" s="2979"/>
      <c r="J271" s="2980"/>
      <c r="K271" s="2980"/>
      <c r="L271" s="2980"/>
      <c r="M271" s="2980"/>
      <c r="N271" s="2980"/>
      <c r="O271" s="2981"/>
      <c r="P271" s="272"/>
      <c r="Q271" s="2320"/>
      <c r="S271" s="2899"/>
    </row>
    <row r="272" spans="2:19" ht="26.25" customHeight="1" x14ac:dyDescent="0.25">
      <c r="B272" s="2365" t="str">
        <f>IF(ISBLANK(F272)=FALSE,"","w")</f>
        <v>w</v>
      </c>
      <c r="C272" s="369"/>
      <c r="D272" s="2961" t="s">
        <v>201</v>
      </c>
      <c r="E272" s="2962"/>
      <c r="F272" s="2915"/>
      <c r="G272" s="2916"/>
      <c r="H272" s="2917"/>
      <c r="I272" s="2979"/>
      <c r="J272" s="2980"/>
      <c r="K272" s="2980"/>
      <c r="L272" s="2980"/>
      <c r="M272" s="2980"/>
      <c r="N272" s="2980"/>
      <c r="O272" s="2981"/>
      <c r="P272" s="272"/>
      <c r="Q272" s="2320"/>
      <c r="S272" s="2899"/>
    </row>
    <row r="273" spans="2:19" ht="26.25" customHeight="1" x14ac:dyDescent="0.25">
      <c r="B273" s="2365" t="str">
        <f>IF(ISBLANK(F273)=FALSE,"","w")</f>
        <v>w</v>
      </c>
      <c r="C273" s="369"/>
      <c r="D273" s="2961" t="s">
        <v>200</v>
      </c>
      <c r="E273" s="2962"/>
      <c r="F273" s="2915"/>
      <c r="G273" s="2916"/>
      <c r="H273" s="2917"/>
      <c r="I273" s="2979"/>
      <c r="J273" s="2980"/>
      <c r="K273" s="2980"/>
      <c r="L273" s="2980"/>
      <c r="M273" s="2980"/>
      <c r="N273" s="2980"/>
      <c r="O273" s="2981"/>
      <c r="P273" s="272"/>
      <c r="Q273" s="2320"/>
      <c r="S273" s="2899"/>
    </row>
    <row r="274" spans="2:19" ht="26.25" customHeight="1" x14ac:dyDescent="0.25">
      <c r="B274" s="2328"/>
      <c r="C274" s="369"/>
      <c r="D274" s="407" t="s">
        <v>224</v>
      </c>
      <c r="E274" s="729"/>
      <c r="F274" s="3211"/>
      <c r="G274" s="3212"/>
      <c r="H274" s="3213"/>
      <c r="I274" s="3208"/>
      <c r="J274" s="3209"/>
      <c r="K274" s="3209"/>
      <c r="L274" s="3209"/>
      <c r="M274" s="3209"/>
      <c r="N274" s="3209"/>
      <c r="O274" s="3210"/>
      <c r="P274" s="617"/>
      <c r="Q274" s="2320"/>
      <c r="S274" s="2899"/>
    </row>
    <row r="275" spans="2:19" ht="22.5" customHeight="1" x14ac:dyDescent="0.25">
      <c r="B275" s="2328"/>
      <c r="C275" s="364"/>
      <c r="D275" s="365"/>
      <c r="E275" s="366"/>
      <c r="F275" s="367"/>
      <c r="G275" s="366"/>
      <c r="H275" s="615"/>
      <c r="I275" s="55"/>
      <c r="J275" s="658"/>
      <c r="K275" s="615"/>
      <c r="L275" s="658"/>
      <c r="M275" s="615"/>
      <c r="N275" s="658"/>
      <c r="O275" s="615"/>
      <c r="P275" s="617"/>
      <c r="Q275" s="2320"/>
      <c r="S275" s="2899"/>
    </row>
    <row r="276" spans="2:19" ht="20.25" customHeight="1" x14ac:dyDescent="0.25">
      <c r="B276" s="2328"/>
      <c r="C276" s="3041" t="s">
        <v>1599</v>
      </c>
      <c r="D276" s="3042"/>
      <c r="E276" s="3043"/>
      <c r="F276" s="3204"/>
      <c r="G276" s="3205"/>
      <c r="H276" s="3205"/>
      <c r="I276" s="3205"/>
      <c r="J276" s="3205"/>
      <c r="K276" s="3205"/>
      <c r="L276" s="3205"/>
      <c r="M276" s="3205"/>
      <c r="N276" s="3205"/>
      <c r="O276" s="3206"/>
      <c r="P276" s="617"/>
      <c r="Q276" s="2320"/>
      <c r="S276" s="2899"/>
    </row>
    <row r="277" spans="2:19" ht="20.25" customHeight="1" x14ac:dyDescent="0.25">
      <c r="B277" s="2328"/>
      <c r="C277" s="3041"/>
      <c r="D277" s="3042"/>
      <c r="E277" s="3043"/>
      <c r="F277" s="2957"/>
      <c r="G277" s="3207"/>
      <c r="H277" s="3207"/>
      <c r="I277" s="3207"/>
      <c r="J277" s="3207"/>
      <c r="K277" s="3207"/>
      <c r="L277" s="3207"/>
      <c r="M277" s="3207"/>
      <c r="N277" s="3207"/>
      <c r="O277" s="2958"/>
      <c r="P277" s="617"/>
      <c r="Q277" s="2320"/>
      <c r="S277" s="2899"/>
    </row>
    <row r="278" spans="2:19" ht="13.5" customHeight="1" x14ac:dyDescent="0.25">
      <c r="B278" s="2328"/>
      <c r="C278" s="677"/>
      <c r="D278" s="321"/>
      <c r="E278" s="658"/>
      <c r="F278" s="615"/>
      <c r="G278" s="658"/>
      <c r="H278" s="615"/>
      <c r="I278" s="55"/>
      <c r="J278" s="658"/>
      <c r="K278" s="615"/>
      <c r="L278" s="658"/>
      <c r="M278" s="615"/>
      <c r="N278" s="658"/>
      <c r="O278" s="615"/>
      <c r="P278" s="617"/>
      <c r="Q278" s="2320"/>
      <c r="S278" s="2899"/>
    </row>
    <row r="279" spans="2:19" ht="18" customHeight="1" x14ac:dyDescent="0.25">
      <c r="B279" s="2328"/>
      <c r="C279" s="773" t="s">
        <v>1862</v>
      </c>
      <c r="D279" s="774"/>
      <c r="E279" s="775"/>
      <c r="F279" s="776"/>
      <c r="G279" s="776"/>
      <c r="H279" s="777"/>
      <c r="I279" s="778"/>
      <c r="J279" s="775"/>
      <c r="K279" s="775"/>
      <c r="L279" s="775"/>
      <c r="M279" s="776"/>
      <c r="N279" s="776"/>
      <c r="O279" s="779"/>
      <c r="P279" s="617"/>
      <c r="Q279" s="2320"/>
      <c r="S279" s="2899"/>
    </row>
    <row r="280" spans="2:19" ht="18" customHeight="1" x14ac:dyDescent="0.25">
      <c r="B280" s="2328"/>
      <c r="C280" s="781" t="s">
        <v>2047</v>
      </c>
      <c r="D280" s="774"/>
      <c r="E280" s="775"/>
      <c r="F280" s="776"/>
      <c r="G280" s="776"/>
      <c r="H280" s="777"/>
      <c r="I280" s="778"/>
      <c r="J280" s="627"/>
      <c r="K280" s="782"/>
      <c r="L280" s="775"/>
      <c r="M280" s="776"/>
      <c r="N280" s="776"/>
      <c r="O280" s="779"/>
      <c r="P280" s="617"/>
      <c r="Q280" s="2320"/>
      <c r="S280" s="2899"/>
    </row>
    <row r="281" spans="2:19" ht="16.5" customHeight="1" x14ac:dyDescent="0.25">
      <c r="B281" s="2328"/>
      <c r="C281" s="783"/>
      <c r="D281" s="774"/>
      <c r="E281" s="775"/>
      <c r="F281" s="776"/>
      <c r="G281" s="776"/>
      <c r="H281" s="777"/>
      <c r="I281" s="778"/>
      <c r="J281" s="784" t="s">
        <v>1618</v>
      </c>
      <c r="K281" s="627"/>
      <c r="L281" s="775"/>
      <c r="M281" s="776"/>
      <c r="N281" s="776"/>
      <c r="O281" s="779"/>
      <c r="P281" s="617"/>
      <c r="Q281" s="2320"/>
      <c r="S281" s="2899"/>
    </row>
    <row r="282" spans="2:19" ht="18" customHeight="1" x14ac:dyDescent="0.25">
      <c r="B282" s="2328"/>
      <c r="C282" s="614"/>
      <c r="D282" s="283"/>
      <c r="E282" s="312"/>
      <c r="F282" s="312"/>
      <c r="G282" s="312"/>
      <c r="H282" s="312"/>
      <c r="I282" s="277"/>
      <c r="J282" s="312"/>
      <c r="K282" s="312"/>
      <c r="L282" s="312"/>
      <c r="M282" s="312"/>
      <c r="N282" s="312"/>
      <c r="O282" s="312"/>
      <c r="P282" s="313"/>
      <c r="Q282" s="2320"/>
      <c r="S282" s="2899"/>
    </row>
    <row r="283" spans="2:19" ht="14.25" customHeight="1" x14ac:dyDescent="0.25">
      <c r="B283" s="2328"/>
      <c r="C283" s="2371"/>
      <c r="D283" s="2319"/>
      <c r="E283" s="2319"/>
      <c r="F283" s="2319"/>
      <c r="G283" s="2319"/>
      <c r="H283" s="2319"/>
      <c r="I283" s="2319"/>
      <c r="J283" s="2319"/>
      <c r="K283" s="2319"/>
      <c r="L283" s="2319"/>
      <c r="M283" s="2319"/>
      <c r="N283" s="2319"/>
      <c r="O283" s="2319"/>
      <c r="P283" s="2319"/>
      <c r="Q283" s="2320"/>
      <c r="S283" s="2899"/>
    </row>
    <row r="284" spans="2:19" ht="17.25" customHeight="1" x14ac:dyDescent="0.25">
      <c r="B284" s="2328"/>
      <c r="C284" s="2372" t="s">
        <v>188</v>
      </c>
      <c r="D284" s="2319"/>
      <c r="E284" s="2319"/>
      <c r="F284" s="2319"/>
      <c r="G284" s="2319"/>
      <c r="H284" s="2319"/>
      <c r="I284" s="2736" t="str">
        <f>IF((OR(ISBLANK(F617),ISBLANK(F618))=FALSE),"Complété","À compléter")</f>
        <v>À compléter</v>
      </c>
      <c r="J284" s="2736" t="str">
        <f>IF((OR(ISBLANK(F617),ISBLANK(F618),ISBLANK(K617),ISBLANK(K618))=FALSE),"Complété","À compléter")</f>
        <v>À compléter</v>
      </c>
      <c r="K284" s="2319"/>
      <c r="L284" s="2319"/>
      <c r="M284" s="2319"/>
      <c r="N284" s="2319"/>
      <c r="O284" s="2319"/>
      <c r="P284" s="2319"/>
      <c r="Q284" s="2320"/>
      <c r="S284" s="2899"/>
    </row>
    <row r="285" spans="2:19" ht="18" customHeight="1" x14ac:dyDescent="0.25">
      <c r="B285" s="2328"/>
      <c r="C285" s="2146"/>
      <c r="D285" s="2373"/>
      <c r="E285" s="3418" t="s">
        <v>185</v>
      </c>
      <c r="F285" s="3418"/>
      <c r="G285" s="3418"/>
      <c r="H285" s="3419"/>
      <c r="I285" s="359" t="str">
        <f>IF($M$73='MENU DÉROULANT'!$C$63,I284,J284)</f>
        <v>À compléter</v>
      </c>
      <c r="J285" s="3420" t="s">
        <v>186</v>
      </c>
      <c r="K285" s="3420"/>
      <c r="L285" s="3420"/>
      <c r="M285" s="3420"/>
      <c r="N285" s="3420"/>
      <c r="O285" s="3420"/>
      <c r="P285" s="3420"/>
      <c r="Q285" s="2320"/>
      <c r="S285" s="2899"/>
    </row>
    <row r="286" spans="2:19" ht="6.75" customHeight="1" x14ac:dyDescent="0.25">
      <c r="B286" s="2328"/>
      <c r="C286" s="2319"/>
      <c r="D286" s="2373"/>
      <c r="E286" s="2373"/>
      <c r="F286" s="2373"/>
      <c r="G286" s="2373"/>
      <c r="H286" s="2373"/>
      <c r="I286" s="2319"/>
      <c r="J286" s="2374"/>
      <c r="K286" s="2374"/>
      <c r="L286" s="2374"/>
      <c r="M286" s="2374"/>
      <c r="N286" s="2374"/>
      <c r="O286" s="2374"/>
      <c r="P286" s="2374"/>
      <c r="Q286" s="2320"/>
      <c r="S286" s="2899"/>
    </row>
    <row r="287" spans="2:19" ht="18" customHeight="1" x14ac:dyDescent="0.25">
      <c r="B287" s="2328"/>
      <c r="C287" s="2319"/>
      <c r="D287" s="3418" t="s">
        <v>1594</v>
      </c>
      <c r="E287" s="3418"/>
      <c r="F287" s="3418"/>
      <c r="G287" s="3418"/>
      <c r="H287" s="3419"/>
      <c r="I287" s="359" t="str">
        <f>IF($M$73='MENU DÉROULANT'!$C$63,I288,J288)</f>
        <v>À compléter</v>
      </c>
      <c r="J287" s="3420" t="s">
        <v>187</v>
      </c>
      <c r="K287" s="3420"/>
      <c r="L287" s="3420"/>
      <c r="M287" s="3420"/>
      <c r="N287" s="3420"/>
      <c r="O287" s="3420"/>
      <c r="P287" s="3420"/>
      <c r="Q287" s="2320"/>
      <c r="S287" s="2899"/>
    </row>
    <row r="288" spans="2:19" ht="17.25" customHeight="1" x14ac:dyDescent="0.25">
      <c r="B288" s="2328"/>
      <c r="C288" s="2319"/>
      <c r="D288" s="2359"/>
      <c r="E288" s="2359"/>
      <c r="F288" s="2359"/>
      <c r="G288" s="2359"/>
      <c r="H288" s="2359"/>
      <c r="I288" s="2736" t="str">
        <f>IF((OR(ISBLANK(F679))=FALSE),"Complété","À compléter")</f>
        <v>À compléter</v>
      </c>
      <c r="J288" s="2736" t="str">
        <f>IF((OR(ISBLANK(F679),ISBLANK(K679))=FALSE),"Complété","À compléter")</f>
        <v>À compléter</v>
      </c>
      <c r="K288" s="2361"/>
      <c r="L288" s="2361"/>
      <c r="M288" s="2361"/>
      <c r="N288" s="2361"/>
      <c r="O288" s="2361"/>
      <c r="P288" s="2361"/>
      <c r="Q288" s="2320"/>
      <c r="S288" s="2899"/>
    </row>
    <row r="289" spans="1:19" ht="18" customHeight="1" x14ac:dyDescent="0.25">
      <c r="B289" s="2328"/>
      <c r="C289" s="2362" t="s">
        <v>1573</v>
      </c>
      <c r="D289" s="2359"/>
      <c r="E289" s="2359"/>
      <c r="F289" s="2359"/>
      <c r="G289" s="2146"/>
      <c r="H289" s="3416" t="s">
        <v>1521</v>
      </c>
      <c r="I289" s="3416"/>
      <c r="J289" s="2146"/>
      <c r="K289" s="2146"/>
      <c r="L289" s="2361"/>
      <c r="M289" s="2361"/>
      <c r="N289" s="2361"/>
      <c r="O289" s="2361"/>
      <c r="P289" s="2361"/>
      <c r="Q289" s="2320"/>
      <c r="S289" s="2899"/>
    </row>
    <row r="290" spans="1:19" ht="13.5" customHeight="1" thickBot="1" x14ac:dyDescent="0.3">
      <c r="B290" s="2400"/>
      <c r="C290" s="2332"/>
      <c r="D290" s="2332"/>
      <c r="E290" s="2332"/>
      <c r="F290" s="2332"/>
      <c r="G290" s="2332"/>
      <c r="H290" s="2332"/>
      <c r="I290" s="2332"/>
      <c r="J290" s="2332"/>
      <c r="K290" s="2332"/>
      <c r="L290" s="2332"/>
      <c r="M290" s="2332"/>
      <c r="N290" s="2332"/>
      <c r="O290" s="2332"/>
      <c r="P290" s="2332"/>
      <c r="Q290" s="2399"/>
      <c r="S290" s="2904"/>
    </row>
    <row r="291" spans="1:19" ht="15.75" thickBot="1" x14ac:dyDescent="0.3">
      <c r="B291" s="699"/>
      <c r="S291" s="627"/>
    </row>
    <row r="292" spans="1:19" ht="22.5" customHeight="1" thickBot="1" x14ac:dyDescent="0.3">
      <c r="A292" s="1225"/>
      <c r="B292" s="2134" t="s">
        <v>2338</v>
      </c>
      <c r="C292" s="2134"/>
      <c r="D292" s="2134"/>
      <c r="E292" s="2134"/>
      <c r="F292" s="2134"/>
      <c r="G292" s="2134"/>
      <c r="H292" s="2134"/>
      <c r="I292" s="2134"/>
      <c r="J292" s="2134"/>
      <c r="K292" s="2134"/>
      <c r="L292" s="2339"/>
      <c r="M292" s="2339"/>
      <c r="N292" s="2339"/>
      <c r="O292" s="3435" t="s">
        <v>1641</v>
      </c>
      <c r="P292" s="3435"/>
      <c r="Q292" s="3435"/>
      <c r="S292" s="628" t="s">
        <v>1537</v>
      </c>
    </row>
    <row r="293" spans="1:19" ht="9.75" customHeight="1" thickBot="1" x14ac:dyDescent="0.3">
      <c r="S293" s="629"/>
    </row>
    <row r="294" spans="1:19" ht="8.25" customHeight="1" x14ac:dyDescent="0.25">
      <c r="B294" s="2340"/>
      <c r="C294" s="2341"/>
      <c r="D294" s="2341"/>
      <c r="E294" s="2342"/>
      <c r="F294" s="2343"/>
      <c r="G294" s="2343"/>
      <c r="H294" s="2343"/>
      <c r="I294" s="2343"/>
      <c r="J294" s="2343"/>
      <c r="K294" s="2343"/>
      <c r="L294" s="2343"/>
      <c r="M294" s="2343"/>
      <c r="N294" s="2343"/>
      <c r="O294" s="2343"/>
      <c r="P294" s="2343"/>
      <c r="Q294" s="2344"/>
      <c r="S294" s="2900"/>
    </row>
    <row r="295" spans="1:19" ht="18" customHeight="1" x14ac:dyDescent="0.25">
      <c r="B295" s="2402"/>
      <c r="C295" s="2346" t="s">
        <v>80</v>
      </c>
      <c r="D295" s="2346"/>
      <c r="E295" s="2403"/>
      <c r="F295" s="2146"/>
      <c r="G295" s="2146"/>
      <c r="H295" s="2146"/>
      <c r="I295" s="2146"/>
      <c r="J295" s="2146"/>
      <c r="K295" s="2146"/>
      <c r="L295" s="2146"/>
      <c r="M295" s="2146"/>
      <c r="N295" s="2368" t="s">
        <v>59</v>
      </c>
      <c r="O295" s="359" t="str">
        <f>IF(OR(ISBLANK(H302))=FALSE,"Complété","À compléter")</f>
        <v>À compléter</v>
      </c>
      <c r="P295" s="2146"/>
      <c r="Q295" s="2370"/>
      <c r="S295" s="2899"/>
    </row>
    <row r="296" spans="1:19" ht="8.25" customHeight="1" x14ac:dyDescent="0.25">
      <c r="B296" s="2367"/>
      <c r="C296" s="2369"/>
      <c r="D296" s="2369"/>
      <c r="E296" s="2369"/>
      <c r="F296" s="2146"/>
      <c r="G296" s="2146"/>
      <c r="H296" s="2146"/>
      <c r="I296" s="2146"/>
      <c r="J296" s="2146"/>
      <c r="K296" s="2146"/>
      <c r="L296" s="2146"/>
      <c r="M296" s="2146"/>
      <c r="N296" s="2146"/>
      <c r="O296" s="2146"/>
      <c r="P296" s="2146"/>
      <c r="Q296" s="2370"/>
      <c r="S296" s="2899"/>
    </row>
    <row r="297" spans="1:19" ht="17.25" customHeight="1" x14ac:dyDescent="0.25">
      <c r="B297" s="2367"/>
      <c r="C297" s="3417" t="s">
        <v>1590</v>
      </c>
      <c r="D297" s="3417"/>
      <c r="E297" s="3417"/>
      <c r="F297" s="3417"/>
      <c r="G297" s="3417"/>
      <c r="H297" s="3417"/>
      <c r="I297" s="3417"/>
      <c r="J297" s="3417"/>
      <c r="K297" s="3417"/>
      <c r="L297" s="3417"/>
      <c r="M297" s="3417"/>
      <c r="N297" s="2146"/>
      <c r="O297" s="2146"/>
      <c r="P297" s="2146"/>
      <c r="Q297" s="2370"/>
      <c r="S297" s="2899"/>
    </row>
    <row r="298" spans="1:19" ht="15" customHeight="1" x14ac:dyDescent="0.25">
      <c r="B298" s="2367"/>
      <c r="C298" s="2369"/>
      <c r="D298" s="2369"/>
      <c r="E298" s="2369"/>
      <c r="F298" s="2146"/>
      <c r="G298" s="2146"/>
      <c r="H298" s="2146"/>
      <c r="I298" s="2146"/>
      <c r="J298" s="2146"/>
      <c r="K298" s="2146"/>
      <c r="L298" s="2146"/>
      <c r="M298" s="2146"/>
      <c r="N298" s="2146"/>
      <c r="O298" s="2146"/>
      <c r="P298" s="2146"/>
      <c r="Q298" s="2370"/>
      <c r="S298" s="2899"/>
    </row>
    <row r="299" spans="1:19" ht="18.75" customHeight="1" x14ac:dyDescent="0.25">
      <c r="B299" s="2328"/>
      <c r="C299" s="2395" t="s">
        <v>1572</v>
      </c>
      <c r="D299" s="2351"/>
      <c r="E299" s="2319"/>
      <c r="F299" s="2319"/>
      <c r="G299" s="2319"/>
      <c r="H299" s="2319"/>
      <c r="I299" s="2319"/>
      <c r="J299" s="2319"/>
      <c r="K299" s="2319"/>
      <c r="L299" s="2319"/>
      <c r="M299" s="2319"/>
      <c r="N299" s="2319"/>
      <c r="O299" s="2319"/>
      <c r="P299" s="2319"/>
      <c r="Q299" s="2320"/>
      <c r="S299" s="2899"/>
    </row>
    <row r="300" spans="1:19" ht="6" customHeight="1" x14ac:dyDescent="0.25">
      <c r="B300" s="2328"/>
      <c r="C300" s="2404"/>
      <c r="D300" s="2351"/>
      <c r="E300" s="2319"/>
      <c r="F300" s="2319"/>
      <c r="G300" s="2319"/>
      <c r="H300" s="2319"/>
      <c r="I300" s="2319"/>
      <c r="J300" s="2319"/>
      <c r="K300" s="2319"/>
      <c r="L300" s="2319"/>
      <c r="M300" s="2319"/>
      <c r="N300" s="2319"/>
      <c r="O300" s="2319"/>
      <c r="P300" s="2319"/>
      <c r="Q300" s="2320"/>
      <c r="S300" s="2899"/>
    </row>
    <row r="301" spans="1:19" ht="14.25" customHeight="1" x14ac:dyDescent="0.25">
      <c r="B301" s="2328"/>
      <c r="C301" s="648"/>
      <c r="D301" s="265"/>
      <c r="E301" s="266"/>
      <c r="F301" s="266"/>
      <c r="G301" s="266"/>
      <c r="H301" s="266"/>
      <c r="I301" s="266"/>
      <c r="J301" s="266"/>
      <c r="K301" s="266"/>
      <c r="L301" s="266"/>
      <c r="M301" s="266"/>
      <c r="N301" s="266"/>
      <c r="O301" s="266"/>
      <c r="P301" s="267"/>
      <c r="Q301" s="2320"/>
      <c r="S301" s="2899"/>
    </row>
    <row r="302" spans="1:19" ht="15.75" customHeight="1" x14ac:dyDescent="0.25">
      <c r="B302" s="2365" t="str">
        <f>IF(ISBLANK(H302)=FALSE,"","u")</f>
        <v>u</v>
      </c>
      <c r="C302" s="2929" t="s">
        <v>2053</v>
      </c>
      <c r="D302" s="2930"/>
      <c r="E302" s="2930"/>
      <c r="F302" s="2930"/>
      <c r="G302" s="2930"/>
      <c r="H302" s="2947"/>
      <c r="I302" s="2948"/>
      <c r="J302" s="2948"/>
      <c r="K302" s="2949"/>
      <c r="L302" s="2910" t="str">
        <f>IF(OR(ISBLANK(H302),H302='MENU DÉROULANT'!C94),"","Vous pouvez donc passer à la section suivante du PGA.")</f>
        <v/>
      </c>
      <c r="M302" s="2911"/>
      <c r="N302" s="2911"/>
      <c r="O302" s="2911"/>
      <c r="P302" s="272"/>
      <c r="Q302" s="2320"/>
      <c r="S302" s="2899"/>
    </row>
    <row r="303" spans="1:19" ht="15.75" customHeight="1" x14ac:dyDescent="0.25">
      <c r="B303" s="2365" t="s">
        <v>124</v>
      </c>
      <c r="C303" s="2929"/>
      <c r="D303" s="2930"/>
      <c r="E303" s="2930"/>
      <c r="F303" s="2930"/>
      <c r="G303" s="2930"/>
      <c r="H303" s="2950"/>
      <c r="I303" s="2951"/>
      <c r="J303" s="2951"/>
      <c r="K303" s="2952"/>
      <c r="L303" s="2912" t="str">
        <f>IF(OR(ISBLANK(H302),H302='MENU DÉROULANT'!C94),"","Notez toutefois que dans ce cas, aucun visuel n'apparaitra dans le sommaire concernant la gestion de la demande à venir.")</f>
        <v/>
      </c>
      <c r="M303" s="2912"/>
      <c r="N303" s="2912"/>
      <c r="O303" s="2912"/>
      <c r="P303" s="686"/>
      <c r="Q303" s="2401"/>
      <c r="S303" s="2899"/>
    </row>
    <row r="304" spans="1:19" ht="16.5" customHeight="1" x14ac:dyDescent="0.25">
      <c r="B304" s="2328"/>
      <c r="C304" s="649"/>
      <c r="D304" s="647"/>
      <c r="E304" s="85"/>
      <c r="F304" s="85"/>
      <c r="G304" s="85"/>
      <c r="H304" s="85"/>
      <c r="I304" s="85"/>
      <c r="J304" s="85"/>
      <c r="K304" s="85"/>
      <c r="L304" s="2913"/>
      <c r="M304" s="2913"/>
      <c r="N304" s="2913"/>
      <c r="O304" s="2913"/>
      <c r="P304" s="618"/>
      <c r="Q304" s="2401"/>
      <c r="S304" s="2899"/>
    </row>
    <row r="305" spans="2:19" ht="31.5" customHeight="1" x14ac:dyDescent="0.25">
      <c r="B305" s="2365"/>
      <c r="C305" s="385"/>
      <c r="D305" s="297"/>
      <c r="E305" s="658"/>
      <c r="F305" s="2939" t="s">
        <v>130</v>
      </c>
      <c r="G305" s="2939"/>
      <c r="H305" s="2828"/>
      <c r="I305" s="2860"/>
      <c r="J305" s="2860"/>
      <c r="K305" s="2860"/>
      <c r="L305" s="2860"/>
      <c r="M305" s="2860"/>
      <c r="N305" s="2860"/>
      <c r="O305" s="2829"/>
      <c r="P305" s="617"/>
      <c r="Q305" s="2320"/>
      <c r="S305" s="2899"/>
    </row>
    <row r="306" spans="2:19" ht="15" customHeight="1" x14ac:dyDescent="0.25">
      <c r="B306" s="2328"/>
      <c r="C306" s="650"/>
      <c r="D306" s="651"/>
      <c r="E306" s="312"/>
      <c r="F306" s="312"/>
      <c r="G306" s="312"/>
      <c r="H306" s="312"/>
      <c r="I306" s="312"/>
      <c r="J306" s="312"/>
      <c r="K306" s="312"/>
      <c r="L306" s="312"/>
      <c r="M306" s="652"/>
      <c r="N306" s="652"/>
      <c r="O306" s="652"/>
      <c r="P306" s="653"/>
      <c r="Q306" s="2401"/>
      <c r="S306" s="2899"/>
    </row>
    <row r="307" spans="2:19" ht="18.75" customHeight="1" x14ac:dyDescent="0.25">
      <c r="B307" s="2328"/>
      <c r="C307" s="2351"/>
      <c r="D307" s="2351"/>
      <c r="E307" s="2319"/>
      <c r="F307" s="2319"/>
      <c r="G307" s="2319"/>
      <c r="H307" s="2319"/>
      <c r="I307" s="2319"/>
      <c r="J307" s="2319"/>
      <c r="K307" s="2319"/>
      <c r="L307" s="2319"/>
      <c r="M307" s="2319"/>
      <c r="N307" s="2319"/>
      <c r="O307" s="2319"/>
      <c r="P307" s="2319"/>
      <c r="Q307" s="2320"/>
      <c r="S307" s="2899"/>
    </row>
    <row r="308" spans="2:19" ht="10.5" customHeight="1" x14ac:dyDescent="0.25">
      <c r="B308" s="2328"/>
      <c r="C308" s="264"/>
      <c r="D308" s="265"/>
      <c r="E308" s="266"/>
      <c r="F308" s="266"/>
      <c r="G308" s="266"/>
      <c r="H308" s="266"/>
      <c r="I308" s="266"/>
      <c r="J308" s="266"/>
      <c r="K308" s="266"/>
      <c r="L308" s="266"/>
      <c r="M308" s="266"/>
      <c r="N308" s="266"/>
      <c r="O308" s="266"/>
      <c r="P308" s="267"/>
      <c r="Q308" s="2320"/>
      <c r="S308" s="2899"/>
    </row>
    <row r="309" spans="2:19" ht="21.75" customHeight="1" x14ac:dyDescent="0.25">
      <c r="B309" s="2328"/>
      <c r="C309" s="657" t="s">
        <v>1835</v>
      </c>
      <c r="D309" s="321"/>
      <c r="E309" s="85"/>
      <c r="F309" s="363"/>
      <c r="G309" s="363"/>
      <c r="H309" s="615"/>
      <c r="I309" s="55"/>
      <c r="J309" s="85"/>
      <c r="K309" s="85"/>
      <c r="L309" s="85"/>
      <c r="M309" s="363"/>
      <c r="N309" s="363"/>
      <c r="O309" s="992"/>
      <c r="P309" s="617"/>
      <c r="Q309" s="2320"/>
      <c r="S309" s="2899"/>
    </row>
    <row r="310" spans="2:19" ht="15.75" customHeight="1" x14ac:dyDescent="0.25">
      <c r="B310" s="2328"/>
      <c r="C310" s="362"/>
      <c r="D310" s="321"/>
      <c r="E310" s="85"/>
      <c r="F310" s="85"/>
      <c r="G310" s="85"/>
      <c r="H310" s="85"/>
      <c r="I310" s="55"/>
      <c r="J310" s="85"/>
      <c r="K310" s="85"/>
      <c r="L310" s="85"/>
      <c r="M310" s="85"/>
      <c r="N310" s="85"/>
      <c r="O310" s="85"/>
      <c r="P310" s="272"/>
      <c r="Q310" s="2320"/>
      <c r="S310" s="2899"/>
    </row>
    <row r="311" spans="2:19" s="72" customFormat="1" ht="21.75" customHeight="1" thickBot="1" x14ac:dyDescent="0.3">
      <c r="B311" s="2328"/>
      <c r="C311" s="368"/>
      <c r="D311" s="2940" t="s">
        <v>1834</v>
      </c>
      <c r="E311" s="2940"/>
      <c r="F311" s="2936" t="s">
        <v>210</v>
      </c>
      <c r="G311" s="2937"/>
      <c r="H311" s="2938"/>
      <c r="I311" s="632" t="s">
        <v>211</v>
      </c>
      <c r="J311" s="634"/>
      <c r="K311" s="633"/>
      <c r="L311" s="633"/>
      <c r="M311" s="633"/>
      <c r="N311" s="633"/>
      <c r="O311" s="357"/>
      <c r="P311" s="272"/>
      <c r="Q311" s="2320"/>
      <c r="S311" s="2899"/>
    </row>
    <row r="312" spans="2:19" ht="35.25" customHeight="1" thickTop="1" x14ac:dyDescent="0.25">
      <c r="B312" s="2365" t="str">
        <f>IF(ISBLANK(F312)=FALSE,"","w")</f>
        <v>w</v>
      </c>
      <c r="C312" s="369"/>
      <c r="D312" s="2924" t="s">
        <v>193</v>
      </c>
      <c r="E312" s="2925"/>
      <c r="F312" s="2918"/>
      <c r="G312" s="2919"/>
      <c r="H312" s="2920"/>
      <c r="I312" s="2926"/>
      <c r="J312" s="2927"/>
      <c r="K312" s="2927"/>
      <c r="L312" s="2927"/>
      <c r="M312" s="2927"/>
      <c r="N312" s="2927"/>
      <c r="O312" s="2928"/>
      <c r="P312" s="272"/>
      <c r="Q312" s="2320"/>
      <c r="S312" s="2899"/>
    </row>
    <row r="313" spans="2:19" ht="35.25" customHeight="1" x14ac:dyDescent="0.25">
      <c r="B313" s="2365" t="str">
        <f>IF(ISBLANK(F313)=FALSE,"","w")</f>
        <v>w</v>
      </c>
      <c r="C313" s="369"/>
      <c r="D313" s="2961" t="s">
        <v>194</v>
      </c>
      <c r="E313" s="2962"/>
      <c r="F313" s="2915"/>
      <c r="G313" s="2916"/>
      <c r="H313" s="2917"/>
      <c r="I313" s="2979"/>
      <c r="J313" s="2980"/>
      <c r="K313" s="2980"/>
      <c r="L313" s="2980"/>
      <c r="M313" s="2980"/>
      <c r="N313" s="2980"/>
      <c r="O313" s="2981"/>
      <c r="P313" s="272"/>
      <c r="Q313" s="2320"/>
      <c r="S313" s="2899"/>
    </row>
    <row r="314" spans="2:19" ht="35.25" customHeight="1" x14ac:dyDescent="0.25">
      <c r="B314" s="2365" t="str">
        <f>IF(ISBLANK(F314)=FALSE,"","w")</f>
        <v>w</v>
      </c>
      <c r="C314" s="369"/>
      <c r="D314" s="2961" t="s">
        <v>1867</v>
      </c>
      <c r="E314" s="2962"/>
      <c r="F314" s="2915"/>
      <c r="G314" s="2916"/>
      <c r="H314" s="2917"/>
      <c r="I314" s="2979"/>
      <c r="J314" s="2980"/>
      <c r="K314" s="2980"/>
      <c r="L314" s="2980"/>
      <c r="M314" s="2980"/>
      <c r="N314" s="2980"/>
      <c r="O314" s="2981"/>
      <c r="P314" s="272"/>
      <c r="Q314" s="2320"/>
      <c r="S314" s="2899"/>
    </row>
    <row r="315" spans="2:19" ht="35.25" customHeight="1" x14ac:dyDescent="0.25">
      <c r="B315" s="2365" t="str">
        <f>IF(ISBLANK(F315)=FALSE,"","w")</f>
        <v>w</v>
      </c>
      <c r="C315" s="369"/>
      <c r="D315" s="2961" t="s">
        <v>189</v>
      </c>
      <c r="E315" s="2962"/>
      <c r="F315" s="2915"/>
      <c r="G315" s="2916"/>
      <c r="H315" s="2917"/>
      <c r="I315" s="2979"/>
      <c r="J315" s="2980"/>
      <c r="K315" s="2980"/>
      <c r="L315" s="2980"/>
      <c r="M315" s="2980"/>
      <c r="N315" s="2980"/>
      <c r="O315" s="2981"/>
      <c r="P315" s="272"/>
      <c r="Q315" s="2320"/>
      <c r="S315" s="2899"/>
    </row>
    <row r="316" spans="2:19" ht="35.25" customHeight="1" x14ac:dyDescent="0.25">
      <c r="B316" s="2365" t="str">
        <f>IF(ISBLANK(F316)=FALSE,"","w")</f>
        <v>w</v>
      </c>
      <c r="C316" s="369"/>
      <c r="D316" s="2961" t="s">
        <v>190</v>
      </c>
      <c r="E316" s="2962"/>
      <c r="F316" s="2915"/>
      <c r="G316" s="2916"/>
      <c r="H316" s="2917"/>
      <c r="I316" s="2979"/>
      <c r="J316" s="2980"/>
      <c r="K316" s="2980"/>
      <c r="L316" s="2980"/>
      <c r="M316" s="2980"/>
      <c r="N316" s="2980"/>
      <c r="O316" s="2981"/>
      <c r="P316" s="272"/>
      <c r="Q316" s="2320"/>
      <c r="S316" s="2899"/>
    </row>
    <row r="317" spans="2:19" ht="35.25" customHeight="1" x14ac:dyDescent="0.25">
      <c r="B317" s="2328"/>
      <c r="C317" s="369"/>
      <c r="D317" s="407" t="s">
        <v>224</v>
      </c>
      <c r="E317" s="1039"/>
      <c r="F317" s="3211"/>
      <c r="G317" s="3212"/>
      <c r="H317" s="3213"/>
      <c r="I317" s="3208"/>
      <c r="J317" s="3209"/>
      <c r="K317" s="3209"/>
      <c r="L317" s="3209"/>
      <c r="M317" s="3209"/>
      <c r="N317" s="3209"/>
      <c r="O317" s="3210"/>
      <c r="P317" s="617"/>
      <c r="Q317" s="2320"/>
      <c r="S317" s="2899"/>
    </row>
    <row r="318" spans="2:19" ht="22.5" customHeight="1" x14ac:dyDescent="0.25">
      <c r="B318" s="2328"/>
      <c r="C318" s="364"/>
      <c r="D318" s="365"/>
      <c r="E318" s="366"/>
      <c r="F318" s="367"/>
      <c r="G318" s="366"/>
      <c r="H318" s="615"/>
      <c r="I318" s="55"/>
      <c r="J318" s="658"/>
      <c r="K318" s="615"/>
      <c r="L318" s="658"/>
      <c r="M318" s="615"/>
      <c r="N318" s="658"/>
      <c r="O318" s="615"/>
      <c r="P318" s="617"/>
      <c r="Q318" s="2320"/>
      <c r="S318" s="2899"/>
    </row>
    <row r="319" spans="2:19" ht="20.25" customHeight="1" x14ac:dyDescent="0.25">
      <c r="B319" s="2328"/>
      <c r="C319" s="3041" t="s">
        <v>1600</v>
      </c>
      <c r="D319" s="3042"/>
      <c r="E319" s="3043"/>
      <c r="F319" s="3204"/>
      <c r="G319" s="3205"/>
      <c r="H319" s="3205"/>
      <c r="I319" s="3205"/>
      <c r="J319" s="3205"/>
      <c r="K319" s="3205"/>
      <c r="L319" s="3205"/>
      <c r="M319" s="3205"/>
      <c r="N319" s="3205"/>
      <c r="O319" s="3206"/>
      <c r="P319" s="617"/>
      <c r="Q319" s="2320"/>
      <c r="S319" s="2899"/>
    </row>
    <row r="320" spans="2:19" ht="20.25" customHeight="1" x14ac:dyDescent="0.25">
      <c r="B320" s="2328"/>
      <c r="C320" s="3041"/>
      <c r="D320" s="3042"/>
      <c r="E320" s="3043"/>
      <c r="F320" s="2957"/>
      <c r="G320" s="3207"/>
      <c r="H320" s="3207"/>
      <c r="I320" s="3207"/>
      <c r="J320" s="3207"/>
      <c r="K320" s="3207"/>
      <c r="L320" s="3207"/>
      <c r="M320" s="3207"/>
      <c r="N320" s="3207"/>
      <c r="O320" s="2958"/>
      <c r="P320" s="617"/>
      <c r="Q320" s="2320"/>
      <c r="S320" s="2899"/>
    </row>
    <row r="321" spans="1:19" ht="17.25" customHeight="1" x14ac:dyDescent="0.25">
      <c r="B321" s="2328"/>
      <c r="C321" s="677"/>
      <c r="D321" s="321"/>
      <c r="E321" s="658"/>
      <c r="F321" s="615"/>
      <c r="G321" s="658"/>
      <c r="H321" s="615"/>
      <c r="I321" s="55"/>
      <c r="J321" s="658"/>
      <c r="K321" s="615"/>
      <c r="L321" s="658"/>
      <c r="M321" s="615"/>
      <c r="N321" s="658"/>
      <c r="O321" s="615"/>
      <c r="P321" s="617"/>
      <c r="Q321" s="2320"/>
      <c r="S321" s="2899"/>
    </row>
    <row r="322" spans="1:19" ht="18" customHeight="1" x14ac:dyDescent="0.25">
      <c r="B322" s="2328"/>
      <c r="C322" s="773" t="s">
        <v>1601</v>
      </c>
      <c r="D322" s="774"/>
      <c r="E322" s="775"/>
      <c r="F322" s="776"/>
      <c r="G322" s="776"/>
      <c r="H322" s="777"/>
      <c r="I322" s="778"/>
      <c r="J322" s="775"/>
      <c r="K322" s="775"/>
      <c r="L322" s="775"/>
      <c r="M322" s="776"/>
      <c r="N322" s="776"/>
      <c r="O322" s="779"/>
      <c r="P322" s="780"/>
      <c r="Q322" s="2320"/>
      <c r="S322" s="2899"/>
    </row>
    <row r="323" spans="1:19" ht="18" customHeight="1" x14ac:dyDescent="0.25">
      <c r="B323" s="2328"/>
      <c r="C323" s="781" t="s">
        <v>2047</v>
      </c>
      <c r="D323" s="774"/>
      <c r="E323" s="775"/>
      <c r="F323" s="776"/>
      <c r="G323" s="776"/>
      <c r="H323" s="777"/>
      <c r="I323" s="778"/>
      <c r="J323" s="627"/>
      <c r="K323" s="782"/>
      <c r="L323" s="775"/>
      <c r="M323" s="776"/>
      <c r="N323" s="776"/>
      <c r="O323" s="779"/>
      <c r="P323" s="780"/>
      <c r="Q323" s="2320"/>
      <c r="S323" s="2899"/>
    </row>
    <row r="324" spans="1:19" ht="16.5" customHeight="1" x14ac:dyDescent="0.25">
      <c r="B324" s="2328"/>
      <c r="C324" s="783"/>
      <c r="D324" s="774"/>
      <c r="E324" s="775"/>
      <c r="F324" s="776"/>
      <c r="G324" s="776"/>
      <c r="H324" s="777"/>
      <c r="I324" s="778"/>
      <c r="J324" s="784" t="s">
        <v>1618</v>
      </c>
      <c r="K324" s="627"/>
      <c r="L324" s="775"/>
      <c r="M324" s="776"/>
      <c r="N324" s="776"/>
      <c r="O324" s="779"/>
      <c r="P324" s="780"/>
      <c r="Q324" s="2320"/>
      <c r="S324" s="2899"/>
    </row>
    <row r="325" spans="1:19" ht="18" customHeight="1" x14ac:dyDescent="0.25">
      <c r="B325" s="2328"/>
      <c r="C325" s="614"/>
      <c r="D325" s="283"/>
      <c r="E325" s="312"/>
      <c r="F325" s="312"/>
      <c r="G325" s="312"/>
      <c r="H325" s="312"/>
      <c r="I325" s="277"/>
      <c r="J325" s="312"/>
      <c r="K325" s="312"/>
      <c r="L325" s="312"/>
      <c r="M325" s="312"/>
      <c r="N325" s="312"/>
      <c r="O325" s="312"/>
      <c r="P325" s="313"/>
      <c r="Q325" s="2320"/>
      <c r="S325" s="2899"/>
    </row>
    <row r="326" spans="1:19" ht="18.75" customHeight="1" x14ac:dyDescent="0.25">
      <c r="B326" s="2328"/>
      <c r="C326" s="2371"/>
      <c r="D326" s="2319"/>
      <c r="E326" s="2319"/>
      <c r="F326" s="2319"/>
      <c r="G326" s="2319"/>
      <c r="H326" s="2319"/>
      <c r="I326" s="2319"/>
      <c r="J326" s="2319"/>
      <c r="K326" s="2319"/>
      <c r="L326" s="2319"/>
      <c r="M326" s="2319"/>
      <c r="N326" s="2319"/>
      <c r="O326" s="2319"/>
      <c r="P326" s="2319"/>
      <c r="Q326" s="2320"/>
      <c r="S326" s="2899"/>
    </row>
    <row r="327" spans="1:19" ht="17.25" customHeight="1" x14ac:dyDescent="0.25">
      <c r="B327" s="2328"/>
      <c r="C327" s="2372" t="s">
        <v>188</v>
      </c>
      <c r="D327" s="2319"/>
      <c r="E327" s="2319"/>
      <c r="F327" s="2319"/>
      <c r="G327" s="2319"/>
      <c r="H327" s="2319"/>
      <c r="I327" s="2736" t="str">
        <f>IF((OR(ISBLANK(F622))=FALSE),"Complété","À compléter")</f>
        <v>À compléter</v>
      </c>
      <c r="J327" s="2736" t="str">
        <f>IF((OR(ISBLANK(F622),ISBLANK(K622))=FALSE),"Complété","À compléter")</f>
        <v>À compléter</v>
      </c>
      <c r="K327" s="2319"/>
      <c r="L327" s="2319"/>
      <c r="M327" s="2319"/>
      <c r="N327" s="2319"/>
      <c r="O327" s="2319"/>
      <c r="P327" s="2319"/>
      <c r="Q327" s="2320"/>
      <c r="S327" s="2899"/>
    </row>
    <row r="328" spans="1:19" ht="18" customHeight="1" x14ac:dyDescent="0.25">
      <c r="B328" s="2328"/>
      <c r="C328" s="2146"/>
      <c r="D328" s="2373"/>
      <c r="E328" s="3418" t="s">
        <v>185</v>
      </c>
      <c r="F328" s="3418"/>
      <c r="G328" s="3418"/>
      <c r="H328" s="3419"/>
      <c r="I328" s="359" t="str">
        <f>IF($M$73='MENU DÉROULANT'!$C$63,I327,J327)</f>
        <v>À compléter</v>
      </c>
      <c r="J328" s="3420" t="s">
        <v>186</v>
      </c>
      <c r="K328" s="3420"/>
      <c r="L328" s="3420"/>
      <c r="M328" s="3420"/>
      <c r="N328" s="3420"/>
      <c r="O328" s="3420"/>
      <c r="P328" s="3420"/>
      <c r="Q328" s="2320"/>
      <c r="S328" s="2899"/>
    </row>
    <row r="329" spans="1:19" ht="6.75" customHeight="1" x14ac:dyDescent="0.25">
      <c r="B329" s="2328"/>
      <c r="C329" s="2319"/>
      <c r="D329" s="2373"/>
      <c r="E329" s="2373"/>
      <c r="F329" s="2373"/>
      <c r="G329" s="2373"/>
      <c r="H329" s="2373"/>
      <c r="I329" s="2319"/>
      <c r="J329" s="2374"/>
      <c r="K329" s="2374"/>
      <c r="L329" s="2374"/>
      <c r="M329" s="2374"/>
      <c r="N329" s="2374"/>
      <c r="O329" s="2374"/>
      <c r="P329" s="2374"/>
      <c r="Q329" s="2320"/>
      <c r="S329" s="2899"/>
    </row>
    <row r="330" spans="1:19" ht="18" customHeight="1" x14ac:dyDescent="0.25">
      <c r="B330" s="2328"/>
      <c r="C330" s="2319"/>
      <c r="D330" s="3418" t="s">
        <v>1594</v>
      </c>
      <c r="E330" s="3418"/>
      <c r="F330" s="3418"/>
      <c r="G330" s="3418"/>
      <c r="H330" s="3419"/>
      <c r="I330" s="359" t="str">
        <f>IF($M$73='MENU DÉROULANT'!$C$63,I331,J331)</f>
        <v>À compléter</v>
      </c>
      <c r="J330" s="3420" t="s">
        <v>187</v>
      </c>
      <c r="K330" s="3420"/>
      <c r="L330" s="3420"/>
      <c r="M330" s="3420"/>
      <c r="N330" s="3420"/>
      <c r="O330" s="3420"/>
      <c r="P330" s="3420"/>
      <c r="Q330" s="2320"/>
      <c r="S330" s="2899"/>
    </row>
    <row r="331" spans="1:19" ht="17.25" customHeight="1" x14ac:dyDescent="0.25">
      <c r="B331" s="2328"/>
      <c r="C331" s="2319"/>
      <c r="D331" s="2359"/>
      <c r="E331" s="2359"/>
      <c r="F331" s="2359"/>
      <c r="G331" s="2359"/>
      <c r="H331" s="2359"/>
      <c r="I331" s="2736" t="str">
        <f>IF((OR(ISBLANK(F682))=FALSE),"Complété","À compléter")</f>
        <v>À compléter</v>
      </c>
      <c r="J331" s="2736" t="str">
        <f>IF((OR(ISBLANK(F682),ISBLANK(K682))=FALSE),"Complété","À compléter")</f>
        <v>À compléter</v>
      </c>
      <c r="K331" s="2361"/>
      <c r="L331" s="2361"/>
      <c r="M331" s="2361"/>
      <c r="N331" s="2361"/>
      <c r="O331" s="2361"/>
      <c r="P331" s="2361"/>
      <c r="Q331" s="2320"/>
      <c r="S331" s="2899"/>
    </row>
    <row r="332" spans="1:19" ht="18" customHeight="1" x14ac:dyDescent="0.25">
      <c r="B332" s="2328"/>
      <c r="C332" s="2362" t="s">
        <v>1573</v>
      </c>
      <c r="D332" s="2359"/>
      <c r="E332" s="2359"/>
      <c r="F332" s="2359"/>
      <c r="G332" s="2146"/>
      <c r="H332" s="3416" t="s">
        <v>1506</v>
      </c>
      <c r="I332" s="3416"/>
      <c r="J332" s="2146"/>
      <c r="K332" s="2146"/>
      <c r="L332" s="2361"/>
      <c r="M332" s="2361"/>
      <c r="N332" s="2361"/>
      <c r="O332" s="2361"/>
      <c r="P332" s="2361"/>
      <c r="Q332" s="2320"/>
      <c r="S332" s="2899"/>
    </row>
    <row r="333" spans="1:19" ht="17.25" customHeight="1" thickBot="1" x14ac:dyDescent="0.3">
      <c r="B333" s="2400"/>
      <c r="C333" s="2332"/>
      <c r="D333" s="2332"/>
      <c r="E333" s="2332"/>
      <c r="F333" s="2332"/>
      <c r="G333" s="2332"/>
      <c r="H333" s="2332"/>
      <c r="I333" s="2332"/>
      <c r="J333" s="2332"/>
      <c r="K333" s="2332"/>
      <c r="L333" s="2332"/>
      <c r="M333" s="2332"/>
      <c r="N333" s="2332"/>
      <c r="O333" s="2332"/>
      <c r="P333" s="2332"/>
      <c r="Q333" s="2399"/>
      <c r="S333" s="2904"/>
    </row>
    <row r="334" spans="1:19" ht="9.75" customHeight="1" thickBot="1" x14ac:dyDescent="0.3">
      <c r="B334" s="699"/>
      <c r="S334" s="627"/>
    </row>
    <row r="335" spans="1:19" ht="22.5" customHeight="1" thickBot="1" x14ac:dyDescent="0.3">
      <c r="A335" s="1225"/>
      <c r="B335" s="2134" t="s">
        <v>81</v>
      </c>
      <c r="C335" s="2134"/>
      <c r="D335" s="2134"/>
      <c r="E335" s="2134"/>
      <c r="F335" s="2134"/>
      <c r="G335" s="2134"/>
      <c r="H335" s="2134"/>
      <c r="I335" s="2134"/>
      <c r="J335" s="2134"/>
      <c r="K335" s="2134"/>
      <c r="L335" s="2339"/>
      <c r="M335" s="2339"/>
      <c r="N335" s="2339"/>
      <c r="O335" s="3435" t="s">
        <v>1641</v>
      </c>
      <c r="P335" s="3435"/>
      <c r="Q335" s="3435"/>
      <c r="S335" s="628" t="s">
        <v>1537</v>
      </c>
    </row>
    <row r="336" spans="1:19" ht="9.75" customHeight="1" thickBot="1" x14ac:dyDescent="0.3">
      <c r="S336" s="629"/>
    </row>
    <row r="337" spans="2:19" ht="8.25" customHeight="1" x14ac:dyDescent="0.25">
      <c r="B337" s="2340"/>
      <c r="C337" s="2341"/>
      <c r="D337" s="2341"/>
      <c r="E337" s="2342"/>
      <c r="F337" s="2343"/>
      <c r="G337" s="2343"/>
      <c r="H337" s="2343"/>
      <c r="I337" s="2343"/>
      <c r="J337" s="2343"/>
      <c r="K337" s="2343"/>
      <c r="L337" s="2343"/>
      <c r="M337" s="2343"/>
      <c r="N337" s="2343"/>
      <c r="O337" s="2343"/>
      <c r="P337" s="2343"/>
      <c r="Q337" s="2344"/>
      <c r="S337" s="2900"/>
    </row>
    <row r="338" spans="2:19" ht="18" customHeight="1" x14ac:dyDescent="0.25">
      <c r="B338" s="2345"/>
      <c r="C338" s="2346" t="s">
        <v>82</v>
      </c>
      <c r="D338" s="2346"/>
      <c r="E338" s="2390"/>
      <c r="F338" s="2391"/>
      <c r="G338" s="2392"/>
      <c r="H338" s="2393"/>
      <c r="I338" s="2348"/>
      <c r="J338" s="2348"/>
      <c r="K338" s="2348"/>
      <c r="L338" s="2735" t="str">
        <f>IF((COUNTBLANK(B348:B356)=ROWS(B348:B356)),"Complété","À compléter")</f>
        <v>À compléter</v>
      </c>
      <c r="M338" s="2735" t="str">
        <f>IF((COUNTBLANK(B348:B366)=ROWS(B348:B366)),"Complété","À compléter")</f>
        <v>À compléter</v>
      </c>
      <c r="N338" s="2368" t="s">
        <v>59</v>
      </c>
      <c r="O338" s="359" t="str">
        <f>IF($M$73='MENU DÉROULANT'!$C$63,'FORMULAIRE PGA Eaux pluviales '!L338,'FORMULAIRE PGA Eaux pluviales '!M338)</f>
        <v>À compléter</v>
      </c>
      <c r="P338" s="2348"/>
      <c r="Q338" s="2349"/>
      <c r="S338" s="2899"/>
    </row>
    <row r="339" spans="2:19" ht="6.75" customHeight="1" x14ac:dyDescent="0.25">
      <c r="B339" s="2345"/>
      <c r="C339" s="2347"/>
      <c r="D339" s="2347"/>
      <c r="E339" s="2347"/>
      <c r="F339" s="2348"/>
      <c r="G339" s="2348"/>
      <c r="H339" s="2348"/>
      <c r="I339" s="2348"/>
      <c r="J339" s="2348"/>
      <c r="K339" s="2348"/>
      <c r="L339" s="2348"/>
      <c r="M339" s="2348"/>
      <c r="N339" s="2348"/>
      <c r="O339" s="2348"/>
      <c r="P339" s="2348"/>
      <c r="Q339" s="2349"/>
      <c r="S339" s="2899"/>
    </row>
    <row r="340" spans="2:19" ht="17.25" customHeight="1" x14ac:dyDescent="0.25">
      <c r="B340" s="2367"/>
      <c r="C340" s="3417" t="s">
        <v>1590</v>
      </c>
      <c r="D340" s="3417"/>
      <c r="E340" s="3417"/>
      <c r="F340" s="3417"/>
      <c r="G340" s="3417"/>
      <c r="H340" s="3417"/>
      <c r="I340" s="3417"/>
      <c r="J340" s="3417"/>
      <c r="K340" s="3417"/>
      <c r="L340" s="3417"/>
      <c r="M340" s="3417"/>
      <c r="N340" s="2146"/>
      <c r="O340" s="2146"/>
      <c r="P340" s="2146"/>
      <c r="Q340" s="2370"/>
      <c r="S340" s="2899"/>
    </row>
    <row r="341" spans="2:19" ht="15" customHeight="1" x14ac:dyDescent="0.25">
      <c r="B341" s="2367"/>
      <c r="C341" s="2369"/>
      <c r="D341" s="2369"/>
      <c r="E341" s="2369"/>
      <c r="F341" s="2146"/>
      <c r="G341" s="2146"/>
      <c r="H341" s="2146"/>
      <c r="I341" s="2146"/>
      <c r="J341" s="2146"/>
      <c r="K341" s="2146"/>
      <c r="L341" s="2146"/>
      <c r="M341" s="2146"/>
      <c r="N341" s="2146"/>
      <c r="O341" s="2146"/>
      <c r="P341" s="2146"/>
      <c r="Q341" s="2370"/>
      <c r="S341" s="2899"/>
    </row>
    <row r="342" spans="2:19" ht="19.5" customHeight="1" x14ac:dyDescent="0.25">
      <c r="B342" s="2328"/>
      <c r="C342" s="2394" t="s">
        <v>2056</v>
      </c>
      <c r="D342" s="2351"/>
      <c r="E342" s="2146"/>
      <c r="F342" s="2146"/>
      <c r="G342" s="2395" t="s">
        <v>1616</v>
      </c>
      <c r="H342" s="2396"/>
      <c r="I342" s="2146"/>
      <c r="J342" s="2319"/>
      <c r="K342" s="2319"/>
      <c r="L342" s="2319"/>
      <c r="M342" s="2319"/>
      <c r="N342" s="2319"/>
      <c r="O342" s="2319"/>
      <c r="P342" s="2319"/>
      <c r="Q342" s="2320"/>
      <c r="S342" s="2899"/>
    </row>
    <row r="343" spans="2:19" ht="23.25" customHeight="1" x14ac:dyDescent="0.25">
      <c r="B343" s="2328"/>
      <c r="C343" s="2358"/>
      <c r="D343" s="2351"/>
      <c r="E343" s="2396"/>
      <c r="F343" s="2146"/>
      <c r="G343" s="2380" t="s">
        <v>2055</v>
      </c>
      <c r="H343" s="2146"/>
      <c r="I343" s="2146"/>
      <c r="J343" s="2319"/>
      <c r="K343" s="2319"/>
      <c r="L343" s="2319"/>
      <c r="M343" s="2319"/>
      <c r="N343" s="2319"/>
      <c r="O343" s="2319"/>
      <c r="P343" s="2319"/>
      <c r="Q343" s="2320"/>
      <c r="S343" s="2899"/>
    </row>
    <row r="344" spans="2:19" ht="16.5" customHeight="1" x14ac:dyDescent="0.25">
      <c r="B344" s="2328"/>
      <c r="C344" s="2366" t="s">
        <v>1551</v>
      </c>
      <c r="D344" s="2352"/>
      <c r="E344" s="2319"/>
      <c r="F344" s="2319"/>
      <c r="G344" s="2319"/>
      <c r="H344" s="2319"/>
      <c r="I344" s="2319"/>
      <c r="J344" s="2319"/>
      <c r="K344" s="2319"/>
      <c r="L344" s="2319"/>
      <c r="M344" s="2319"/>
      <c r="N344" s="2319"/>
      <c r="O344" s="2319"/>
      <c r="P344" s="2319"/>
      <c r="Q344" s="2320"/>
      <c r="S344" s="2899"/>
    </row>
    <row r="345" spans="2:19" ht="18.75" customHeight="1" x14ac:dyDescent="0.25">
      <c r="B345" s="2328"/>
      <c r="C345" s="2397" t="s">
        <v>1605</v>
      </c>
      <c r="D345" s="2352"/>
      <c r="E345" s="2319"/>
      <c r="F345" s="2319"/>
      <c r="G345" s="2319"/>
      <c r="H345" s="2319"/>
      <c r="I345" s="2319"/>
      <c r="J345" s="2319"/>
      <c r="K345" s="2319"/>
      <c r="L345" s="2319"/>
      <c r="M345" s="2319"/>
      <c r="N345" s="2319"/>
      <c r="O345" s="2319"/>
      <c r="P345" s="2319"/>
      <c r="Q345" s="2320"/>
      <c r="S345" s="2899"/>
    </row>
    <row r="346" spans="2:19" ht="17.25" customHeight="1" x14ac:dyDescent="0.25">
      <c r="B346" s="2328"/>
      <c r="C346" s="2398" t="s">
        <v>1777</v>
      </c>
      <c r="D346" s="2351"/>
      <c r="E346" s="2319"/>
      <c r="F346" s="2319"/>
      <c r="G346" s="2319"/>
      <c r="H346" s="2319"/>
      <c r="I346" s="2319"/>
      <c r="J346" s="2319"/>
      <c r="K346" s="2319"/>
      <c r="L346" s="2319"/>
      <c r="M346" s="2319"/>
      <c r="N346" s="2319"/>
      <c r="O346" s="2319"/>
      <c r="P346" s="2319"/>
      <c r="Q346" s="2320"/>
      <c r="S346" s="2899"/>
    </row>
    <row r="347" spans="2:19" ht="20.25" customHeight="1" x14ac:dyDescent="0.25">
      <c r="B347" s="2328"/>
      <c r="C347" s="2351"/>
      <c r="D347" s="2351"/>
      <c r="E347" s="2319"/>
      <c r="F347" s="2319"/>
      <c r="G347" s="2319"/>
      <c r="H347" s="2319"/>
      <c r="I347" s="2319"/>
      <c r="J347" s="2319"/>
      <c r="K347" s="2319"/>
      <c r="L347" s="2319"/>
      <c r="M347" s="2319"/>
      <c r="N347" s="2319"/>
      <c r="O347" s="2319"/>
      <c r="P347" s="2319"/>
      <c r="Q347" s="2320"/>
      <c r="S347" s="2899"/>
    </row>
    <row r="348" spans="2:19" ht="6" customHeight="1" x14ac:dyDescent="0.25">
      <c r="B348" s="2328"/>
      <c r="C348" s="264"/>
      <c r="D348" s="265"/>
      <c r="E348" s="266"/>
      <c r="F348" s="266"/>
      <c r="G348" s="266"/>
      <c r="H348" s="266"/>
      <c r="I348" s="266"/>
      <c r="J348" s="266"/>
      <c r="K348" s="266"/>
      <c r="L348" s="266"/>
      <c r="M348" s="266"/>
      <c r="N348" s="266"/>
      <c r="O348" s="266"/>
      <c r="P348" s="267"/>
      <c r="Q348" s="2320"/>
      <c r="S348" s="2899"/>
    </row>
    <row r="349" spans="2:19" ht="10.5" customHeight="1" x14ac:dyDescent="0.25">
      <c r="B349" s="2328"/>
      <c r="C349" s="3215" t="s">
        <v>2016</v>
      </c>
      <c r="D349" s="321"/>
      <c r="E349" s="85"/>
      <c r="F349" s="2939"/>
      <c r="G349" s="2939"/>
      <c r="H349" s="501"/>
      <c r="I349" s="55"/>
      <c r="J349" s="85"/>
      <c r="K349" s="85"/>
      <c r="L349" s="85"/>
      <c r="M349" s="2939"/>
      <c r="N349" s="2939"/>
      <c r="O349" s="501"/>
      <c r="P349" s="617"/>
      <c r="Q349" s="2320"/>
      <c r="S349" s="2899"/>
    </row>
    <row r="350" spans="2:19" ht="8.25" customHeight="1" x14ac:dyDescent="0.25">
      <c r="B350" s="2328"/>
      <c r="C350" s="3215"/>
      <c r="D350" s="321"/>
      <c r="E350" s="85"/>
      <c r="F350" s="85"/>
      <c r="G350" s="85"/>
      <c r="H350" s="85"/>
      <c r="I350" s="55"/>
      <c r="J350" s="85"/>
      <c r="K350" s="85"/>
      <c r="L350" s="85"/>
      <c r="M350" s="85"/>
      <c r="N350" s="85"/>
      <c r="O350" s="85"/>
      <c r="P350" s="272"/>
      <c r="Q350" s="2320"/>
      <c r="S350" s="2899"/>
    </row>
    <row r="351" spans="2:19" ht="17.25" customHeight="1" x14ac:dyDescent="0.25">
      <c r="B351" s="2365" t="str">
        <f>IF(OR(ISBLANK(F351),ISBLANK(H351),ISBLANK(K351),ISBLANK(M351),ISBLANK(O351))=FALSE,"","u")</f>
        <v>u</v>
      </c>
      <c r="C351" s="3215"/>
      <c r="D351" s="321"/>
      <c r="E351" s="658" t="s">
        <v>1</v>
      </c>
      <c r="F351" s="575"/>
      <c r="G351" s="658" t="s">
        <v>2</v>
      </c>
      <c r="H351" s="575"/>
      <c r="I351" s="55"/>
      <c r="J351" s="658" t="s">
        <v>5</v>
      </c>
      <c r="K351" s="575"/>
      <c r="L351" s="658" t="s">
        <v>3</v>
      </c>
      <c r="M351" s="575"/>
      <c r="N351" s="658" t="s">
        <v>4</v>
      </c>
      <c r="O351" s="575"/>
      <c r="P351" s="617"/>
      <c r="Q351" s="2320"/>
      <c r="S351" s="2899"/>
    </row>
    <row r="352" spans="2:19" s="325" customFormat="1" ht="11.25" customHeight="1" x14ac:dyDescent="0.2">
      <c r="B352" s="2328"/>
      <c r="C352" s="3215"/>
      <c r="D352" s="675"/>
      <c r="E352" s="658"/>
      <c r="F352" s="615"/>
      <c r="G352" s="658"/>
      <c r="H352" s="615"/>
      <c r="I352" s="324"/>
      <c r="J352" s="658"/>
      <c r="K352" s="615"/>
      <c r="L352" s="658"/>
      <c r="M352" s="615"/>
      <c r="N352" s="658"/>
      <c r="O352" s="615"/>
      <c r="P352" s="617"/>
      <c r="Q352" s="2320"/>
      <c r="S352" s="2899"/>
    </row>
    <row r="353" spans="2:19" s="325" customFormat="1" ht="17.25" customHeight="1" x14ac:dyDescent="0.2">
      <c r="B353" s="2328"/>
      <c r="C353" s="323"/>
      <c r="D353" s="675"/>
      <c r="E353" s="658"/>
      <c r="F353" s="2939" t="s">
        <v>1466</v>
      </c>
      <c r="G353" s="2985"/>
      <c r="H353" s="728">
        <f>F351+H351</f>
        <v>0</v>
      </c>
      <c r="I353" s="324"/>
      <c r="J353" s="658"/>
      <c r="K353" s="615"/>
      <c r="L353" s="658"/>
      <c r="M353" s="2939" t="s">
        <v>1467</v>
      </c>
      <c r="N353" s="2985"/>
      <c r="O353" s="728">
        <f>K351+M351+O351</f>
        <v>0</v>
      </c>
      <c r="P353" s="617"/>
      <c r="Q353" s="2320"/>
      <c r="S353" s="2899"/>
    </row>
    <row r="354" spans="2:19" s="325" customFormat="1" ht="11.25" customHeight="1" x14ac:dyDescent="0.2">
      <c r="B354" s="2328"/>
      <c r="C354" s="323"/>
      <c r="D354" s="675"/>
      <c r="E354" s="658"/>
      <c r="F354" s="615"/>
      <c r="G354" s="658"/>
      <c r="H354" s="615"/>
      <c r="I354" s="324"/>
      <c r="J354" s="658"/>
      <c r="K354" s="615"/>
      <c r="L354" s="658"/>
      <c r="M354" s="615"/>
      <c r="N354" s="658"/>
      <c r="O354" s="615"/>
      <c r="P354" s="617"/>
      <c r="Q354" s="2320"/>
      <c r="S354" s="2899"/>
    </row>
    <row r="355" spans="2:19" s="325" customFormat="1" ht="32.25" customHeight="1" x14ac:dyDescent="0.2">
      <c r="B355" s="2328"/>
      <c r="C355" s="323"/>
      <c r="D355" s="675"/>
      <c r="E355" s="326" t="s">
        <v>131</v>
      </c>
      <c r="F355" s="727">
        <f>F351+H351+K351+M351+O351</f>
        <v>0</v>
      </c>
      <c r="G355" s="3248" t="s">
        <v>130</v>
      </c>
      <c r="H355" s="2939"/>
      <c r="I355" s="2828"/>
      <c r="J355" s="2860"/>
      <c r="K355" s="2860"/>
      <c r="L355" s="2860"/>
      <c r="M355" s="2860"/>
      <c r="N355" s="2860"/>
      <c r="O355" s="2829"/>
      <c r="P355" s="617"/>
      <c r="Q355" s="2320"/>
      <c r="S355" s="2899"/>
    </row>
    <row r="356" spans="2:19" s="325" customFormat="1" ht="10.5" customHeight="1" x14ac:dyDescent="0.2">
      <c r="B356" s="2328"/>
      <c r="C356" s="678"/>
      <c r="D356" s="679"/>
      <c r="E356" s="278"/>
      <c r="F356" s="289"/>
      <c r="G356" s="278"/>
      <c r="H356" s="289"/>
      <c r="I356" s="327"/>
      <c r="J356" s="278"/>
      <c r="K356" s="289"/>
      <c r="L356" s="278"/>
      <c r="M356" s="289"/>
      <c r="N356" s="278"/>
      <c r="O356" s="289"/>
      <c r="P356" s="279"/>
      <c r="Q356" s="2320"/>
      <c r="S356" s="2899"/>
    </row>
    <row r="357" spans="2:19" ht="14.25" customHeight="1" x14ac:dyDescent="0.25">
      <c r="B357" s="2328"/>
      <c r="C357" s="2319"/>
      <c r="D357" s="2319"/>
      <c r="E357" s="2319"/>
      <c r="F357" s="2319"/>
      <c r="G357" s="2319"/>
      <c r="H357" s="2319"/>
      <c r="I357" s="2319"/>
      <c r="J357" s="2319"/>
      <c r="K357" s="2319"/>
      <c r="L357" s="2319"/>
      <c r="M357" s="2319"/>
      <c r="N357" s="2319"/>
      <c r="O357" s="2319"/>
      <c r="P357" s="2319"/>
      <c r="Q357" s="2320"/>
      <c r="S357" s="2899"/>
    </row>
    <row r="358" spans="2:19" ht="6" customHeight="1" x14ac:dyDescent="0.25">
      <c r="B358" s="2328"/>
      <c r="C358" s="264"/>
      <c r="D358" s="265"/>
      <c r="E358" s="266"/>
      <c r="F358" s="266"/>
      <c r="G358" s="266"/>
      <c r="H358" s="266"/>
      <c r="I358" s="266"/>
      <c r="J358" s="266"/>
      <c r="K358" s="266"/>
      <c r="L358" s="266"/>
      <c r="M358" s="266"/>
      <c r="N358" s="266"/>
      <c r="O358" s="266"/>
      <c r="P358" s="267"/>
      <c r="Q358" s="2320"/>
      <c r="S358" s="2899"/>
    </row>
    <row r="359" spans="2:19" ht="10.5" customHeight="1" x14ac:dyDescent="0.25">
      <c r="B359" s="2328"/>
      <c r="C359" s="3215" t="s">
        <v>2025</v>
      </c>
      <c r="D359" s="321"/>
      <c r="E359" s="85"/>
      <c r="F359" s="2939"/>
      <c r="G359" s="2939"/>
      <c r="H359" s="501"/>
      <c r="I359" s="55"/>
      <c r="J359" s="85"/>
      <c r="K359" s="85"/>
      <c r="L359" s="85"/>
      <c r="M359" s="2939"/>
      <c r="N359" s="2939"/>
      <c r="O359" s="501"/>
      <c r="P359" s="617"/>
      <c r="Q359" s="2320"/>
      <c r="S359" s="2899"/>
    </row>
    <row r="360" spans="2:19" ht="8.25" customHeight="1" x14ac:dyDescent="0.25">
      <c r="B360" s="2328"/>
      <c r="C360" s="3215"/>
      <c r="D360" s="321"/>
      <c r="E360" s="85"/>
      <c r="F360" s="85"/>
      <c r="G360" s="85"/>
      <c r="H360" s="85"/>
      <c r="I360" s="55"/>
      <c r="J360" s="85"/>
      <c r="K360" s="85"/>
      <c r="L360" s="85"/>
      <c r="M360" s="85"/>
      <c r="N360" s="85"/>
      <c r="O360" s="85"/>
      <c r="P360" s="272"/>
      <c r="Q360" s="2320"/>
      <c r="S360" s="2899"/>
    </row>
    <row r="361" spans="2:19" ht="17.25" customHeight="1" x14ac:dyDescent="0.25">
      <c r="B361" s="2365" t="str">
        <f>IF(OR(ISBLANK(F361),ISBLANK(H361),ISBLANK(K361),ISBLANK(M361),ISBLANK(O361))=FALSE,"","u")</f>
        <v>u</v>
      </c>
      <c r="C361" s="3215"/>
      <c r="D361" s="321"/>
      <c r="E361" s="658" t="s">
        <v>1</v>
      </c>
      <c r="F361" s="575"/>
      <c r="G361" s="658" t="s">
        <v>2</v>
      </c>
      <c r="H361" s="575"/>
      <c r="I361" s="55"/>
      <c r="J361" s="658" t="s">
        <v>5</v>
      </c>
      <c r="K361" s="575"/>
      <c r="L361" s="658" t="s">
        <v>3</v>
      </c>
      <c r="M361" s="575"/>
      <c r="N361" s="658" t="s">
        <v>4</v>
      </c>
      <c r="O361" s="575"/>
      <c r="P361" s="617"/>
      <c r="Q361" s="2320"/>
      <c r="S361" s="2899"/>
    </row>
    <row r="362" spans="2:19" s="325" customFormat="1" ht="11.25" customHeight="1" x14ac:dyDescent="0.2">
      <c r="B362" s="2328"/>
      <c r="C362" s="323"/>
      <c r="D362" s="675"/>
      <c r="E362" s="658"/>
      <c r="F362" s="615"/>
      <c r="G362" s="658"/>
      <c r="H362" s="615"/>
      <c r="I362" s="324"/>
      <c r="J362" s="658"/>
      <c r="K362" s="615"/>
      <c r="L362" s="658"/>
      <c r="M362" s="615"/>
      <c r="N362" s="658"/>
      <c r="O362" s="615"/>
      <c r="P362" s="617"/>
      <c r="Q362" s="2320"/>
      <c r="S362" s="2899"/>
    </row>
    <row r="363" spans="2:19" s="325" customFormat="1" ht="17.25" customHeight="1" x14ac:dyDescent="0.2">
      <c r="B363" s="2328"/>
      <c r="C363" s="323"/>
      <c r="D363" s="675"/>
      <c r="E363" s="658"/>
      <c r="F363" s="2939" t="s">
        <v>1466</v>
      </c>
      <c r="G363" s="2985"/>
      <c r="H363" s="728">
        <f>F361+H361</f>
        <v>0</v>
      </c>
      <c r="I363" s="324"/>
      <c r="J363" s="658"/>
      <c r="K363" s="615"/>
      <c r="L363" s="658"/>
      <c r="M363" s="2939" t="s">
        <v>1467</v>
      </c>
      <c r="N363" s="2985"/>
      <c r="O363" s="728">
        <f>K361+M361+O361</f>
        <v>0</v>
      </c>
      <c r="P363" s="617"/>
      <c r="Q363" s="2320"/>
      <c r="S363" s="2899"/>
    </row>
    <row r="364" spans="2:19" s="325" customFormat="1" ht="11.25" customHeight="1" x14ac:dyDescent="0.2">
      <c r="B364" s="2328"/>
      <c r="C364" s="323"/>
      <c r="D364" s="675"/>
      <c r="E364" s="658"/>
      <c r="F364" s="615"/>
      <c r="G364" s="658"/>
      <c r="H364" s="615"/>
      <c r="I364" s="324"/>
      <c r="J364" s="658"/>
      <c r="K364" s="615"/>
      <c r="L364" s="658"/>
      <c r="M364" s="615"/>
      <c r="N364" s="658"/>
      <c r="O364" s="615"/>
      <c r="P364" s="617"/>
      <c r="Q364" s="2320"/>
      <c r="S364" s="2899"/>
    </row>
    <row r="365" spans="2:19" s="325" customFormat="1" ht="32.25" customHeight="1" x14ac:dyDescent="0.2">
      <c r="B365" s="2328"/>
      <c r="C365" s="323"/>
      <c r="D365" s="675"/>
      <c r="E365" s="326" t="s">
        <v>131</v>
      </c>
      <c r="F365" s="727">
        <f>F361+H361+K361+M361+O361</f>
        <v>0</v>
      </c>
      <c r="G365" s="3248" t="s">
        <v>130</v>
      </c>
      <c r="H365" s="2939"/>
      <c r="I365" s="2828"/>
      <c r="J365" s="2860"/>
      <c r="K365" s="2860"/>
      <c r="L365" s="2860"/>
      <c r="M365" s="2860"/>
      <c r="N365" s="2860"/>
      <c r="O365" s="2829"/>
      <c r="P365" s="617"/>
      <c r="Q365" s="2320"/>
      <c r="S365" s="2899"/>
    </row>
    <row r="366" spans="2:19" ht="12" customHeight="1" x14ac:dyDescent="0.25">
      <c r="B366" s="2328"/>
      <c r="C366" s="282"/>
      <c r="D366" s="283"/>
      <c r="E366" s="278"/>
      <c r="F366" s="289"/>
      <c r="G366" s="278"/>
      <c r="H366" s="289"/>
      <c r="I366" s="277"/>
      <c r="J366" s="278"/>
      <c r="K366" s="289"/>
      <c r="L366" s="278"/>
      <c r="M366" s="289"/>
      <c r="N366" s="278"/>
      <c r="O366" s="289"/>
      <c r="P366" s="279"/>
      <c r="Q366" s="2320"/>
      <c r="S366" s="2899"/>
    </row>
    <row r="367" spans="2:19" ht="15.75" customHeight="1" x14ac:dyDescent="0.25">
      <c r="B367" s="2328"/>
      <c r="C367" s="2371"/>
      <c r="D367" s="2319"/>
      <c r="E367" s="2319"/>
      <c r="F367" s="2319"/>
      <c r="G367" s="2319"/>
      <c r="H367" s="2319"/>
      <c r="I367" s="2319"/>
      <c r="J367" s="2319"/>
      <c r="K367" s="2319"/>
      <c r="L367" s="2319"/>
      <c r="M367" s="2319"/>
      <c r="N367" s="2319"/>
      <c r="O367" s="2319"/>
      <c r="P367" s="2319"/>
      <c r="Q367" s="2320"/>
      <c r="S367" s="2899"/>
    </row>
    <row r="368" spans="2:19" ht="17.25" customHeight="1" x14ac:dyDescent="0.25">
      <c r="B368" s="2328"/>
      <c r="C368" s="2358" t="s">
        <v>188</v>
      </c>
      <c r="D368" s="2319"/>
      <c r="E368" s="2319"/>
      <c r="F368" s="2319"/>
      <c r="G368" s="2319"/>
      <c r="H368" s="2319"/>
      <c r="I368" s="2736" t="str">
        <f>IF((OR(ISBLANK(F625),ISBLANK(F630))=FALSE),"Complété","À compléter")</f>
        <v>À compléter</v>
      </c>
      <c r="J368" s="2736" t="str">
        <f>IF((OR(ISBLANK(F625),ISBLANK(F630),ISBLANK(K625),ISBLANK(K630))=FALSE),"Complété","À compléter")</f>
        <v>À compléter</v>
      </c>
      <c r="K368" s="2319"/>
      <c r="L368" s="2319"/>
      <c r="M368" s="2319"/>
      <c r="N368" s="2319"/>
      <c r="O368" s="2319"/>
      <c r="P368" s="2319"/>
      <c r="Q368" s="2320"/>
      <c r="S368" s="2899"/>
    </row>
    <row r="369" spans="1:19" ht="18" customHeight="1" x14ac:dyDescent="0.25">
      <c r="B369" s="2328"/>
      <c r="C369" s="2146"/>
      <c r="D369" s="2373"/>
      <c r="E369" s="3418" t="s">
        <v>185</v>
      </c>
      <c r="F369" s="3418"/>
      <c r="G369" s="3418"/>
      <c r="H369" s="3419"/>
      <c r="I369" s="359" t="str">
        <f>IF($M$73='MENU DÉROULANT'!$C$63,I368,J368)</f>
        <v>À compléter</v>
      </c>
      <c r="J369" s="3420" t="s">
        <v>186</v>
      </c>
      <c r="K369" s="3420"/>
      <c r="L369" s="3420"/>
      <c r="M369" s="3420"/>
      <c r="N369" s="3420"/>
      <c r="O369" s="3420"/>
      <c r="P369" s="3420"/>
      <c r="Q369" s="2320"/>
      <c r="S369" s="2899"/>
    </row>
    <row r="370" spans="1:19" ht="6.75" customHeight="1" x14ac:dyDescent="0.25">
      <c r="B370" s="2328"/>
      <c r="C370" s="2319"/>
      <c r="D370" s="2373"/>
      <c r="E370" s="2373"/>
      <c r="F370" s="2373"/>
      <c r="G370" s="2373"/>
      <c r="H370" s="2373"/>
      <c r="I370" s="2319"/>
      <c r="J370" s="2374"/>
      <c r="K370" s="2374"/>
      <c r="L370" s="2374"/>
      <c r="M370" s="2374"/>
      <c r="N370" s="2374"/>
      <c r="O370" s="2374"/>
      <c r="P370" s="2374"/>
      <c r="Q370" s="2320"/>
      <c r="S370" s="2899"/>
    </row>
    <row r="371" spans="1:19" ht="18" customHeight="1" x14ac:dyDescent="0.25">
      <c r="B371" s="2328"/>
      <c r="C371" s="2319"/>
      <c r="D371" s="3418" t="s">
        <v>1594</v>
      </c>
      <c r="E371" s="3418"/>
      <c r="F371" s="3418"/>
      <c r="G371" s="3418"/>
      <c r="H371" s="3419"/>
      <c r="I371" s="359" t="str">
        <f>IF($M$73='MENU DÉROULANT'!$C$63,I372,J372)</f>
        <v>À compléter</v>
      </c>
      <c r="J371" s="3420" t="s">
        <v>187</v>
      </c>
      <c r="K371" s="3420"/>
      <c r="L371" s="3420"/>
      <c r="M371" s="3420"/>
      <c r="N371" s="3420"/>
      <c r="O371" s="3420"/>
      <c r="P371" s="3420"/>
      <c r="Q371" s="2320"/>
      <c r="S371" s="2899"/>
    </row>
    <row r="372" spans="1:19" ht="22.5" customHeight="1" thickBot="1" x14ac:dyDescent="0.3">
      <c r="B372" s="2329"/>
      <c r="C372" s="2334"/>
      <c r="D372" s="2334"/>
      <c r="E372" s="2334"/>
      <c r="F372" s="2334"/>
      <c r="G372" s="2334"/>
      <c r="H372" s="2334"/>
      <c r="I372" s="2737" t="str">
        <f>IF((OR(ISBLANK(F685),ISBLANK(F689))=FALSE),"Complété","À compléter")</f>
        <v>À compléter</v>
      </c>
      <c r="J372" s="2737" t="str">
        <f>IF((OR(ISBLANK(F685),ISBLANK(F689),ISBLANK(K685),ISBLANK(K689))=FALSE),"Complété","À compléter")</f>
        <v>À compléter</v>
      </c>
      <c r="K372" s="2334"/>
      <c r="L372" s="2334"/>
      <c r="M372" s="2334"/>
      <c r="N372" s="2334"/>
      <c r="O372" s="2334"/>
      <c r="P372" s="2334"/>
      <c r="Q372" s="2335"/>
      <c r="S372" s="2899"/>
    </row>
    <row r="373" spans="1:19" ht="9.75" customHeight="1" thickBot="1" x14ac:dyDescent="0.3">
      <c r="B373" s="699"/>
      <c r="S373" s="2899"/>
    </row>
    <row r="374" spans="1:19" ht="8.25" customHeight="1" x14ac:dyDescent="0.25">
      <c r="B374" s="2340"/>
      <c r="C374" s="2341"/>
      <c r="D374" s="2341"/>
      <c r="E374" s="2342"/>
      <c r="F374" s="2343"/>
      <c r="G374" s="2343"/>
      <c r="H374" s="2343"/>
      <c r="I374" s="2343"/>
      <c r="J374" s="2343"/>
      <c r="K374" s="2343"/>
      <c r="L374" s="2343"/>
      <c r="M374" s="2343"/>
      <c r="N374" s="2343"/>
      <c r="O374" s="2343"/>
      <c r="P374" s="2343"/>
      <c r="Q374" s="2344"/>
      <c r="S374" s="2899"/>
    </row>
    <row r="375" spans="1:19" ht="18" customHeight="1" x14ac:dyDescent="0.25">
      <c r="A375" s="1225"/>
      <c r="B375" s="2345"/>
      <c r="C375" s="2346" t="s">
        <v>83</v>
      </c>
      <c r="D375" s="2346"/>
      <c r="E375" s="2347"/>
      <c r="F375" s="2385"/>
      <c r="G375" s="2146"/>
      <c r="H375" s="2385"/>
      <c r="I375" s="2146"/>
      <c r="J375" s="2385"/>
      <c r="K375" s="2348"/>
      <c r="L375" s="2735" t="str">
        <f>IF(COUNTIF(B407:B449,"u")=0,"Complété","À compléter")</f>
        <v>À compléter</v>
      </c>
      <c r="M375" s="2735" t="str">
        <f>IF(COUNTIF(B407:B494,"u")=0,"Complété","À compléter")</f>
        <v>À compléter</v>
      </c>
      <c r="N375" s="2368" t="s">
        <v>59</v>
      </c>
      <c r="O375" s="359" t="str">
        <f>IF($M$73='MENU DÉROULANT'!$C$63,'FORMULAIRE PGA Eaux pluviales '!L375,'FORMULAIRE PGA Eaux pluviales '!M375)</f>
        <v>À compléter</v>
      </c>
      <c r="P375" s="2348"/>
      <c r="Q375" s="2349"/>
      <c r="S375" s="2899"/>
    </row>
    <row r="376" spans="1:19" ht="6.75" customHeight="1" x14ac:dyDescent="0.25">
      <c r="B376" s="2345"/>
      <c r="C376" s="2347"/>
      <c r="D376" s="2347"/>
      <c r="E376" s="2347"/>
      <c r="F376" s="2348"/>
      <c r="G376" s="2348"/>
      <c r="H376" s="2348"/>
      <c r="I376" s="2348"/>
      <c r="J376" s="2348"/>
      <c r="K376" s="2348"/>
      <c r="L376" s="2348"/>
      <c r="M376" s="2348"/>
      <c r="N376" s="2348"/>
      <c r="O376" s="2348"/>
      <c r="P376" s="2348"/>
      <c r="Q376" s="2349"/>
      <c r="S376" s="2899"/>
    </row>
    <row r="377" spans="1:19" ht="17.25" customHeight="1" x14ac:dyDescent="0.25">
      <c r="B377" s="2367"/>
      <c r="C377" s="3417" t="s">
        <v>1590</v>
      </c>
      <c r="D377" s="3417"/>
      <c r="E377" s="3417"/>
      <c r="F377" s="3417"/>
      <c r="G377" s="3417"/>
      <c r="H377" s="3417"/>
      <c r="I377" s="3417"/>
      <c r="J377" s="3417"/>
      <c r="K377" s="3417"/>
      <c r="L377" s="3417"/>
      <c r="M377" s="3417"/>
      <c r="N377" s="2146"/>
      <c r="O377" s="2146"/>
      <c r="P377" s="2146"/>
      <c r="Q377" s="2370"/>
      <c r="S377" s="2899"/>
    </row>
    <row r="378" spans="1:19" ht="11.25" customHeight="1" x14ac:dyDescent="0.25">
      <c r="B378" s="2367"/>
      <c r="C378" s="2369"/>
      <c r="D378" s="2369"/>
      <c r="E378" s="2369"/>
      <c r="F378" s="2146"/>
      <c r="G378" s="2146"/>
      <c r="H378" s="2146"/>
      <c r="I378" s="2146"/>
      <c r="J378" s="2146"/>
      <c r="K378" s="2146"/>
      <c r="L378" s="2146"/>
      <c r="M378" s="2146"/>
      <c r="N378" s="2146"/>
      <c r="O378" s="2146"/>
      <c r="P378" s="2146"/>
      <c r="Q378" s="2370"/>
      <c r="S378" s="2899"/>
    </row>
    <row r="379" spans="1:19" ht="17.25" customHeight="1" x14ac:dyDescent="0.25">
      <c r="B379" s="2328"/>
      <c r="C379" s="2386" t="s">
        <v>1557</v>
      </c>
      <c r="D379" s="2351"/>
      <c r="E379" s="2319"/>
      <c r="F379" s="2319"/>
      <c r="G379" s="2146"/>
      <c r="H379" s="2146" t="s">
        <v>1614</v>
      </c>
      <c r="I379" s="2319"/>
      <c r="J379" s="2319"/>
      <c r="K379" s="2319"/>
      <c r="L379" s="2319"/>
      <c r="M379" s="2319"/>
      <c r="N379" s="2319"/>
      <c r="O379" s="2319"/>
      <c r="P379" s="2319"/>
      <c r="Q379" s="2320"/>
      <c r="S379" s="2899"/>
    </row>
    <row r="380" spans="1:19" ht="25.5" customHeight="1" x14ac:dyDescent="0.25">
      <c r="B380" s="2328"/>
      <c r="C380" s="2358"/>
      <c r="D380" s="2351"/>
      <c r="E380" s="2319"/>
      <c r="F380" s="2319"/>
      <c r="G380" s="2146"/>
      <c r="H380" s="2387" t="s">
        <v>2055</v>
      </c>
      <c r="I380" s="2319"/>
      <c r="J380" s="2319"/>
      <c r="K380" s="2319"/>
      <c r="L380" s="2319"/>
      <c r="M380" s="2319"/>
      <c r="N380" s="2319"/>
      <c r="O380" s="2319"/>
      <c r="P380" s="2319"/>
      <c r="Q380" s="2320"/>
      <c r="S380" s="2899"/>
    </row>
    <row r="381" spans="1:19" ht="16.5" customHeight="1" x14ac:dyDescent="0.25">
      <c r="B381" s="2328"/>
      <c r="C381" s="2381" t="s">
        <v>1553</v>
      </c>
      <c r="D381" s="2352"/>
      <c r="E381" s="2319"/>
      <c r="F381" s="2319"/>
      <c r="G381" s="2319"/>
      <c r="H381" s="2319"/>
      <c r="I381" s="2319"/>
      <c r="J381" s="2319"/>
      <c r="K381" s="2319"/>
      <c r="L381" s="2319"/>
      <c r="M381" s="2319"/>
      <c r="N381" s="2319"/>
      <c r="O381" s="2319"/>
      <c r="P381" s="2319"/>
      <c r="Q381" s="2320"/>
      <c r="S381" s="2899"/>
    </row>
    <row r="382" spans="1:19" ht="18.75" customHeight="1" x14ac:dyDescent="0.25">
      <c r="B382" s="2328"/>
      <c r="C382" s="2388" t="s">
        <v>1613</v>
      </c>
      <c r="D382" s="2352"/>
      <c r="E382" s="2319"/>
      <c r="F382" s="2319"/>
      <c r="G382" s="2319"/>
      <c r="H382" s="2319"/>
      <c r="I382" s="2319"/>
      <c r="J382" s="2319"/>
      <c r="K382" s="2319"/>
      <c r="L382" s="2319"/>
      <c r="M382" s="2319"/>
      <c r="N382" s="2319"/>
      <c r="O382" s="2319"/>
      <c r="P382" s="2319"/>
      <c r="Q382" s="2320"/>
      <c r="S382" s="2899"/>
    </row>
    <row r="383" spans="1:19" ht="17.25" customHeight="1" x14ac:dyDescent="0.25">
      <c r="B383" s="2328"/>
      <c r="C383" s="2389"/>
      <c r="D383" s="2352"/>
      <c r="E383" s="2319"/>
      <c r="F383" s="2319"/>
      <c r="G383" s="2319"/>
      <c r="H383" s="2319"/>
      <c r="I383" s="2319"/>
      <c r="J383" s="2319"/>
      <c r="K383" s="2319"/>
      <c r="L383" s="2319"/>
      <c r="M383" s="2319"/>
      <c r="N383" s="2319"/>
      <c r="O383" s="2319"/>
      <c r="P383" s="2319"/>
      <c r="Q383" s="2320"/>
      <c r="S383" s="2899"/>
    </row>
    <row r="384" spans="1:19" ht="12" customHeight="1" x14ac:dyDescent="0.25">
      <c r="B384" s="2328"/>
      <c r="C384" s="328"/>
      <c r="D384" s="329"/>
      <c r="E384" s="266"/>
      <c r="F384" s="266"/>
      <c r="G384" s="266"/>
      <c r="H384" s="266"/>
      <c r="I384" s="266"/>
      <c r="J384" s="266"/>
      <c r="K384" s="266"/>
      <c r="L384" s="266"/>
      <c r="M384" s="266"/>
      <c r="N384" s="266"/>
      <c r="O384" s="266"/>
      <c r="P384" s="267"/>
      <c r="Q384" s="2320"/>
      <c r="S384" s="2899"/>
    </row>
    <row r="385" spans="2:19" ht="20.25" customHeight="1" x14ac:dyDescent="0.25">
      <c r="B385" s="2328"/>
      <c r="C385" s="613" t="s">
        <v>1554</v>
      </c>
      <c r="D385" s="496"/>
      <c r="E385" s="496"/>
      <c r="F385" s="496"/>
      <c r="G385" s="496"/>
      <c r="H385" s="496"/>
      <c r="I385" s="496"/>
      <c r="J385" s="496"/>
      <c r="K385" s="496"/>
      <c r="L385" s="496"/>
      <c r="M385" s="496"/>
      <c r="N385" s="496"/>
      <c r="O385" s="496"/>
      <c r="P385" s="272"/>
      <c r="Q385" s="2320"/>
      <c r="S385" s="2899"/>
    </row>
    <row r="386" spans="2:19" ht="20.25" customHeight="1" x14ac:dyDescent="0.25">
      <c r="B386" s="2328"/>
      <c r="C386" s="498" t="s">
        <v>1438</v>
      </c>
      <c r="D386" s="612" t="s">
        <v>1868</v>
      </c>
      <c r="E386" s="496"/>
      <c r="F386" s="496"/>
      <c r="G386" s="496"/>
      <c r="H386" s="496"/>
      <c r="I386" s="496"/>
      <c r="J386" s="496"/>
      <c r="K386" s="496"/>
      <c r="L386" s="496"/>
      <c r="M386" s="496"/>
      <c r="N386" s="496"/>
      <c r="O386" s="496"/>
      <c r="P386" s="272"/>
      <c r="Q386" s="2320"/>
      <c r="S386" s="2899"/>
    </row>
    <row r="387" spans="2:19" ht="20.25" customHeight="1" x14ac:dyDescent="0.25">
      <c r="B387" s="2328"/>
      <c r="C387" s="498" t="s">
        <v>1438</v>
      </c>
      <c r="D387" s="612" t="s">
        <v>1579</v>
      </c>
      <c r="E387" s="496"/>
      <c r="F387" s="496"/>
      <c r="G387" s="496"/>
      <c r="H387" s="496"/>
      <c r="I387" s="496"/>
      <c r="J387" s="496"/>
      <c r="K387" s="496"/>
      <c r="L387" s="496"/>
      <c r="M387" s="496"/>
      <c r="N387" s="496"/>
      <c r="O387" s="496"/>
      <c r="P387" s="272"/>
      <c r="Q387" s="2320"/>
      <c r="S387" s="2899"/>
    </row>
    <row r="388" spans="2:19" ht="15.75" customHeight="1" x14ac:dyDescent="0.25">
      <c r="B388" s="2328"/>
      <c r="C388" s="498"/>
      <c r="D388" s="497" t="s">
        <v>1580</v>
      </c>
      <c r="E388" s="496"/>
      <c r="F388" s="496"/>
      <c r="G388" s="496"/>
      <c r="H388" s="496"/>
      <c r="I388" s="496"/>
      <c r="J388" s="496"/>
      <c r="K388" s="496"/>
      <c r="L388" s="496"/>
      <c r="M388" s="496"/>
      <c r="N388" s="496"/>
      <c r="O388" s="496"/>
      <c r="P388" s="272"/>
      <c r="Q388" s="2320"/>
      <c r="S388" s="2899"/>
    </row>
    <row r="389" spans="2:19" ht="7.5" customHeight="1" x14ac:dyDescent="0.25">
      <c r="B389" s="2328"/>
      <c r="C389" s="498"/>
      <c r="D389" s="497"/>
      <c r="E389" s="496"/>
      <c r="F389" s="496"/>
      <c r="G389" s="496"/>
      <c r="H389" s="496"/>
      <c r="I389" s="496"/>
      <c r="J389" s="496"/>
      <c r="K389" s="496"/>
      <c r="L389" s="496"/>
      <c r="M389" s="496"/>
      <c r="N389" s="496"/>
      <c r="O389" s="496"/>
      <c r="P389" s="272"/>
      <c r="Q389" s="2320"/>
      <c r="S389" s="2899"/>
    </row>
    <row r="390" spans="2:19" ht="15" customHeight="1" x14ac:dyDescent="0.25">
      <c r="B390" s="2328"/>
      <c r="C390" s="104"/>
      <c r="D390" s="684" t="s">
        <v>1581</v>
      </c>
      <c r="E390" s="496"/>
      <c r="F390" s="496"/>
      <c r="G390" s="496"/>
      <c r="H390" s="496"/>
      <c r="I390" s="496"/>
      <c r="J390" s="496"/>
      <c r="K390" s="496"/>
      <c r="L390" s="496"/>
      <c r="M390" s="496"/>
      <c r="N390" s="496"/>
      <c r="O390" s="496"/>
      <c r="P390" s="272"/>
      <c r="Q390" s="2320"/>
      <c r="S390" s="2899"/>
    </row>
    <row r="391" spans="2:19" ht="20.25" customHeight="1" x14ac:dyDescent="0.25">
      <c r="B391" s="2328"/>
      <c r="C391" s="104"/>
      <c r="D391" s="684" t="s">
        <v>1582</v>
      </c>
      <c r="E391" s="496"/>
      <c r="F391" s="496"/>
      <c r="G391" s="496"/>
      <c r="H391" s="496"/>
      <c r="I391" s="496"/>
      <c r="J391" s="496"/>
      <c r="K391" s="496"/>
      <c r="L391" s="496"/>
      <c r="M391" s="496"/>
      <c r="N391" s="496"/>
      <c r="O391" s="496"/>
      <c r="P391" s="272"/>
      <c r="Q391" s="2320"/>
      <c r="S391" s="2899"/>
    </row>
    <row r="392" spans="2:19" ht="18.75" customHeight="1" x14ac:dyDescent="0.3">
      <c r="B392" s="2328"/>
      <c r="C392" s="104"/>
      <c r="D392" s="682" t="s">
        <v>1438</v>
      </c>
      <c r="E392" s="631" t="s">
        <v>1555</v>
      </c>
      <c r="F392" s="496"/>
      <c r="G392" s="496"/>
      <c r="H392" s="496"/>
      <c r="I392" s="496"/>
      <c r="J392" s="496"/>
      <c r="K392" s="496"/>
      <c r="L392" s="496"/>
      <c r="M392" s="496"/>
      <c r="N392" s="496"/>
      <c r="O392" s="496"/>
      <c r="P392" s="272"/>
      <c r="Q392" s="2320"/>
      <c r="S392" s="2899"/>
    </row>
    <row r="393" spans="2:19" ht="18.75" customHeight="1" x14ac:dyDescent="0.25">
      <c r="B393" s="2328"/>
      <c r="C393" s="104"/>
      <c r="D393" s="683"/>
      <c r="E393" s="497" t="s">
        <v>1610</v>
      </c>
      <c r="F393" s="496"/>
      <c r="G393" s="496"/>
      <c r="H393" s="496"/>
      <c r="I393" s="496"/>
      <c r="J393" s="496"/>
      <c r="K393" s="496"/>
      <c r="L393" s="496"/>
      <c r="M393" s="496"/>
      <c r="N393" s="496"/>
      <c r="O393" s="496"/>
      <c r="P393" s="272"/>
      <c r="Q393" s="2320"/>
      <c r="S393" s="2899"/>
    </row>
    <row r="394" spans="2:19" ht="18.75" customHeight="1" x14ac:dyDescent="0.25">
      <c r="B394" s="2328"/>
      <c r="C394" s="104"/>
      <c r="D394" s="683" t="s">
        <v>1438</v>
      </c>
      <c r="E394" s="499" t="s">
        <v>1611</v>
      </c>
      <c r="F394" s="496"/>
      <c r="G394" s="496"/>
      <c r="H394" s="496"/>
      <c r="I394" s="496"/>
      <c r="J394" s="496"/>
      <c r="K394" s="496"/>
      <c r="L394" s="496"/>
      <c r="M394" s="496"/>
      <c r="N394" s="496"/>
      <c r="O394" s="496"/>
      <c r="P394" s="272"/>
      <c r="Q394" s="2320"/>
      <c r="S394" s="2899"/>
    </row>
    <row r="395" spans="2:19" ht="18.75" customHeight="1" x14ac:dyDescent="0.25">
      <c r="B395" s="2328"/>
      <c r="C395" s="104"/>
      <c r="D395" s="683" t="s">
        <v>1438</v>
      </c>
      <c r="E395" s="499" t="s">
        <v>1612</v>
      </c>
      <c r="F395" s="496"/>
      <c r="G395" s="496"/>
      <c r="H395" s="496"/>
      <c r="I395" s="496"/>
      <c r="J395" s="496"/>
      <c r="K395" s="496"/>
      <c r="L395" s="496"/>
      <c r="M395" s="496"/>
      <c r="N395" s="496"/>
      <c r="O395" s="496"/>
      <c r="P395" s="272"/>
      <c r="Q395" s="2320"/>
      <c r="S395" s="2899"/>
    </row>
    <row r="396" spans="2:19" ht="9" customHeight="1" x14ac:dyDescent="0.25">
      <c r="B396" s="2328"/>
      <c r="C396" s="104"/>
      <c r="D396" s="683"/>
      <c r="E396" s="499"/>
      <c r="F396" s="496"/>
      <c r="G396" s="496"/>
      <c r="H396" s="496"/>
      <c r="I396" s="496"/>
      <c r="J396" s="496"/>
      <c r="K396" s="496"/>
      <c r="L396" s="496"/>
      <c r="M396" s="496"/>
      <c r="N396" s="496"/>
      <c r="O396" s="496"/>
      <c r="P396" s="272"/>
      <c r="Q396" s="2320"/>
      <c r="S396" s="2899"/>
    </row>
    <row r="397" spans="2:19" ht="20.25" customHeight="1" x14ac:dyDescent="0.25">
      <c r="B397" s="2328"/>
      <c r="C397" s="613" t="s">
        <v>1606</v>
      </c>
      <c r="D397" s="496"/>
      <c r="E397" s="496"/>
      <c r="F397" s="496"/>
      <c r="G397" s="496"/>
      <c r="H397" s="496"/>
      <c r="I397" s="496"/>
      <c r="J397" s="496"/>
      <c r="K397" s="496"/>
      <c r="L397" s="496"/>
      <c r="M397" s="496"/>
      <c r="N397" s="496"/>
      <c r="O397" s="496"/>
      <c r="P397" s="272"/>
      <c r="Q397" s="2320"/>
      <c r="S397" s="2899"/>
    </row>
    <row r="398" spans="2:19" ht="20.25" customHeight="1" x14ac:dyDescent="0.25">
      <c r="B398" s="2328"/>
      <c r="C398" s="498" t="s">
        <v>1438</v>
      </c>
      <c r="D398" s="612" t="s">
        <v>1869</v>
      </c>
      <c r="E398" s="496"/>
      <c r="F398" s="496"/>
      <c r="G398" s="496"/>
      <c r="H398" s="496"/>
      <c r="I398" s="496"/>
      <c r="J398" s="496"/>
      <c r="K398" s="496"/>
      <c r="L398" s="496"/>
      <c r="M398" s="496"/>
      <c r="N398" s="496"/>
      <c r="O398" s="496"/>
      <c r="P398" s="272"/>
      <c r="Q398" s="2320"/>
      <c r="S398" s="2899"/>
    </row>
    <row r="399" spans="2:19" ht="6" customHeight="1" x14ac:dyDescent="0.25">
      <c r="B399" s="2328"/>
      <c r="C399" s="498"/>
      <c r="D399" s="499"/>
      <c r="E399" s="496"/>
      <c r="F399" s="496"/>
      <c r="G399" s="496"/>
      <c r="H399" s="496"/>
      <c r="I399" s="496"/>
      <c r="J399" s="496"/>
      <c r="K399" s="496"/>
      <c r="L399" s="496"/>
      <c r="M399" s="496"/>
      <c r="N399" s="496"/>
      <c r="O399" s="496"/>
      <c r="P399" s="272"/>
      <c r="Q399" s="2320"/>
      <c r="S399" s="2899"/>
    </row>
    <row r="400" spans="2:19" ht="26.25" customHeight="1" x14ac:dyDescent="0.25">
      <c r="B400" s="2328"/>
      <c r="C400" s="932" t="s">
        <v>1607</v>
      </c>
      <c r="D400" s="497"/>
      <c r="E400" s="496"/>
      <c r="F400" s="496"/>
      <c r="G400" s="496"/>
      <c r="H400" s="496"/>
      <c r="I400" s="496"/>
      <c r="J400" s="496"/>
      <c r="K400" s="496"/>
      <c r="L400" s="496"/>
      <c r="M400" s="496"/>
      <c r="N400" s="496"/>
      <c r="O400" s="496"/>
      <c r="P400" s="272"/>
      <c r="Q400" s="2320"/>
      <c r="S400" s="2899"/>
    </row>
    <row r="401" spans="2:34" ht="21.75" customHeight="1" x14ac:dyDescent="0.25">
      <c r="B401" s="2328"/>
      <c r="C401" s="773" t="s">
        <v>1870</v>
      </c>
      <c r="D401" s="497"/>
      <c r="E401" s="496"/>
      <c r="F401" s="496"/>
      <c r="G401" s="496"/>
      <c r="H401" s="496"/>
      <c r="I401" s="496"/>
      <c r="J401" s="496"/>
      <c r="K401" s="496"/>
      <c r="L401" s="496"/>
      <c r="M401" s="496"/>
      <c r="N401" s="496"/>
      <c r="O401" s="496"/>
      <c r="P401" s="272"/>
      <c r="Q401" s="2320"/>
      <c r="S401" s="2899"/>
    </row>
    <row r="402" spans="2:34" ht="16.5" customHeight="1" x14ac:dyDescent="0.25">
      <c r="B402" s="2328"/>
      <c r="C402" s="933" t="s">
        <v>1689</v>
      </c>
      <c r="D402" s="497"/>
      <c r="E402" s="496"/>
      <c r="F402" s="496"/>
      <c r="G402" s="496"/>
      <c r="H402" s="496"/>
      <c r="I402" s="496"/>
      <c r="J402" s="496"/>
      <c r="K402" s="496"/>
      <c r="L402" s="496"/>
      <c r="M402" s="496"/>
      <c r="N402" s="496"/>
      <c r="O402" s="496"/>
      <c r="P402" s="272"/>
      <c r="Q402" s="2320"/>
      <c r="S402" s="2899"/>
    </row>
    <row r="403" spans="2:34" ht="23.25" customHeight="1" x14ac:dyDescent="0.25">
      <c r="B403" s="2328"/>
      <c r="C403" s="934" t="s">
        <v>1583</v>
      </c>
      <c r="D403" s="497"/>
      <c r="E403" s="496"/>
      <c r="F403" s="496"/>
      <c r="G403" s="496"/>
      <c r="H403" s="496"/>
      <c r="I403" s="496"/>
      <c r="J403" s="496"/>
      <c r="K403" s="496"/>
      <c r="L403" s="496"/>
      <c r="M403" s="496"/>
      <c r="N403" s="496"/>
      <c r="O403" s="496"/>
      <c r="P403" s="272"/>
      <c r="Q403" s="2320"/>
      <c r="S403" s="2899"/>
    </row>
    <row r="404" spans="2:34" ht="13.5" customHeight="1" x14ac:dyDescent="0.25">
      <c r="B404" s="2328"/>
      <c r="C404" s="330"/>
      <c r="D404" s="331"/>
      <c r="E404" s="312"/>
      <c r="F404" s="312"/>
      <c r="G404" s="312"/>
      <c r="H404" s="312"/>
      <c r="I404" s="312"/>
      <c r="J404" s="312"/>
      <c r="K404" s="312"/>
      <c r="L404" s="312"/>
      <c r="M404" s="312"/>
      <c r="N404" s="312"/>
      <c r="O404" s="312"/>
      <c r="P404" s="313"/>
      <c r="Q404" s="2320"/>
      <c r="S404" s="2899"/>
    </row>
    <row r="405" spans="2:34" ht="16.5" customHeight="1" x14ac:dyDescent="0.25">
      <c r="B405" s="2328"/>
      <c r="C405" s="3421"/>
      <c r="D405" s="3421"/>
      <c r="E405" s="3421"/>
      <c r="F405" s="3421"/>
      <c r="G405" s="3421"/>
      <c r="H405" s="2384"/>
      <c r="I405" s="2384"/>
      <c r="J405" s="3422"/>
      <c r="K405" s="3422"/>
      <c r="L405" s="2384"/>
      <c r="M405" s="3422"/>
      <c r="N405" s="3422"/>
      <c r="O405" s="2384"/>
      <c r="P405" s="2384"/>
      <c r="Q405" s="2320"/>
      <c r="S405" s="2899"/>
    </row>
    <row r="406" spans="2:34" ht="18" customHeight="1" thickBot="1" x14ac:dyDescent="0.3">
      <c r="B406" s="2328"/>
      <c r="C406" s="2351"/>
      <c r="D406" s="2351"/>
      <c r="E406" s="2319"/>
      <c r="F406" s="2319"/>
      <c r="G406" s="2319"/>
      <c r="H406" s="2319"/>
      <c r="I406" s="2319"/>
      <c r="J406" s="2319"/>
      <c r="K406" s="2319"/>
      <c r="L406" s="2319"/>
      <c r="M406" s="2319"/>
      <c r="N406" s="2319"/>
      <c r="O406" s="2319"/>
      <c r="P406" s="2319"/>
      <c r="Q406" s="2320"/>
      <c r="S406" s="2899"/>
    </row>
    <row r="407" spans="2:34" ht="30" customHeight="1" x14ac:dyDescent="0.25">
      <c r="B407" s="2328"/>
      <c r="C407" s="3192" t="s">
        <v>2057</v>
      </c>
      <c r="D407" s="3193"/>
      <c r="E407" s="3193"/>
      <c r="F407" s="3194"/>
      <c r="G407" s="2376"/>
      <c r="H407" s="2376"/>
      <c r="I407" s="2376"/>
      <c r="J407" s="2376"/>
      <c r="K407" s="2376"/>
      <c r="L407" s="2376"/>
      <c r="M407" s="2376"/>
      <c r="N407" s="2376"/>
      <c r="O407" s="2377"/>
      <c r="P407" s="2376"/>
      <c r="Q407" s="2320"/>
      <c r="S407" s="2899"/>
    </row>
    <row r="408" spans="2:34" ht="3" customHeight="1" thickBot="1" x14ac:dyDescent="0.3">
      <c r="B408" s="2328"/>
      <c r="C408" s="1094"/>
      <c r="D408" s="1093"/>
      <c r="E408" s="1093"/>
      <c r="F408" s="1095"/>
      <c r="G408" s="2334"/>
      <c r="H408" s="2334"/>
      <c r="I408" s="2334"/>
      <c r="J408" s="2334"/>
      <c r="K408" s="2334"/>
      <c r="L408" s="2334"/>
      <c r="M408" s="2334"/>
      <c r="N408" s="2334"/>
      <c r="O408" s="2334"/>
      <c r="P408" s="2334"/>
      <c r="Q408" s="2320"/>
      <c r="S408" s="2899"/>
    </row>
    <row r="409" spans="2:34" ht="19.5" customHeight="1" x14ac:dyDescent="0.25">
      <c r="B409" s="2328"/>
      <c r="C409" s="3032" t="s">
        <v>253</v>
      </c>
      <c r="D409" s="3033"/>
      <c r="E409" s="3169" t="s">
        <v>1541</v>
      </c>
      <c r="F409" s="3170"/>
      <c r="G409" s="3170"/>
      <c r="H409" s="3170"/>
      <c r="I409" s="3170"/>
      <c r="J409" s="3170"/>
      <c r="K409" s="3170"/>
      <c r="L409" s="3170"/>
      <c r="M409" s="3170"/>
      <c r="N409" s="3251"/>
      <c r="O409" s="3180" t="s">
        <v>79</v>
      </c>
      <c r="P409" s="3181"/>
      <c r="Q409" s="2320"/>
      <c r="S409" s="2899"/>
      <c r="T409" s="3201"/>
      <c r="U409" s="3202"/>
      <c r="V409" s="3202"/>
      <c r="W409" s="3202"/>
      <c r="X409" s="3202"/>
      <c r="Y409" s="3202"/>
      <c r="Z409" s="3202"/>
      <c r="AA409" s="3202"/>
      <c r="AB409" s="3202"/>
      <c r="AC409" s="3202"/>
      <c r="AD409" s="3202"/>
      <c r="AE409" s="3201"/>
      <c r="AF409" s="3201"/>
      <c r="AG409" s="3201"/>
      <c r="AH409" s="3201"/>
    </row>
    <row r="410" spans="2:34" ht="19.5" customHeight="1" thickBot="1" x14ac:dyDescent="0.3">
      <c r="B410" s="2328"/>
      <c r="C410" s="3034"/>
      <c r="D410" s="3035"/>
      <c r="E410" s="489">
        <f>IF(E51="",0,E51)</f>
        <v>0</v>
      </c>
      <c r="F410" s="318">
        <f t="shared" ref="F410:N410" si="1">E410+1</f>
        <v>1</v>
      </c>
      <c r="G410" s="318">
        <f t="shared" si="1"/>
        <v>2</v>
      </c>
      <c r="H410" s="318">
        <f t="shared" si="1"/>
        <v>3</v>
      </c>
      <c r="I410" s="318">
        <f t="shared" si="1"/>
        <v>4</v>
      </c>
      <c r="J410" s="318">
        <f t="shared" si="1"/>
        <v>5</v>
      </c>
      <c r="K410" s="318">
        <f t="shared" si="1"/>
        <v>6</v>
      </c>
      <c r="L410" s="318">
        <f t="shared" si="1"/>
        <v>7</v>
      </c>
      <c r="M410" s="318">
        <f t="shared" si="1"/>
        <v>8</v>
      </c>
      <c r="N410" s="318">
        <f t="shared" si="1"/>
        <v>9</v>
      </c>
      <c r="O410" s="2973"/>
      <c r="P410" s="3203"/>
      <c r="Q410" s="2320"/>
      <c r="S410" s="2899"/>
      <c r="T410" s="3201"/>
      <c r="U410" s="332"/>
      <c r="V410" s="333"/>
      <c r="W410" s="333"/>
      <c r="X410" s="333"/>
      <c r="Y410" s="333"/>
      <c r="Z410" s="333"/>
      <c r="AA410" s="333"/>
      <c r="AB410" s="333"/>
      <c r="AC410" s="333"/>
      <c r="AD410" s="333"/>
      <c r="AE410" s="3201"/>
      <c r="AF410" s="3201"/>
      <c r="AG410" s="3201"/>
      <c r="AH410" s="3201"/>
    </row>
    <row r="411" spans="2:34" ht="22.5" customHeight="1" thickTop="1" thickBot="1" x14ac:dyDescent="0.3">
      <c r="B411" s="2328"/>
      <c r="C411" s="1096" t="s">
        <v>55</v>
      </c>
      <c r="D411" s="760" t="s">
        <v>6</v>
      </c>
      <c r="E411" s="761">
        <f t="shared" ref="E411:N411" si="2">E412+E419</f>
        <v>0</v>
      </c>
      <c r="F411" s="762">
        <f t="shared" si="2"/>
        <v>0</v>
      </c>
      <c r="G411" s="762">
        <f t="shared" si="2"/>
        <v>0</v>
      </c>
      <c r="H411" s="762">
        <f t="shared" si="2"/>
        <v>0</v>
      </c>
      <c r="I411" s="762">
        <f t="shared" si="2"/>
        <v>0</v>
      </c>
      <c r="J411" s="762">
        <f t="shared" si="2"/>
        <v>0</v>
      </c>
      <c r="K411" s="762">
        <f t="shared" si="2"/>
        <v>0</v>
      </c>
      <c r="L411" s="762">
        <f t="shared" si="2"/>
        <v>0</v>
      </c>
      <c r="M411" s="762">
        <f t="shared" si="2"/>
        <v>0</v>
      </c>
      <c r="N411" s="763">
        <f t="shared" si="2"/>
        <v>0</v>
      </c>
      <c r="O411" s="3165">
        <f t="shared" ref="O411:O449" si="3">SUM(E411:N411)</f>
        <v>0</v>
      </c>
      <c r="P411" s="3166"/>
      <c r="Q411" s="2320"/>
      <c r="S411" s="2899"/>
      <c r="T411" s="675"/>
      <c r="U411" s="332"/>
      <c r="V411" s="333"/>
      <c r="W411" s="333"/>
      <c r="X411" s="333"/>
      <c r="Y411" s="333"/>
      <c r="Z411" s="333"/>
      <c r="AA411" s="333"/>
      <c r="AB411" s="333"/>
      <c r="AC411" s="333"/>
      <c r="AD411" s="333"/>
      <c r="AE411" s="675"/>
      <c r="AF411" s="675"/>
      <c r="AG411" s="675"/>
      <c r="AH411" s="675"/>
    </row>
    <row r="412" spans="2:34" ht="22.5" customHeight="1" x14ac:dyDescent="0.25">
      <c r="B412" s="2328"/>
      <c r="C412" s="1099" t="s">
        <v>1</v>
      </c>
      <c r="D412" s="754" t="s">
        <v>1536</v>
      </c>
      <c r="E412" s="755">
        <f>SUM(E413:E414)</f>
        <v>0</v>
      </c>
      <c r="F412" s="756">
        <f t="shared" ref="F412:N412" si="4">SUM(F413:F414)</f>
        <v>0</v>
      </c>
      <c r="G412" s="756">
        <f t="shared" si="4"/>
        <v>0</v>
      </c>
      <c r="H412" s="756">
        <f t="shared" si="4"/>
        <v>0</v>
      </c>
      <c r="I412" s="756">
        <f t="shared" si="4"/>
        <v>0</v>
      </c>
      <c r="J412" s="756">
        <f t="shared" si="4"/>
        <v>0</v>
      </c>
      <c r="K412" s="756">
        <f t="shared" si="4"/>
        <v>0</v>
      </c>
      <c r="L412" s="756">
        <f t="shared" si="4"/>
        <v>0</v>
      </c>
      <c r="M412" s="756">
        <f t="shared" si="4"/>
        <v>0</v>
      </c>
      <c r="N412" s="756">
        <f t="shared" si="4"/>
        <v>0</v>
      </c>
      <c r="O412" s="3146">
        <f t="shared" si="3"/>
        <v>0</v>
      </c>
      <c r="P412" s="3147"/>
      <c r="Q412" s="2320"/>
      <c r="S412" s="2899"/>
      <c r="T412" s="675"/>
      <c r="U412" s="332"/>
      <c r="V412" s="333"/>
      <c r="W412" s="333"/>
      <c r="X412" s="333"/>
      <c r="Y412" s="333"/>
      <c r="Z412" s="333"/>
      <c r="AA412" s="333"/>
      <c r="AB412" s="333"/>
      <c r="AC412" s="333"/>
      <c r="AD412" s="333"/>
      <c r="AE412" s="675"/>
      <c r="AF412" s="675"/>
      <c r="AG412" s="675"/>
      <c r="AH412" s="675"/>
    </row>
    <row r="413" spans="2:34" ht="18" customHeight="1" x14ac:dyDescent="0.25">
      <c r="B413" s="2365" t="str">
        <f>IF(COUNTBLANK(E413:N413)&lt;10,"","u")</f>
        <v>u</v>
      </c>
      <c r="C413" s="1175" t="s">
        <v>1578</v>
      </c>
      <c r="D413" s="609"/>
      <c r="E413" s="607"/>
      <c r="F413" s="608"/>
      <c r="G413" s="608"/>
      <c r="H413" s="608"/>
      <c r="I413" s="608"/>
      <c r="J413" s="608"/>
      <c r="K413" s="608"/>
      <c r="L413" s="608"/>
      <c r="M413" s="608"/>
      <c r="N413" s="608"/>
      <c r="O413" s="3098">
        <f t="shared" si="3"/>
        <v>0</v>
      </c>
      <c r="P413" s="3099"/>
      <c r="Q413" s="2320"/>
      <c r="S413" s="2899"/>
      <c r="T413" s="334"/>
      <c r="U413" s="240"/>
      <c r="V413" s="240"/>
      <c r="W413" s="240"/>
      <c r="X413" s="240"/>
      <c r="Y413" s="240"/>
      <c r="Z413" s="240"/>
      <c r="AA413" s="240"/>
      <c r="AB413" s="240"/>
      <c r="AC413" s="240"/>
      <c r="AD413" s="240"/>
      <c r="AE413" s="240"/>
      <c r="AF413" s="240"/>
      <c r="AG413" s="240"/>
      <c r="AH413" s="240"/>
    </row>
    <row r="414" spans="2:34" ht="18" customHeight="1" x14ac:dyDescent="0.25">
      <c r="B414" s="2365" t="str">
        <f>IF(COUNTBLANK(E414:N414)&lt;10,"","u")</f>
        <v>u</v>
      </c>
      <c r="C414" s="1098" t="s">
        <v>1588</v>
      </c>
      <c r="D414" s="740" t="s">
        <v>87</v>
      </c>
      <c r="E414" s="741"/>
      <c r="F414" s="742"/>
      <c r="G414" s="742"/>
      <c r="H414" s="742"/>
      <c r="I414" s="742"/>
      <c r="J414" s="742"/>
      <c r="K414" s="742"/>
      <c r="L414" s="742"/>
      <c r="M414" s="742"/>
      <c r="N414" s="742"/>
      <c r="O414" s="3199">
        <f t="shared" ref="O414:O417" si="5">SUM(E414:N414)</f>
        <v>0</v>
      </c>
      <c r="P414" s="3200"/>
      <c r="Q414" s="2320"/>
      <c r="S414" s="2899"/>
      <c r="T414" s="334"/>
      <c r="U414" s="240"/>
      <c r="V414" s="240"/>
      <c r="W414" s="240"/>
      <c r="X414" s="240"/>
      <c r="Y414" s="240"/>
      <c r="Z414" s="240"/>
      <c r="AA414" s="240"/>
      <c r="AB414" s="240"/>
      <c r="AC414" s="240"/>
      <c r="AD414" s="240"/>
      <c r="AE414" s="240"/>
      <c r="AF414" s="240"/>
      <c r="AG414" s="240"/>
      <c r="AH414" s="240"/>
    </row>
    <row r="415" spans="2:34" ht="18" customHeight="1" x14ac:dyDescent="0.25">
      <c r="B415" s="2365" t="str">
        <f>IF(COUNTBLANK(E415:N415)&lt;10,"","w")</f>
        <v>w</v>
      </c>
      <c r="C415" s="3037" t="s">
        <v>1574</v>
      </c>
      <c r="D415" s="3038"/>
      <c r="E415" s="744"/>
      <c r="F415" s="745"/>
      <c r="G415" s="745"/>
      <c r="H415" s="745"/>
      <c r="I415" s="745"/>
      <c r="J415" s="745"/>
      <c r="K415" s="745"/>
      <c r="L415" s="745"/>
      <c r="M415" s="745"/>
      <c r="N415" s="746"/>
      <c r="O415" s="3161">
        <f t="shared" si="5"/>
        <v>0</v>
      </c>
      <c r="P415" s="3162"/>
      <c r="Q415" s="2320"/>
      <c r="S415" s="2899"/>
      <c r="T415" s="334"/>
      <c r="U415" s="240"/>
      <c r="V415" s="240"/>
      <c r="W415" s="240"/>
      <c r="X415" s="240"/>
      <c r="Y415" s="240"/>
      <c r="Z415" s="240"/>
      <c r="AA415" s="240"/>
      <c r="AB415" s="240"/>
      <c r="AC415" s="240"/>
      <c r="AD415" s="240"/>
      <c r="AE415" s="240"/>
      <c r="AF415" s="240"/>
      <c r="AG415" s="240"/>
      <c r="AH415" s="240"/>
    </row>
    <row r="416" spans="2:34" ht="18" customHeight="1" x14ac:dyDescent="0.25">
      <c r="B416" s="2365" t="str">
        <f>IF(COUNTBLANK(E416:N416)&lt;10,"","w")</f>
        <v>w</v>
      </c>
      <c r="C416" s="3044" t="s">
        <v>1575</v>
      </c>
      <c r="D416" s="3045"/>
      <c r="E416" s="732"/>
      <c r="F416" s="733"/>
      <c r="G416" s="733"/>
      <c r="H416" s="733"/>
      <c r="I416" s="733"/>
      <c r="J416" s="733"/>
      <c r="K416" s="733"/>
      <c r="L416" s="733"/>
      <c r="M416" s="733"/>
      <c r="N416" s="734"/>
      <c r="O416" s="3138">
        <f t="shared" si="5"/>
        <v>0</v>
      </c>
      <c r="P416" s="3139"/>
      <c r="Q416" s="2320"/>
      <c r="S416" s="2899"/>
    </row>
    <row r="417" spans="2:34" ht="18" customHeight="1" x14ac:dyDescent="0.25">
      <c r="B417" s="2365" t="str">
        <f>IF(COUNTBLANK(E417:N417)&lt;10,"","w")</f>
        <v>w</v>
      </c>
      <c r="C417" s="3039" t="s">
        <v>1577</v>
      </c>
      <c r="D417" s="3040"/>
      <c r="E417" s="751"/>
      <c r="F417" s="752"/>
      <c r="G417" s="752"/>
      <c r="H417" s="752"/>
      <c r="I417" s="752"/>
      <c r="J417" s="752"/>
      <c r="K417" s="752"/>
      <c r="L417" s="752"/>
      <c r="M417" s="752"/>
      <c r="N417" s="753"/>
      <c r="O417" s="3197">
        <f t="shared" si="5"/>
        <v>0</v>
      </c>
      <c r="P417" s="3198"/>
      <c r="Q417" s="2320"/>
      <c r="S417" s="2899"/>
    </row>
    <row r="418" spans="2:34" ht="18" customHeight="1" thickBot="1" x14ac:dyDescent="0.3">
      <c r="B418" s="2365" t="str">
        <f>IF(COUNTBLANK(E418:N418)&lt;10,"","w")</f>
        <v>w</v>
      </c>
      <c r="C418" s="3246" t="s">
        <v>1576</v>
      </c>
      <c r="D418" s="3247"/>
      <c r="E418" s="768"/>
      <c r="F418" s="769"/>
      <c r="G418" s="769"/>
      <c r="H418" s="769"/>
      <c r="I418" s="769"/>
      <c r="J418" s="769"/>
      <c r="K418" s="769"/>
      <c r="L418" s="769"/>
      <c r="M418" s="769"/>
      <c r="N418" s="770"/>
      <c r="O418" s="3152">
        <f>SUM(E418:N418)</f>
        <v>0</v>
      </c>
      <c r="P418" s="3153"/>
      <c r="Q418" s="2320"/>
      <c r="S418" s="2899"/>
    </row>
    <row r="419" spans="2:34" ht="22.5" customHeight="1" x14ac:dyDescent="0.25">
      <c r="B419" s="2328"/>
      <c r="C419" s="1097" t="s">
        <v>2</v>
      </c>
      <c r="D419" s="750" t="s">
        <v>1536</v>
      </c>
      <c r="E419" s="748">
        <f>SUM(E420:E421)</f>
        <v>0</v>
      </c>
      <c r="F419" s="749">
        <f t="shared" ref="F419:N419" si="6">SUM(F420:F421)</f>
        <v>0</v>
      </c>
      <c r="G419" s="749">
        <f t="shared" si="6"/>
        <v>0</v>
      </c>
      <c r="H419" s="749">
        <f t="shared" si="6"/>
        <v>0</v>
      </c>
      <c r="I419" s="749">
        <f t="shared" si="6"/>
        <v>0</v>
      </c>
      <c r="J419" s="749">
        <f t="shared" si="6"/>
        <v>0</v>
      </c>
      <c r="K419" s="749">
        <f t="shared" si="6"/>
        <v>0</v>
      </c>
      <c r="L419" s="749">
        <f t="shared" si="6"/>
        <v>0</v>
      </c>
      <c r="M419" s="749">
        <f t="shared" si="6"/>
        <v>0</v>
      </c>
      <c r="N419" s="749">
        <f t="shared" si="6"/>
        <v>0</v>
      </c>
      <c r="O419" s="3148">
        <f t="shared" si="3"/>
        <v>0</v>
      </c>
      <c r="P419" s="3149"/>
      <c r="Q419" s="2320"/>
      <c r="S419" s="2899"/>
      <c r="T419" s="675"/>
      <c r="U419" s="332"/>
      <c r="V419" s="333"/>
      <c r="W419" s="333"/>
      <c r="X419" s="333"/>
      <c r="Y419" s="333"/>
      <c r="Z419" s="333"/>
      <c r="AA419" s="333"/>
      <c r="AB419" s="333"/>
      <c r="AC419" s="333"/>
      <c r="AD419" s="333"/>
      <c r="AE419" s="675"/>
      <c r="AF419" s="675"/>
      <c r="AG419" s="675"/>
      <c r="AH419" s="675"/>
    </row>
    <row r="420" spans="2:34" ht="18" customHeight="1" x14ac:dyDescent="0.25">
      <c r="B420" s="2365" t="str">
        <f>IF(COUNTBLANK(E420:N420)&lt;10,"","u")</f>
        <v>u</v>
      </c>
      <c r="C420" s="1175" t="s">
        <v>1578</v>
      </c>
      <c r="D420" s="358"/>
      <c r="E420" s="579"/>
      <c r="F420" s="580"/>
      <c r="G420" s="580"/>
      <c r="H420" s="580"/>
      <c r="I420" s="580"/>
      <c r="J420" s="580"/>
      <c r="K420" s="580"/>
      <c r="L420" s="580"/>
      <c r="M420" s="580"/>
      <c r="N420" s="580"/>
      <c r="O420" s="3188">
        <f t="shared" si="3"/>
        <v>0</v>
      </c>
      <c r="P420" s="3189"/>
      <c r="Q420" s="2320"/>
      <c r="S420" s="2899"/>
      <c r="T420" s="334"/>
      <c r="U420" s="240"/>
      <c r="V420" s="240"/>
      <c r="W420" s="240"/>
      <c r="X420" s="240"/>
      <c r="Y420" s="240"/>
      <c r="Z420" s="240"/>
      <c r="AA420" s="240"/>
      <c r="AB420" s="240"/>
      <c r="AC420" s="240"/>
      <c r="AD420" s="240"/>
      <c r="AE420" s="240"/>
      <c r="AF420" s="240"/>
      <c r="AG420" s="240"/>
      <c r="AH420" s="240"/>
    </row>
    <row r="421" spans="2:34" ht="18" customHeight="1" x14ac:dyDescent="0.25">
      <c r="B421" s="2365" t="str">
        <f>IF(COUNTBLANK(E421:N421)&lt;10,"","u")</f>
        <v>u</v>
      </c>
      <c r="C421" s="1180" t="s">
        <v>1588</v>
      </c>
      <c r="D421" s="990" t="s">
        <v>87</v>
      </c>
      <c r="E421" s="989"/>
      <c r="F421" s="738"/>
      <c r="G421" s="738"/>
      <c r="H421" s="738"/>
      <c r="I421" s="738"/>
      <c r="J421" s="738"/>
      <c r="K421" s="738"/>
      <c r="L421" s="738"/>
      <c r="M421" s="738"/>
      <c r="N421" s="738"/>
      <c r="O421" s="3195">
        <f t="shared" ref="O421:O424" si="7">SUM(E421:N421)</f>
        <v>0</v>
      </c>
      <c r="P421" s="3196"/>
      <c r="Q421" s="2320"/>
      <c r="S421" s="2899"/>
      <c r="T421" s="334"/>
      <c r="U421" s="240"/>
      <c r="V421" s="240"/>
      <c r="W421" s="240"/>
      <c r="X421" s="240"/>
      <c r="Y421" s="240"/>
      <c r="Z421" s="240"/>
      <c r="AA421" s="240"/>
      <c r="AB421" s="240"/>
      <c r="AC421" s="240"/>
      <c r="AD421" s="240"/>
      <c r="AE421" s="240"/>
      <c r="AF421" s="240"/>
      <c r="AG421" s="240"/>
      <c r="AH421" s="240"/>
    </row>
    <row r="422" spans="2:34" ht="18" customHeight="1" x14ac:dyDescent="0.25">
      <c r="B422" s="2365" t="str">
        <f>IF(COUNTBLANK(E422:N422)&lt;10,"","w")</f>
        <v>w</v>
      </c>
      <c r="C422" s="3240" t="s">
        <v>1574</v>
      </c>
      <c r="D422" s="3241"/>
      <c r="E422" s="735"/>
      <c r="F422" s="736"/>
      <c r="G422" s="736"/>
      <c r="H422" s="736"/>
      <c r="I422" s="736"/>
      <c r="J422" s="736"/>
      <c r="K422" s="736"/>
      <c r="L422" s="736"/>
      <c r="M422" s="736"/>
      <c r="N422" s="737"/>
      <c r="O422" s="3252">
        <f t="shared" si="7"/>
        <v>0</v>
      </c>
      <c r="P422" s="3253"/>
      <c r="Q422" s="2320"/>
      <c r="S422" s="2899"/>
      <c r="T422" s="334"/>
      <c r="U422" s="240"/>
      <c r="V422" s="240"/>
      <c r="W422" s="240"/>
      <c r="X422" s="240"/>
      <c r="Y422" s="240"/>
      <c r="Z422" s="240"/>
      <c r="AA422" s="240"/>
      <c r="AB422" s="240"/>
      <c r="AC422" s="240"/>
      <c r="AD422" s="240"/>
      <c r="AE422" s="240"/>
      <c r="AF422" s="240"/>
      <c r="AG422" s="240"/>
      <c r="AH422" s="240"/>
    </row>
    <row r="423" spans="2:34" ht="18" customHeight="1" x14ac:dyDescent="0.25">
      <c r="B423" s="2365" t="str">
        <f>IF(COUNTBLANK(E423:N423)&lt;10,"","w")</f>
        <v>w</v>
      </c>
      <c r="C423" s="3242" t="s">
        <v>1575</v>
      </c>
      <c r="D423" s="3243"/>
      <c r="E423" s="732"/>
      <c r="F423" s="733"/>
      <c r="G423" s="733"/>
      <c r="H423" s="733"/>
      <c r="I423" s="733"/>
      <c r="J423" s="733"/>
      <c r="K423" s="733"/>
      <c r="L423" s="733"/>
      <c r="M423" s="733"/>
      <c r="N423" s="734"/>
      <c r="O423" s="3138">
        <f t="shared" si="7"/>
        <v>0</v>
      </c>
      <c r="P423" s="3139"/>
      <c r="Q423" s="2320"/>
      <c r="S423" s="2899"/>
    </row>
    <row r="424" spans="2:34" ht="18" customHeight="1" x14ac:dyDescent="0.25">
      <c r="B424" s="2365" t="str">
        <f>IF(COUNTBLANK(E424:N424)&lt;10,"","w")</f>
        <v>w</v>
      </c>
      <c r="C424" s="3263" t="s">
        <v>1577</v>
      </c>
      <c r="D424" s="3264"/>
      <c r="E424" s="751"/>
      <c r="F424" s="752"/>
      <c r="G424" s="752"/>
      <c r="H424" s="752"/>
      <c r="I424" s="752"/>
      <c r="J424" s="752"/>
      <c r="K424" s="752"/>
      <c r="L424" s="752"/>
      <c r="M424" s="752"/>
      <c r="N424" s="753"/>
      <c r="O424" s="3197">
        <f t="shared" si="7"/>
        <v>0</v>
      </c>
      <c r="P424" s="3198"/>
      <c r="Q424" s="2320"/>
      <c r="S424" s="2899"/>
    </row>
    <row r="425" spans="2:34" ht="18" customHeight="1" thickBot="1" x14ac:dyDescent="0.3">
      <c r="B425" s="2365" t="str">
        <f>IF(COUNTBLANK(E425:N425)&lt;10,"","w")</f>
        <v>w</v>
      </c>
      <c r="C425" s="3263" t="s">
        <v>1576</v>
      </c>
      <c r="D425" s="3264"/>
      <c r="E425" s="751"/>
      <c r="F425" s="752"/>
      <c r="G425" s="752"/>
      <c r="H425" s="752"/>
      <c r="I425" s="752"/>
      <c r="J425" s="752"/>
      <c r="K425" s="752"/>
      <c r="L425" s="752"/>
      <c r="M425" s="752"/>
      <c r="N425" s="753"/>
      <c r="O425" s="3197">
        <f>SUM(E425:N425)</f>
        <v>0</v>
      </c>
      <c r="P425" s="3198"/>
      <c r="Q425" s="2320"/>
      <c r="S425" s="2899"/>
    </row>
    <row r="426" spans="2:34" ht="37.5" customHeight="1" thickBot="1" x14ac:dyDescent="0.3">
      <c r="B426" s="2328"/>
      <c r="C426" s="3061" t="s">
        <v>130</v>
      </c>
      <c r="D426" s="3062"/>
      <c r="E426" s="3158"/>
      <c r="F426" s="3159"/>
      <c r="G426" s="3159"/>
      <c r="H426" s="3159"/>
      <c r="I426" s="3159"/>
      <c r="J426" s="3159"/>
      <c r="K426" s="3159"/>
      <c r="L426" s="3159"/>
      <c r="M426" s="3159"/>
      <c r="N426" s="3159"/>
      <c r="O426" s="3159"/>
      <c r="P426" s="3160"/>
      <c r="Q426" s="2320"/>
      <c r="S426" s="2899"/>
    </row>
    <row r="427" spans="2:34" ht="22.5" customHeight="1" thickBot="1" x14ac:dyDescent="0.3">
      <c r="B427" s="2383"/>
      <c r="C427" s="1178" t="s">
        <v>123</v>
      </c>
      <c r="D427" s="1179" t="s">
        <v>6</v>
      </c>
      <c r="E427" s="1101">
        <f t="shared" ref="E427:N427" si="8">E428+E430+E429</f>
        <v>0</v>
      </c>
      <c r="F427" s="1102">
        <f t="shared" si="8"/>
        <v>0</v>
      </c>
      <c r="G427" s="1102">
        <f t="shared" si="8"/>
        <v>0</v>
      </c>
      <c r="H427" s="1102">
        <f t="shared" si="8"/>
        <v>0</v>
      </c>
      <c r="I427" s="1102">
        <f t="shared" si="8"/>
        <v>0</v>
      </c>
      <c r="J427" s="1102">
        <f t="shared" si="8"/>
        <v>0</v>
      </c>
      <c r="K427" s="1102">
        <f t="shared" si="8"/>
        <v>0</v>
      </c>
      <c r="L427" s="1102">
        <f t="shared" si="8"/>
        <v>0</v>
      </c>
      <c r="M427" s="1102">
        <f t="shared" si="8"/>
        <v>0</v>
      </c>
      <c r="N427" s="1103">
        <f t="shared" si="8"/>
        <v>0</v>
      </c>
      <c r="O427" s="3244">
        <f t="shared" si="3"/>
        <v>0</v>
      </c>
      <c r="P427" s="3245"/>
      <c r="Q427" s="2378"/>
      <c r="S427" s="2899"/>
      <c r="T427" s="334"/>
      <c r="U427" s="240"/>
      <c r="V427" s="240"/>
      <c r="W427" s="240"/>
      <c r="X427" s="240"/>
      <c r="Y427" s="240"/>
      <c r="Z427" s="240"/>
      <c r="AA427" s="240"/>
      <c r="AB427" s="240"/>
      <c r="AC427" s="240"/>
      <c r="AD427" s="240"/>
      <c r="AE427" s="240"/>
      <c r="AF427" s="240"/>
      <c r="AG427" s="240"/>
      <c r="AH427" s="240"/>
    </row>
    <row r="428" spans="2:34" ht="18" customHeight="1" x14ac:dyDescent="0.25">
      <c r="B428" s="2365" t="str">
        <f>IF(COUNTBLANK(E428:N428)&lt;10,"","u")</f>
        <v>u</v>
      </c>
      <c r="C428" s="3142" t="s">
        <v>1578</v>
      </c>
      <c r="D428" s="3143"/>
      <c r="E428" s="1112"/>
      <c r="F428" s="1113"/>
      <c r="G428" s="1113"/>
      <c r="H428" s="1113"/>
      <c r="I428" s="1113"/>
      <c r="J428" s="1113"/>
      <c r="K428" s="1113"/>
      <c r="L428" s="1113"/>
      <c r="M428" s="1113"/>
      <c r="N428" s="1114"/>
      <c r="O428" s="3249">
        <f t="shared" si="3"/>
        <v>0</v>
      </c>
      <c r="P428" s="3250"/>
      <c r="Q428" s="2378"/>
      <c r="S428" s="2899"/>
      <c r="T428" s="334"/>
      <c r="U428" s="240"/>
      <c r="V428" s="240"/>
      <c r="W428" s="240"/>
      <c r="X428" s="240"/>
      <c r="Y428" s="240"/>
      <c r="Z428" s="240"/>
      <c r="AA428" s="240"/>
      <c r="AB428" s="240"/>
      <c r="AC428" s="240"/>
      <c r="AD428" s="240"/>
      <c r="AE428" s="240"/>
      <c r="AF428" s="240"/>
      <c r="AG428" s="240"/>
      <c r="AH428" s="240"/>
    </row>
    <row r="429" spans="2:34" ht="18" customHeight="1" x14ac:dyDescent="0.25">
      <c r="B429" s="2365" t="str">
        <f>IF(COUNTBLANK(E429:N429)&lt;10,"","u")</f>
        <v>u</v>
      </c>
      <c r="C429" s="1173" t="s">
        <v>1437</v>
      </c>
      <c r="D429" s="1174"/>
      <c r="E429" s="579"/>
      <c r="F429" s="580"/>
      <c r="G429" s="580"/>
      <c r="H429" s="580"/>
      <c r="I429" s="580"/>
      <c r="J429" s="580"/>
      <c r="K429" s="580"/>
      <c r="L429" s="580"/>
      <c r="M429" s="580"/>
      <c r="N429" s="581"/>
      <c r="O429" s="3188">
        <f>SUM(E429:N429)</f>
        <v>0</v>
      </c>
      <c r="P429" s="3189"/>
      <c r="Q429" s="2378"/>
      <c r="S429" s="2899"/>
      <c r="T429" s="334"/>
      <c r="U429" s="240"/>
      <c r="V429" s="240"/>
      <c r="W429" s="240"/>
      <c r="X429" s="240"/>
      <c r="Y429" s="240"/>
      <c r="Z429" s="240"/>
      <c r="AA429" s="240"/>
      <c r="AB429" s="240"/>
      <c r="AC429" s="240"/>
      <c r="AD429" s="240"/>
      <c r="AE429" s="240"/>
      <c r="AF429" s="240"/>
      <c r="AG429" s="240"/>
      <c r="AH429" s="240"/>
    </row>
    <row r="430" spans="2:34" ht="18" customHeight="1" x14ac:dyDescent="0.25">
      <c r="B430" s="2365" t="str">
        <f>IF(COUNTBLANK(E430:N430)&lt;10,"","u")</f>
        <v>u</v>
      </c>
      <c r="C430" s="1181" t="s">
        <v>1588</v>
      </c>
      <c r="D430" s="990" t="s">
        <v>87</v>
      </c>
      <c r="E430" s="1115"/>
      <c r="F430" s="1116"/>
      <c r="G430" s="1116"/>
      <c r="H430" s="1116"/>
      <c r="I430" s="1116"/>
      <c r="J430" s="1116"/>
      <c r="K430" s="1116"/>
      <c r="L430" s="1116"/>
      <c r="M430" s="1116"/>
      <c r="N430" s="1117"/>
      <c r="O430" s="3199">
        <f t="shared" ref="O430:O432" si="9">SUM(E430:N430)</f>
        <v>0</v>
      </c>
      <c r="P430" s="3200"/>
      <c r="Q430" s="2320"/>
      <c r="S430" s="2899"/>
      <c r="T430" s="334"/>
      <c r="U430" s="240"/>
      <c r="V430" s="240"/>
      <c r="W430" s="240"/>
      <c r="X430" s="240"/>
      <c r="Y430" s="240"/>
      <c r="Z430" s="240"/>
      <c r="AA430" s="240"/>
      <c r="AB430" s="240"/>
      <c r="AC430" s="240"/>
      <c r="AD430" s="240"/>
      <c r="AE430" s="240"/>
      <c r="AF430" s="240"/>
      <c r="AG430" s="240"/>
      <c r="AH430" s="240"/>
    </row>
    <row r="431" spans="2:34" ht="18" customHeight="1" x14ac:dyDescent="0.25">
      <c r="B431" s="2365" t="str">
        <f>IF(COUNTBLANK(E431:N431)&lt;10,"","w")</f>
        <v>w</v>
      </c>
      <c r="C431" s="3037" t="s">
        <v>1575</v>
      </c>
      <c r="D431" s="3038"/>
      <c r="E431" s="744"/>
      <c r="F431" s="745"/>
      <c r="G431" s="745"/>
      <c r="H431" s="745"/>
      <c r="I431" s="745"/>
      <c r="J431" s="745"/>
      <c r="K431" s="745"/>
      <c r="L431" s="745"/>
      <c r="M431" s="745"/>
      <c r="N431" s="746"/>
      <c r="O431" s="3161">
        <f t="shared" si="9"/>
        <v>0</v>
      </c>
      <c r="P431" s="3162"/>
      <c r="Q431" s="2378"/>
      <c r="S431" s="2899"/>
    </row>
    <row r="432" spans="2:34" ht="18" customHeight="1" x14ac:dyDescent="0.25">
      <c r="B432" s="2365" t="str">
        <f>IF(COUNTBLANK(E432:N432)&lt;10,"","w")</f>
        <v>w</v>
      </c>
      <c r="C432" s="3039" t="s">
        <v>1577</v>
      </c>
      <c r="D432" s="3040"/>
      <c r="E432" s="751"/>
      <c r="F432" s="752"/>
      <c r="G432" s="752"/>
      <c r="H432" s="752"/>
      <c r="I432" s="752"/>
      <c r="J432" s="752"/>
      <c r="K432" s="752"/>
      <c r="L432" s="752"/>
      <c r="M432" s="752"/>
      <c r="N432" s="753"/>
      <c r="O432" s="3197">
        <f t="shared" si="9"/>
        <v>0</v>
      </c>
      <c r="P432" s="3198"/>
      <c r="Q432" s="2378"/>
      <c r="S432" s="2899"/>
    </row>
    <row r="433" spans="1:34" ht="18" customHeight="1" thickBot="1" x14ac:dyDescent="0.3">
      <c r="B433" s="2365" t="str">
        <f>IF(COUNTBLANK(E433:N433)&lt;10,"","w")</f>
        <v>w</v>
      </c>
      <c r="C433" s="3039" t="s">
        <v>1576</v>
      </c>
      <c r="D433" s="3040"/>
      <c r="E433" s="751"/>
      <c r="F433" s="752"/>
      <c r="G433" s="752"/>
      <c r="H433" s="752"/>
      <c r="I433" s="752"/>
      <c r="J433" s="752"/>
      <c r="K433" s="752"/>
      <c r="L433" s="752"/>
      <c r="M433" s="752"/>
      <c r="N433" s="753"/>
      <c r="O433" s="3197">
        <f>SUM(E433:N433)</f>
        <v>0</v>
      </c>
      <c r="P433" s="3198"/>
      <c r="Q433" s="2378"/>
      <c r="S433" s="2899"/>
    </row>
    <row r="434" spans="1:34" ht="37.5" customHeight="1" thickBot="1" x14ac:dyDescent="0.3">
      <c r="B434" s="2328"/>
      <c r="C434" s="3061" t="s">
        <v>130</v>
      </c>
      <c r="D434" s="3062"/>
      <c r="E434" s="3158"/>
      <c r="F434" s="3159"/>
      <c r="G434" s="3159"/>
      <c r="H434" s="3159"/>
      <c r="I434" s="3159"/>
      <c r="J434" s="3159"/>
      <c r="K434" s="3159"/>
      <c r="L434" s="3159"/>
      <c r="M434" s="3159"/>
      <c r="N434" s="3159"/>
      <c r="O434" s="3159"/>
      <c r="P434" s="3160"/>
      <c r="Q434" s="2320"/>
      <c r="S434" s="2899"/>
    </row>
    <row r="435" spans="1:34" ht="22.5" customHeight="1" thickBot="1" x14ac:dyDescent="0.3">
      <c r="B435" s="2328"/>
      <c r="C435" s="1178" t="s">
        <v>133</v>
      </c>
      <c r="D435" s="1179" t="s">
        <v>6</v>
      </c>
      <c r="E435" s="1101">
        <f t="shared" ref="E435:N435" si="10">E436+E442</f>
        <v>0</v>
      </c>
      <c r="F435" s="1102">
        <f t="shared" si="10"/>
        <v>0</v>
      </c>
      <c r="G435" s="1102">
        <f t="shared" si="10"/>
        <v>0</v>
      </c>
      <c r="H435" s="1102">
        <f t="shared" si="10"/>
        <v>0</v>
      </c>
      <c r="I435" s="1102">
        <f t="shared" si="10"/>
        <v>0</v>
      </c>
      <c r="J435" s="1102">
        <f t="shared" si="10"/>
        <v>0</v>
      </c>
      <c r="K435" s="1102">
        <f t="shared" si="10"/>
        <v>0</v>
      </c>
      <c r="L435" s="1102">
        <f t="shared" si="10"/>
        <v>0</v>
      </c>
      <c r="M435" s="1102">
        <f t="shared" si="10"/>
        <v>0</v>
      </c>
      <c r="N435" s="1103">
        <f t="shared" si="10"/>
        <v>0</v>
      </c>
      <c r="O435" s="3244">
        <f t="shared" si="3"/>
        <v>0</v>
      </c>
      <c r="P435" s="3245"/>
      <c r="Q435" s="2320"/>
      <c r="S435" s="2899"/>
      <c r="T435" s="676"/>
      <c r="U435" s="11"/>
      <c r="V435" s="11"/>
      <c r="W435" s="11"/>
      <c r="X435" s="11"/>
      <c r="Y435" s="11"/>
      <c r="Z435" s="11"/>
      <c r="AA435" s="11"/>
      <c r="AB435" s="11"/>
      <c r="AC435" s="11"/>
      <c r="AD435" s="11"/>
      <c r="AE435" s="11"/>
    </row>
    <row r="436" spans="1:34" ht="22.5" customHeight="1" x14ac:dyDescent="0.25">
      <c r="B436" s="2328"/>
      <c r="C436" s="1099" t="s">
        <v>3</v>
      </c>
      <c r="D436" s="754" t="s">
        <v>1536</v>
      </c>
      <c r="E436" s="755">
        <f>SUM(E437:E438)</f>
        <v>0</v>
      </c>
      <c r="F436" s="756">
        <f t="shared" ref="F436:N436" si="11">SUM(F437:F438)</f>
        <v>0</v>
      </c>
      <c r="G436" s="756">
        <f t="shared" si="11"/>
        <v>0</v>
      </c>
      <c r="H436" s="756">
        <f t="shared" si="11"/>
        <v>0</v>
      </c>
      <c r="I436" s="756">
        <f t="shared" si="11"/>
        <v>0</v>
      </c>
      <c r="J436" s="756">
        <f t="shared" si="11"/>
        <v>0</v>
      </c>
      <c r="K436" s="756">
        <f t="shared" si="11"/>
        <v>0</v>
      </c>
      <c r="L436" s="756">
        <f t="shared" si="11"/>
        <v>0</v>
      </c>
      <c r="M436" s="756">
        <f t="shared" si="11"/>
        <v>0</v>
      </c>
      <c r="N436" s="756">
        <f t="shared" si="11"/>
        <v>0</v>
      </c>
      <c r="O436" s="3146">
        <f t="shared" ref="O436:O437" si="12">SUM(E436:N436)</f>
        <v>0</v>
      </c>
      <c r="P436" s="3147"/>
      <c r="Q436" s="2320"/>
      <c r="S436" s="2899"/>
      <c r="T436" s="675"/>
      <c r="U436" s="332"/>
      <c r="V436" s="333"/>
      <c r="W436" s="333"/>
      <c r="X436" s="333"/>
      <c r="Y436" s="333"/>
      <c r="Z436" s="333"/>
      <c r="AA436" s="333"/>
      <c r="AB436" s="333"/>
      <c r="AC436" s="333"/>
      <c r="AD436" s="333"/>
      <c r="AE436" s="675"/>
      <c r="AF436" s="675"/>
      <c r="AG436" s="675"/>
      <c r="AH436" s="675"/>
    </row>
    <row r="437" spans="1:34" ht="18" customHeight="1" x14ac:dyDescent="0.25">
      <c r="B437" s="2365" t="str">
        <f>IF(COUNTBLANK(E437:N437)&lt;10,"","u")</f>
        <v>u</v>
      </c>
      <c r="C437" s="3142" t="s">
        <v>1578</v>
      </c>
      <c r="D437" s="3143"/>
      <c r="E437" s="579"/>
      <c r="F437" s="580"/>
      <c r="G437" s="580"/>
      <c r="H437" s="580"/>
      <c r="I437" s="580"/>
      <c r="J437" s="580"/>
      <c r="K437" s="580"/>
      <c r="L437" s="580"/>
      <c r="M437" s="580"/>
      <c r="N437" s="581"/>
      <c r="O437" s="3167">
        <f t="shared" si="12"/>
        <v>0</v>
      </c>
      <c r="P437" s="3168"/>
      <c r="Q437" s="2320"/>
      <c r="S437" s="2899"/>
      <c r="T437" s="334"/>
      <c r="U437" s="240"/>
      <c r="V437" s="240"/>
      <c r="W437" s="240"/>
      <c r="X437" s="240"/>
      <c r="Y437" s="240"/>
      <c r="Z437" s="240"/>
      <c r="AA437" s="240"/>
      <c r="AB437" s="240"/>
      <c r="AC437" s="240"/>
      <c r="AD437" s="240"/>
      <c r="AE437" s="240"/>
      <c r="AF437" s="240"/>
      <c r="AG437" s="240"/>
      <c r="AH437" s="240"/>
    </row>
    <row r="438" spans="1:34" ht="18" customHeight="1" x14ac:dyDescent="0.25">
      <c r="B438" s="2365" t="str">
        <f>IF(COUNTBLANK(E438:N438)&lt;10,"","u")</f>
        <v>u</v>
      </c>
      <c r="C438" s="1098" t="s">
        <v>1588</v>
      </c>
      <c r="D438" s="990" t="s">
        <v>87</v>
      </c>
      <c r="E438" s="1118"/>
      <c r="F438" s="738"/>
      <c r="G438" s="738"/>
      <c r="H438" s="738"/>
      <c r="I438" s="738"/>
      <c r="J438" s="738"/>
      <c r="K438" s="738"/>
      <c r="L438" s="738"/>
      <c r="M438" s="738"/>
      <c r="N438" s="739"/>
      <c r="O438" s="3167">
        <f t="shared" ref="O438:O440" si="13">SUM(E438:N438)</f>
        <v>0</v>
      </c>
      <c r="P438" s="3168"/>
      <c r="Q438" s="2320"/>
      <c r="S438" s="2899"/>
      <c r="T438" s="334"/>
      <c r="U438" s="240"/>
      <c r="V438" s="240"/>
      <c r="W438" s="240"/>
      <c r="X438" s="240"/>
      <c r="Y438" s="240"/>
      <c r="Z438" s="240"/>
      <c r="AA438" s="240"/>
      <c r="AB438" s="240"/>
      <c r="AC438" s="240"/>
      <c r="AD438" s="240"/>
      <c r="AE438" s="240"/>
      <c r="AF438" s="240"/>
      <c r="AG438" s="240"/>
      <c r="AH438" s="240"/>
    </row>
    <row r="439" spans="1:34" ht="18" customHeight="1" x14ac:dyDescent="0.25">
      <c r="B439" s="2365" t="str">
        <f>IF(COUNTBLANK(E439:N439)&lt;10,"","w")</f>
        <v>w</v>
      </c>
      <c r="C439" s="3037" t="s">
        <v>1575</v>
      </c>
      <c r="D439" s="3038"/>
      <c r="E439" s="747"/>
      <c r="F439" s="745"/>
      <c r="G439" s="745"/>
      <c r="H439" s="745"/>
      <c r="I439" s="745"/>
      <c r="J439" s="745"/>
      <c r="K439" s="745"/>
      <c r="L439" s="745"/>
      <c r="M439" s="745"/>
      <c r="N439" s="746"/>
      <c r="O439" s="3161">
        <f t="shared" si="13"/>
        <v>0</v>
      </c>
      <c r="P439" s="3162"/>
      <c r="Q439" s="2320"/>
      <c r="S439" s="2899"/>
    </row>
    <row r="440" spans="1:34" ht="18" customHeight="1" x14ac:dyDescent="0.25">
      <c r="A440" s="28" t="s">
        <v>124</v>
      </c>
      <c r="B440" s="2365" t="str">
        <f>IF(COUNTBLANK(E440:N440)&lt;10,"","w")</f>
        <v>w</v>
      </c>
      <c r="C440" s="3039" t="s">
        <v>1577</v>
      </c>
      <c r="D440" s="3040"/>
      <c r="E440" s="751"/>
      <c r="F440" s="752"/>
      <c r="G440" s="752"/>
      <c r="H440" s="752"/>
      <c r="I440" s="752"/>
      <c r="J440" s="752"/>
      <c r="K440" s="752"/>
      <c r="L440" s="752"/>
      <c r="M440" s="752"/>
      <c r="N440" s="753"/>
      <c r="O440" s="3197">
        <f t="shared" si="13"/>
        <v>0</v>
      </c>
      <c r="P440" s="3198"/>
      <c r="Q440" s="2320"/>
      <c r="S440" s="2899"/>
    </row>
    <row r="441" spans="1:34" ht="18" customHeight="1" thickBot="1" x14ac:dyDescent="0.3">
      <c r="B441" s="2365" t="str">
        <f>IF(COUNTBLANK(E441:N441)&lt;10,"","w")</f>
        <v>w</v>
      </c>
      <c r="C441" s="3246" t="s">
        <v>1576</v>
      </c>
      <c r="D441" s="3247"/>
      <c r="E441" s="768"/>
      <c r="F441" s="769"/>
      <c r="G441" s="769"/>
      <c r="H441" s="769"/>
      <c r="I441" s="769"/>
      <c r="J441" s="769"/>
      <c r="K441" s="769"/>
      <c r="L441" s="769"/>
      <c r="M441" s="769"/>
      <c r="N441" s="770"/>
      <c r="O441" s="3152">
        <f>SUM(E441:N441)</f>
        <v>0</v>
      </c>
      <c r="P441" s="3153"/>
      <c r="Q441" s="2320"/>
      <c r="S441" s="2899"/>
    </row>
    <row r="442" spans="1:34" ht="22.5" customHeight="1" x14ac:dyDescent="0.25">
      <c r="B442" s="2328"/>
      <c r="C442" s="1097" t="s">
        <v>4</v>
      </c>
      <c r="D442" s="750" t="s">
        <v>1536</v>
      </c>
      <c r="E442" s="748">
        <f>SUM(E443:E444)</f>
        <v>0</v>
      </c>
      <c r="F442" s="749">
        <f t="shared" ref="F442:N442" si="14">SUM(F443:F444)</f>
        <v>0</v>
      </c>
      <c r="G442" s="749">
        <f t="shared" si="14"/>
        <v>0</v>
      </c>
      <c r="H442" s="749">
        <f t="shared" si="14"/>
        <v>0</v>
      </c>
      <c r="I442" s="749">
        <f t="shared" si="14"/>
        <v>0</v>
      </c>
      <c r="J442" s="749">
        <f t="shared" si="14"/>
        <v>0</v>
      </c>
      <c r="K442" s="749">
        <f t="shared" si="14"/>
        <v>0</v>
      </c>
      <c r="L442" s="749">
        <f t="shared" si="14"/>
        <v>0</v>
      </c>
      <c r="M442" s="749">
        <f t="shared" si="14"/>
        <v>0</v>
      </c>
      <c r="N442" s="749">
        <f t="shared" si="14"/>
        <v>0</v>
      </c>
      <c r="O442" s="3148">
        <f>SUM(E442:N442)</f>
        <v>0</v>
      </c>
      <c r="P442" s="3149"/>
      <c r="Q442" s="2320"/>
      <c r="S442" s="2899"/>
      <c r="T442" s="675"/>
      <c r="U442" s="332"/>
      <c r="V442" s="333"/>
      <c r="W442" s="333"/>
      <c r="X442" s="333"/>
      <c r="Y442" s="333"/>
      <c r="Z442" s="333"/>
      <c r="AA442" s="333"/>
      <c r="AB442" s="333"/>
      <c r="AC442" s="333"/>
      <c r="AD442" s="333"/>
      <c r="AE442" s="675"/>
      <c r="AF442" s="675"/>
      <c r="AG442" s="675"/>
      <c r="AH442" s="675"/>
    </row>
    <row r="443" spans="1:34" ht="18" customHeight="1" x14ac:dyDescent="0.25">
      <c r="B443" s="2365" t="str">
        <f>IF(COUNTBLANK(E443:N443)&lt;10,"","u")</f>
        <v>u</v>
      </c>
      <c r="C443" s="3254" t="s">
        <v>1578</v>
      </c>
      <c r="D443" s="3255"/>
      <c r="E443" s="579"/>
      <c r="F443" s="580"/>
      <c r="G443" s="580"/>
      <c r="H443" s="580"/>
      <c r="I443" s="580"/>
      <c r="J443" s="580"/>
      <c r="K443" s="580"/>
      <c r="L443" s="580"/>
      <c r="M443" s="580"/>
      <c r="N443" s="581"/>
      <c r="O443" s="3167">
        <f>SUM(E443:N443)</f>
        <v>0</v>
      </c>
      <c r="P443" s="3168"/>
      <c r="Q443" s="2320"/>
      <c r="S443" s="2899"/>
      <c r="T443" s="334"/>
      <c r="U443" s="240"/>
      <c r="V443" s="240"/>
      <c r="W443" s="240"/>
      <c r="X443" s="240"/>
      <c r="Y443" s="240"/>
      <c r="Z443" s="240"/>
      <c r="AA443" s="240"/>
      <c r="AB443" s="240"/>
      <c r="AC443" s="240"/>
      <c r="AD443" s="240"/>
      <c r="AE443" s="240"/>
      <c r="AF443" s="240"/>
      <c r="AG443" s="240"/>
      <c r="AH443" s="240"/>
    </row>
    <row r="444" spans="1:34" ht="18" customHeight="1" x14ac:dyDescent="0.25">
      <c r="B444" s="2365" t="str">
        <f>IF(COUNTBLANK(E444:N444)&lt;10,"","u")</f>
        <v>u</v>
      </c>
      <c r="C444" s="1098" t="s">
        <v>1588</v>
      </c>
      <c r="D444" s="990" t="s">
        <v>87</v>
      </c>
      <c r="E444" s="1118"/>
      <c r="F444" s="738"/>
      <c r="G444" s="738"/>
      <c r="H444" s="738"/>
      <c r="I444" s="738"/>
      <c r="J444" s="738"/>
      <c r="K444" s="738"/>
      <c r="L444" s="738"/>
      <c r="M444" s="738"/>
      <c r="N444" s="739"/>
      <c r="O444" s="3167">
        <f t="shared" ref="O444:O446" si="15">SUM(E444:N444)</f>
        <v>0</v>
      </c>
      <c r="P444" s="3168"/>
      <c r="Q444" s="2320"/>
      <c r="S444" s="2899"/>
      <c r="T444" s="334"/>
      <c r="U444" s="240"/>
      <c r="V444" s="240"/>
      <c r="W444" s="240"/>
      <c r="X444" s="240"/>
      <c r="Y444" s="240"/>
      <c r="Z444" s="240"/>
      <c r="AA444" s="240"/>
      <c r="AB444" s="240"/>
      <c r="AC444" s="240"/>
      <c r="AD444" s="240"/>
      <c r="AE444" s="240"/>
      <c r="AF444" s="240"/>
      <c r="AG444" s="240"/>
      <c r="AH444" s="240"/>
    </row>
    <row r="445" spans="1:34" ht="18" customHeight="1" x14ac:dyDescent="0.25">
      <c r="B445" s="2365" t="str">
        <f>IF(COUNTBLANK(E445:N445)&lt;10,"","w")</f>
        <v>w</v>
      </c>
      <c r="C445" s="3037" t="s">
        <v>1575</v>
      </c>
      <c r="D445" s="3038"/>
      <c r="E445" s="744"/>
      <c r="F445" s="745"/>
      <c r="G445" s="745"/>
      <c r="H445" s="745"/>
      <c r="I445" s="745"/>
      <c r="J445" s="745"/>
      <c r="K445" s="745"/>
      <c r="L445" s="745"/>
      <c r="M445" s="745"/>
      <c r="N445" s="746"/>
      <c r="O445" s="3161">
        <f t="shared" si="15"/>
        <v>0</v>
      </c>
      <c r="P445" s="3162"/>
      <c r="Q445" s="2320"/>
      <c r="S445" s="2899"/>
    </row>
    <row r="446" spans="1:34" ht="18" customHeight="1" x14ac:dyDescent="0.25">
      <c r="B446" s="2365" t="str">
        <f>IF(COUNTBLANK(E446:N446)&lt;10,"","w")</f>
        <v>w</v>
      </c>
      <c r="C446" s="3039" t="s">
        <v>1577</v>
      </c>
      <c r="D446" s="3040"/>
      <c r="E446" s="751"/>
      <c r="F446" s="752"/>
      <c r="G446" s="752"/>
      <c r="H446" s="752"/>
      <c r="I446" s="752"/>
      <c r="J446" s="752"/>
      <c r="K446" s="752"/>
      <c r="L446" s="752"/>
      <c r="M446" s="752"/>
      <c r="N446" s="753"/>
      <c r="O446" s="3197">
        <f t="shared" si="15"/>
        <v>0</v>
      </c>
      <c r="P446" s="3198"/>
      <c r="Q446" s="2320"/>
      <c r="S446" s="2899"/>
    </row>
    <row r="447" spans="1:34" ht="18" customHeight="1" thickBot="1" x14ac:dyDescent="0.3">
      <c r="B447" s="2365" t="str">
        <f>IF(COUNTBLANK(E447:N447)&lt;10,"","w")</f>
        <v>w</v>
      </c>
      <c r="C447" s="3039" t="s">
        <v>1576</v>
      </c>
      <c r="D447" s="3040"/>
      <c r="E447" s="751"/>
      <c r="F447" s="752"/>
      <c r="G447" s="752"/>
      <c r="H447" s="752"/>
      <c r="I447" s="752"/>
      <c r="J447" s="752"/>
      <c r="K447" s="752"/>
      <c r="L447" s="752"/>
      <c r="M447" s="752"/>
      <c r="N447" s="753"/>
      <c r="O447" s="3197">
        <f>SUM(E447:N447)</f>
        <v>0</v>
      </c>
      <c r="P447" s="3198"/>
      <c r="Q447" s="2320"/>
      <c r="S447" s="2899"/>
    </row>
    <row r="448" spans="1:34" ht="37.5" customHeight="1" thickBot="1" x14ac:dyDescent="0.3">
      <c r="B448" s="2328"/>
      <c r="C448" s="3061" t="s">
        <v>130</v>
      </c>
      <c r="D448" s="3062"/>
      <c r="E448" s="3158"/>
      <c r="F448" s="3159"/>
      <c r="G448" s="3159"/>
      <c r="H448" s="3159"/>
      <c r="I448" s="3159"/>
      <c r="J448" s="3159"/>
      <c r="K448" s="3159"/>
      <c r="L448" s="3159"/>
      <c r="M448" s="3159"/>
      <c r="N448" s="3159"/>
      <c r="O448" s="3159"/>
      <c r="P448" s="3160"/>
      <c r="Q448" s="2320"/>
      <c r="S448" s="2899"/>
    </row>
    <row r="449" spans="2:34" ht="30" customHeight="1" thickBot="1" x14ac:dyDescent="0.3">
      <c r="B449" s="2328"/>
      <c r="C449" s="3256" t="s">
        <v>2059</v>
      </c>
      <c r="D449" s="3257"/>
      <c r="E449" s="1182">
        <f t="shared" ref="E449:N449" si="16">E411+E427+E435</f>
        <v>0</v>
      </c>
      <c r="F449" s="1183">
        <f t="shared" si="16"/>
        <v>0</v>
      </c>
      <c r="G449" s="1183">
        <f t="shared" si="16"/>
        <v>0</v>
      </c>
      <c r="H449" s="1183">
        <f t="shared" si="16"/>
        <v>0</v>
      </c>
      <c r="I449" s="1183">
        <f t="shared" si="16"/>
        <v>0</v>
      </c>
      <c r="J449" s="1183">
        <f t="shared" si="16"/>
        <v>0</v>
      </c>
      <c r="K449" s="1183">
        <f t="shared" si="16"/>
        <v>0</v>
      </c>
      <c r="L449" s="1183">
        <f t="shared" si="16"/>
        <v>0</v>
      </c>
      <c r="M449" s="1183">
        <f t="shared" si="16"/>
        <v>0</v>
      </c>
      <c r="N449" s="1184">
        <f t="shared" si="16"/>
        <v>0</v>
      </c>
      <c r="O449" s="3258">
        <f t="shared" si="3"/>
        <v>0</v>
      </c>
      <c r="P449" s="3259"/>
      <c r="Q449" s="2320"/>
      <c r="S449" s="2899"/>
      <c r="T449" s="335"/>
      <c r="U449" s="11"/>
      <c r="V449" s="11"/>
      <c r="W449" s="11"/>
      <c r="X449" s="11"/>
      <c r="Y449" s="11"/>
      <c r="Z449" s="11"/>
      <c r="AA449" s="11"/>
      <c r="AB449" s="11"/>
      <c r="AC449" s="11"/>
      <c r="AD449" s="11"/>
      <c r="AE449" s="11"/>
    </row>
    <row r="450" spans="2:34" x14ac:dyDescent="0.25">
      <c r="B450" s="2328"/>
      <c r="C450" s="2319"/>
      <c r="D450" s="2319"/>
      <c r="E450" s="2319"/>
      <c r="F450" s="2382"/>
      <c r="G450" s="2382"/>
      <c r="H450" s="2319"/>
      <c r="I450" s="2382"/>
      <c r="J450" s="2382"/>
      <c r="K450" s="2319"/>
      <c r="L450" s="2382"/>
      <c r="M450" s="2319"/>
      <c r="N450" s="2382"/>
      <c r="O450" s="2382"/>
      <c r="P450" s="2382"/>
      <c r="Q450" s="2320"/>
      <c r="S450" s="2899"/>
    </row>
    <row r="451" spans="2:34" ht="15.75" thickBot="1" x14ac:dyDescent="0.3">
      <c r="B451" s="2328"/>
      <c r="C451" s="2319"/>
      <c r="D451" s="2319"/>
      <c r="E451" s="2319"/>
      <c r="F451" s="2382"/>
      <c r="G451" s="2382"/>
      <c r="H451" s="2319"/>
      <c r="I451" s="2382"/>
      <c r="J451" s="2382"/>
      <c r="K451" s="2319"/>
      <c r="L451" s="2382"/>
      <c r="M451" s="2319"/>
      <c r="N451" s="2382"/>
      <c r="O451" s="2382"/>
      <c r="P451" s="2382"/>
      <c r="Q451" s="2320"/>
      <c r="S451" s="1075"/>
    </row>
    <row r="452" spans="2:34" ht="30" customHeight="1" x14ac:dyDescent="0.25">
      <c r="B452" s="2328"/>
      <c r="C452" s="3192" t="s">
        <v>2058</v>
      </c>
      <c r="D452" s="3193"/>
      <c r="E452" s="3193"/>
      <c r="F452" s="3194"/>
      <c r="G452" s="2376"/>
      <c r="H452" s="2376"/>
      <c r="I452" s="2376"/>
      <c r="J452" s="2376"/>
      <c r="K452" s="2376"/>
      <c r="L452" s="2376"/>
      <c r="M452" s="2376"/>
      <c r="N452" s="2376"/>
      <c r="O452" s="2377"/>
      <c r="P452" s="2376"/>
      <c r="Q452" s="2320"/>
      <c r="S452" s="2899"/>
    </row>
    <row r="453" spans="2:34" ht="3" customHeight="1" thickBot="1" x14ac:dyDescent="0.3">
      <c r="B453" s="2328"/>
      <c r="C453" s="1094"/>
      <c r="D453" s="1093"/>
      <c r="E453" s="1093"/>
      <c r="F453" s="1095"/>
      <c r="G453" s="2334"/>
      <c r="H453" s="2334"/>
      <c r="I453" s="2334"/>
      <c r="J453" s="2334"/>
      <c r="K453" s="2334"/>
      <c r="L453" s="2334"/>
      <c r="M453" s="2334"/>
      <c r="N453" s="2334"/>
      <c r="O453" s="2334"/>
      <c r="P453" s="2334"/>
      <c r="Q453" s="2320"/>
      <c r="S453" s="2899"/>
    </row>
    <row r="454" spans="2:34" ht="19.5" customHeight="1" x14ac:dyDescent="0.25">
      <c r="B454" s="2328"/>
      <c r="C454" s="3032" t="s">
        <v>253</v>
      </c>
      <c r="D454" s="3033"/>
      <c r="E454" s="3169" t="s">
        <v>1540</v>
      </c>
      <c r="F454" s="3170"/>
      <c r="G454" s="3170"/>
      <c r="H454" s="3170"/>
      <c r="I454" s="3170"/>
      <c r="J454" s="3170"/>
      <c r="K454" s="3170"/>
      <c r="L454" s="3170"/>
      <c r="M454" s="3170"/>
      <c r="N454" s="3251"/>
      <c r="O454" s="3180" t="s">
        <v>79</v>
      </c>
      <c r="P454" s="3181"/>
      <c r="Q454" s="2320"/>
      <c r="S454" s="2899"/>
    </row>
    <row r="455" spans="2:34" ht="19.5" customHeight="1" thickBot="1" x14ac:dyDescent="0.3">
      <c r="B455" s="2328"/>
      <c r="C455" s="3150"/>
      <c r="D455" s="3151"/>
      <c r="E455" s="757">
        <f>IF(E51="",0,E51)</f>
        <v>0</v>
      </c>
      <c r="F455" s="758">
        <f t="shared" ref="F455:N455" si="17">E455+1</f>
        <v>1</v>
      </c>
      <c r="G455" s="758">
        <f t="shared" si="17"/>
        <v>2</v>
      </c>
      <c r="H455" s="758">
        <f t="shared" si="17"/>
        <v>3</v>
      </c>
      <c r="I455" s="758">
        <f t="shared" si="17"/>
        <v>4</v>
      </c>
      <c r="J455" s="758">
        <f t="shared" si="17"/>
        <v>5</v>
      </c>
      <c r="K455" s="758">
        <f t="shared" si="17"/>
        <v>6</v>
      </c>
      <c r="L455" s="758">
        <f t="shared" si="17"/>
        <v>7</v>
      </c>
      <c r="M455" s="758">
        <f t="shared" si="17"/>
        <v>8</v>
      </c>
      <c r="N455" s="759">
        <f t="shared" si="17"/>
        <v>9</v>
      </c>
      <c r="O455" s="3182"/>
      <c r="P455" s="3183"/>
      <c r="Q455" s="2320"/>
      <c r="S455" s="2899"/>
    </row>
    <row r="456" spans="2:34" ht="22.5" customHeight="1" thickBot="1" x14ac:dyDescent="0.3">
      <c r="B456" s="2328"/>
      <c r="C456" s="1096" t="s">
        <v>55</v>
      </c>
      <c r="D456" s="760" t="s">
        <v>6</v>
      </c>
      <c r="E456" s="761">
        <f t="shared" ref="E456:N456" si="18">E457+E464</f>
        <v>0</v>
      </c>
      <c r="F456" s="762">
        <f t="shared" si="18"/>
        <v>0</v>
      </c>
      <c r="G456" s="762">
        <f t="shared" si="18"/>
        <v>0</v>
      </c>
      <c r="H456" s="762">
        <f t="shared" si="18"/>
        <v>0</v>
      </c>
      <c r="I456" s="762">
        <f t="shared" si="18"/>
        <v>0</v>
      </c>
      <c r="J456" s="762">
        <f t="shared" si="18"/>
        <v>0</v>
      </c>
      <c r="K456" s="762">
        <f t="shared" si="18"/>
        <v>0</v>
      </c>
      <c r="L456" s="762">
        <f t="shared" si="18"/>
        <v>0</v>
      </c>
      <c r="M456" s="762">
        <f t="shared" si="18"/>
        <v>0</v>
      </c>
      <c r="N456" s="763">
        <f t="shared" si="18"/>
        <v>0</v>
      </c>
      <c r="O456" s="3165">
        <f>SUM(E456:N456)</f>
        <v>0</v>
      </c>
      <c r="P456" s="3166"/>
      <c r="Q456" s="2320"/>
      <c r="S456" s="2899"/>
      <c r="T456" s="675"/>
      <c r="U456" s="332"/>
      <c r="V456" s="333"/>
      <c r="W456" s="333"/>
      <c r="X456" s="333"/>
      <c r="Y456" s="333"/>
      <c r="Z456" s="333"/>
      <c r="AA456" s="333"/>
      <c r="AB456" s="333"/>
      <c r="AC456" s="333"/>
      <c r="AD456" s="333"/>
      <c r="AE456" s="675"/>
      <c r="AF456" s="675"/>
      <c r="AG456" s="675"/>
      <c r="AH456" s="675"/>
    </row>
    <row r="457" spans="2:34" ht="22.5" customHeight="1" x14ac:dyDescent="0.25">
      <c r="B457" s="2328"/>
      <c r="C457" s="1097" t="s">
        <v>1</v>
      </c>
      <c r="D457" s="750" t="s">
        <v>1536</v>
      </c>
      <c r="E457" s="748">
        <f>SUM(E458:E459)</f>
        <v>0</v>
      </c>
      <c r="F457" s="749">
        <f t="shared" ref="F457:N457" si="19">SUM(F458:F459)</f>
        <v>0</v>
      </c>
      <c r="G457" s="749">
        <f t="shared" si="19"/>
        <v>0</v>
      </c>
      <c r="H457" s="749">
        <f t="shared" si="19"/>
        <v>0</v>
      </c>
      <c r="I457" s="749">
        <f t="shared" si="19"/>
        <v>0</v>
      </c>
      <c r="J457" s="749">
        <f t="shared" si="19"/>
        <v>0</v>
      </c>
      <c r="K457" s="749">
        <f t="shared" si="19"/>
        <v>0</v>
      </c>
      <c r="L457" s="749">
        <f t="shared" si="19"/>
        <v>0</v>
      </c>
      <c r="M457" s="749">
        <f t="shared" si="19"/>
        <v>0</v>
      </c>
      <c r="N457" s="749">
        <f t="shared" si="19"/>
        <v>0</v>
      </c>
      <c r="O457" s="3148">
        <f>SUM(E457:N457)</f>
        <v>0</v>
      </c>
      <c r="P457" s="3149"/>
      <c r="Q457" s="2320"/>
      <c r="S457" s="2899"/>
      <c r="T457" s="675"/>
      <c r="U457" s="332"/>
      <c r="V457" s="333"/>
      <c r="W457" s="333"/>
      <c r="X457" s="333"/>
      <c r="Y457" s="333"/>
      <c r="Z457" s="333"/>
      <c r="AA457" s="333"/>
      <c r="AB457" s="333"/>
      <c r="AC457" s="333"/>
      <c r="AD457" s="333"/>
      <c r="AE457" s="675"/>
      <c r="AF457" s="675"/>
      <c r="AG457" s="675"/>
      <c r="AH457" s="675"/>
    </row>
    <row r="458" spans="2:34" ht="18" customHeight="1" x14ac:dyDescent="0.25">
      <c r="B458" s="2365" t="str">
        <f>IF(COUNTBLANK(E458:N458)&lt;10,"","u")</f>
        <v>u</v>
      </c>
      <c r="C458" s="3254" t="s">
        <v>1578</v>
      </c>
      <c r="D458" s="3255"/>
      <c r="E458" s="585"/>
      <c r="F458" s="586"/>
      <c r="G458" s="586"/>
      <c r="H458" s="586"/>
      <c r="I458" s="586"/>
      <c r="J458" s="586"/>
      <c r="K458" s="586"/>
      <c r="L458" s="586"/>
      <c r="M458" s="586"/>
      <c r="N458" s="587"/>
      <c r="O458" s="3167">
        <f>SUM(E458:N458)</f>
        <v>0</v>
      </c>
      <c r="P458" s="3168"/>
      <c r="Q458" s="2320"/>
      <c r="S458" s="2899"/>
    </row>
    <row r="459" spans="2:34" ht="18" customHeight="1" x14ac:dyDescent="0.25">
      <c r="B459" s="2365" t="str">
        <f>IF(COUNTBLANK(E459:N459)&lt;10,"","u")</f>
        <v>u</v>
      </c>
      <c r="C459" s="1098" t="s">
        <v>1588</v>
      </c>
      <c r="D459" s="990" t="s">
        <v>87</v>
      </c>
      <c r="E459" s="741"/>
      <c r="F459" s="742"/>
      <c r="G459" s="742"/>
      <c r="H459" s="742"/>
      <c r="I459" s="742"/>
      <c r="J459" s="742"/>
      <c r="K459" s="742"/>
      <c r="L459" s="742"/>
      <c r="M459" s="742"/>
      <c r="N459" s="743"/>
      <c r="O459" s="3167">
        <f t="shared" ref="O459:O462" si="20">SUM(E459:N459)</f>
        <v>0</v>
      </c>
      <c r="P459" s="3168"/>
      <c r="Q459" s="2320"/>
      <c r="S459" s="2899"/>
      <c r="T459" s="334"/>
      <c r="U459" s="240"/>
      <c r="V459" s="240"/>
      <c r="W459" s="240"/>
      <c r="X459" s="240"/>
      <c r="Y459" s="240"/>
      <c r="Z459" s="240"/>
      <c r="AA459" s="240"/>
      <c r="AB459" s="240"/>
      <c r="AC459" s="240"/>
      <c r="AD459" s="240"/>
      <c r="AE459" s="240"/>
      <c r="AF459" s="240"/>
      <c r="AG459" s="240"/>
      <c r="AH459" s="240"/>
    </row>
    <row r="460" spans="2:34" ht="18" customHeight="1" x14ac:dyDescent="0.25">
      <c r="B460" s="2365" t="str">
        <f>IF(COUNTBLANK(E460:N460)&lt;10,"","w")</f>
        <v>w</v>
      </c>
      <c r="C460" s="3037" t="s">
        <v>1574</v>
      </c>
      <c r="D460" s="3038"/>
      <c r="E460" s="744"/>
      <c r="F460" s="745"/>
      <c r="G460" s="745"/>
      <c r="H460" s="745"/>
      <c r="I460" s="745"/>
      <c r="J460" s="745"/>
      <c r="K460" s="745"/>
      <c r="L460" s="745"/>
      <c r="M460" s="745"/>
      <c r="N460" s="746"/>
      <c r="O460" s="3161">
        <f t="shared" si="20"/>
        <v>0</v>
      </c>
      <c r="P460" s="3162"/>
      <c r="Q460" s="2320"/>
      <c r="S460" s="2899"/>
      <c r="T460" s="334"/>
      <c r="U460" s="240"/>
      <c r="V460" s="240"/>
      <c r="W460" s="240"/>
      <c r="X460" s="240"/>
      <c r="Y460" s="240"/>
      <c r="Z460" s="240"/>
      <c r="AA460" s="240"/>
      <c r="AB460" s="240"/>
      <c r="AC460" s="240"/>
      <c r="AD460" s="240"/>
      <c r="AE460" s="240"/>
      <c r="AF460" s="240"/>
      <c r="AG460" s="240"/>
      <c r="AH460" s="240"/>
    </row>
    <row r="461" spans="2:34" ht="18" customHeight="1" x14ac:dyDescent="0.25">
      <c r="B461" s="2365" t="str">
        <f>IF(COUNTBLANK(E461:N461)&lt;10,"","w")</f>
        <v>w</v>
      </c>
      <c r="C461" s="3044" t="s">
        <v>1575</v>
      </c>
      <c r="D461" s="3045"/>
      <c r="E461" s="732"/>
      <c r="F461" s="733"/>
      <c r="G461" s="733"/>
      <c r="H461" s="733"/>
      <c r="I461" s="733"/>
      <c r="J461" s="733"/>
      <c r="K461" s="733"/>
      <c r="L461" s="733"/>
      <c r="M461" s="733"/>
      <c r="N461" s="734"/>
      <c r="O461" s="3138">
        <f t="shared" si="20"/>
        <v>0</v>
      </c>
      <c r="P461" s="3139"/>
      <c r="Q461" s="2320"/>
      <c r="S461" s="2899"/>
    </row>
    <row r="462" spans="2:34" ht="18" customHeight="1" x14ac:dyDescent="0.25">
      <c r="B462" s="2365" t="str">
        <f>IF(COUNTBLANK(E462:N462)&lt;10,"","w")</f>
        <v>w</v>
      </c>
      <c r="C462" s="3039" t="s">
        <v>1577</v>
      </c>
      <c r="D462" s="3040"/>
      <c r="E462" s="751"/>
      <c r="F462" s="752"/>
      <c r="G462" s="752"/>
      <c r="H462" s="752"/>
      <c r="I462" s="752"/>
      <c r="J462" s="752"/>
      <c r="K462" s="752"/>
      <c r="L462" s="752"/>
      <c r="M462" s="752"/>
      <c r="N462" s="753"/>
      <c r="O462" s="3197">
        <f t="shared" si="20"/>
        <v>0</v>
      </c>
      <c r="P462" s="3198"/>
      <c r="Q462" s="2320"/>
      <c r="S462" s="2899"/>
    </row>
    <row r="463" spans="2:34" ht="18" customHeight="1" thickBot="1" x14ac:dyDescent="0.3">
      <c r="B463" s="2365" t="str">
        <f>IF(COUNTBLANK(E463:N463)&lt;10,"","w")</f>
        <v>w</v>
      </c>
      <c r="C463" s="3044" t="s">
        <v>1576</v>
      </c>
      <c r="D463" s="3045"/>
      <c r="E463" s="732"/>
      <c r="F463" s="733"/>
      <c r="G463" s="733"/>
      <c r="H463" s="733"/>
      <c r="I463" s="733"/>
      <c r="J463" s="733"/>
      <c r="K463" s="733"/>
      <c r="L463" s="733"/>
      <c r="M463" s="733"/>
      <c r="N463" s="734"/>
      <c r="O463" s="3138">
        <f>SUM(E463:N463)</f>
        <v>0</v>
      </c>
      <c r="P463" s="3139"/>
      <c r="Q463" s="2320"/>
      <c r="S463" s="2899"/>
    </row>
    <row r="464" spans="2:34" ht="22.5" customHeight="1" x14ac:dyDescent="0.25">
      <c r="B464" s="2328"/>
      <c r="C464" s="1099" t="s">
        <v>2</v>
      </c>
      <c r="D464" s="754" t="s">
        <v>1536</v>
      </c>
      <c r="E464" s="755">
        <f>SUM(E465:E466)</f>
        <v>0</v>
      </c>
      <c r="F464" s="756">
        <f t="shared" ref="F464:N464" si="21">SUM(F465:F466)</f>
        <v>0</v>
      </c>
      <c r="G464" s="756">
        <f t="shared" si="21"/>
        <v>0</v>
      </c>
      <c r="H464" s="756">
        <f t="shared" si="21"/>
        <v>0</v>
      </c>
      <c r="I464" s="756">
        <f t="shared" si="21"/>
        <v>0</v>
      </c>
      <c r="J464" s="756">
        <f t="shared" si="21"/>
        <v>0</v>
      </c>
      <c r="K464" s="756">
        <f t="shared" si="21"/>
        <v>0</v>
      </c>
      <c r="L464" s="756">
        <f t="shared" si="21"/>
        <v>0</v>
      </c>
      <c r="M464" s="756">
        <f t="shared" si="21"/>
        <v>0</v>
      </c>
      <c r="N464" s="756">
        <f t="shared" si="21"/>
        <v>0</v>
      </c>
      <c r="O464" s="3146">
        <f>SUM(E464:N464)</f>
        <v>0</v>
      </c>
      <c r="P464" s="3147"/>
      <c r="Q464" s="2320"/>
      <c r="S464" s="2899"/>
      <c r="T464" s="675"/>
      <c r="U464" s="332"/>
      <c r="V464" s="333"/>
      <c r="W464" s="333"/>
      <c r="X464" s="333"/>
      <c r="Y464" s="333"/>
      <c r="Z464" s="333"/>
      <c r="AA464" s="333"/>
      <c r="AB464" s="333"/>
      <c r="AC464" s="333"/>
      <c r="AD464" s="333"/>
      <c r="AE464" s="675"/>
      <c r="AF464" s="675"/>
      <c r="AG464" s="675"/>
      <c r="AH464" s="675"/>
    </row>
    <row r="465" spans="2:34" ht="18" customHeight="1" x14ac:dyDescent="0.25">
      <c r="B465" s="2365" t="str">
        <f>IF(COUNTBLANK(E465:N465)&lt;10,"","u")</f>
        <v>u</v>
      </c>
      <c r="C465" s="3254" t="s">
        <v>1578</v>
      </c>
      <c r="D465" s="3255"/>
      <c r="E465" s="585"/>
      <c r="F465" s="586"/>
      <c r="G465" s="586"/>
      <c r="H465" s="586"/>
      <c r="I465" s="586"/>
      <c r="J465" s="586"/>
      <c r="K465" s="586"/>
      <c r="L465" s="586"/>
      <c r="M465" s="586"/>
      <c r="N465" s="587"/>
      <c r="O465" s="3167">
        <f>SUM(E465:N465)</f>
        <v>0</v>
      </c>
      <c r="P465" s="3168"/>
      <c r="Q465" s="2320"/>
      <c r="S465" s="2899"/>
    </row>
    <row r="466" spans="2:34" ht="18" customHeight="1" x14ac:dyDescent="0.25">
      <c r="B466" s="2365" t="str">
        <f>IF(COUNTBLANK(E466:N466)&lt;10,"","u")</f>
        <v>u</v>
      </c>
      <c r="C466" s="1098" t="s">
        <v>1588</v>
      </c>
      <c r="D466" s="990" t="s">
        <v>87</v>
      </c>
      <c r="E466" s="741"/>
      <c r="F466" s="742"/>
      <c r="G466" s="742"/>
      <c r="H466" s="742"/>
      <c r="I466" s="742"/>
      <c r="J466" s="742"/>
      <c r="K466" s="742"/>
      <c r="L466" s="742"/>
      <c r="M466" s="742"/>
      <c r="N466" s="743"/>
      <c r="O466" s="3167">
        <f t="shared" ref="O466:O469" si="22">SUM(E466:N466)</f>
        <v>0</v>
      </c>
      <c r="P466" s="3168"/>
      <c r="Q466" s="2320"/>
      <c r="S466" s="2899"/>
      <c r="T466" s="334"/>
      <c r="U466" s="240"/>
      <c r="V466" s="240"/>
      <c r="W466" s="240"/>
      <c r="X466" s="240"/>
      <c r="Y466" s="240"/>
      <c r="Z466" s="240"/>
      <c r="AA466" s="240"/>
      <c r="AB466" s="240"/>
      <c r="AC466" s="240"/>
      <c r="AD466" s="240"/>
      <c r="AE466" s="240"/>
      <c r="AF466" s="240"/>
      <c r="AG466" s="240"/>
      <c r="AH466" s="240"/>
    </row>
    <row r="467" spans="2:34" ht="18" customHeight="1" x14ac:dyDescent="0.25">
      <c r="B467" s="2365" t="str">
        <f>IF(COUNTBLANK(E467:N467)&lt;10,"","w")</f>
        <v>w</v>
      </c>
      <c r="C467" s="3037" t="s">
        <v>1574</v>
      </c>
      <c r="D467" s="3038"/>
      <c r="E467" s="744"/>
      <c r="F467" s="745"/>
      <c r="G467" s="745"/>
      <c r="H467" s="745"/>
      <c r="I467" s="745"/>
      <c r="J467" s="745"/>
      <c r="K467" s="745"/>
      <c r="L467" s="745"/>
      <c r="M467" s="745"/>
      <c r="N467" s="746"/>
      <c r="O467" s="3161">
        <f t="shared" si="22"/>
        <v>0</v>
      </c>
      <c r="P467" s="3162"/>
      <c r="Q467" s="2320"/>
      <c r="S467" s="2899"/>
      <c r="T467" s="334"/>
      <c r="U467" s="240"/>
      <c r="V467" s="240"/>
      <c r="W467" s="240"/>
      <c r="X467" s="240"/>
      <c r="Y467" s="240"/>
      <c r="Z467" s="240"/>
      <c r="AA467" s="240"/>
      <c r="AB467" s="240"/>
      <c r="AC467" s="240"/>
      <c r="AD467" s="240"/>
      <c r="AE467" s="240"/>
      <c r="AF467" s="240"/>
      <c r="AG467" s="240"/>
      <c r="AH467" s="240"/>
    </row>
    <row r="468" spans="2:34" ht="18" customHeight="1" x14ac:dyDescent="0.25">
      <c r="B468" s="2365" t="str">
        <f>IF(COUNTBLANK(E468:N468)&lt;10,"","w")</f>
        <v>w</v>
      </c>
      <c r="C468" s="3044" t="s">
        <v>1575</v>
      </c>
      <c r="D468" s="3045"/>
      <c r="E468" s="732"/>
      <c r="F468" s="733"/>
      <c r="G468" s="733"/>
      <c r="H468" s="733"/>
      <c r="I468" s="733"/>
      <c r="J468" s="733"/>
      <c r="K468" s="733"/>
      <c r="L468" s="733"/>
      <c r="M468" s="733"/>
      <c r="N468" s="734"/>
      <c r="O468" s="3138">
        <f t="shared" si="22"/>
        <v>0</v>
      </c>
      <c r="P468" s="3139"/>
      <c r="Q468" s="2320"/>
      <c r="S468" s="2899"/>
    </row>
    <row r="469" spans="2:34" ht="18" customHeight="1" x14ac:dyDescent="0.25">
      <c r="B469" s="2365" t="str">
        <f>IF(COUNTBLANK(E469:N469)&lt;10,"","w")</f>
        <v>w</v>
      </c>
      <c r="C469" s="3039" t="s">
        <v>1577</v>
      </c>
      <c r="D469" s="3040"/>
      <c r="E469" s="751"/>
      <c r="F469" s="752"/>
      <c r="G469" s="752"/>
      <c r="H469" s="752"/>
      <c r="I469" s="752"/>
      <c r="J469" s="752"/>
      <c r="K469" s="752"/>
      <c r="L469" s="752"/>
      <c r="M469" s="752"/>
      <c r="N469" s="753"/>
      <c r="O469" s="3197">
        <f t="shared" si="22"/>
        <v>0</v>
      </c>
      <c r="P469" s="3198"/>
      <c r="Q469" s="2320"/>
      <c r="S469" s="2899"/>
    </row>
    <row r="470" spans="2:34" ht="18" customHeight="1" thickBot="1" x14ac:dyDescent="0.3">
      <c r="B470" s="2365" t="str">
        <f>IF(COUNTBLANK(E470:N470)&lt;10,"","w")</f>
        <v>w</v>
      </c>
      <c r="C470" s="3044" t="s">
        <v>1576</v>
      </c>
      <c r="D470" s="3045"/>
      <c r="E470" s="732"/>
      <c r="F470" s="733"/>
      <c r="G470" s="733"/>
      <c r="H470" s="733"/>
      <c r="I470" s="733"/>
      <c r="J470" s="733"/>
      <c r="K470" s="733"/>
      <c r="L470" s="733"/>
      <c r="M470" s="733"/>
      <c r="N470" s="734"/>
      <c r="O470" s="3138">
        <f>SUM(E470:N470)</f>
        <v>0</v>
      </c>
      <c r="P470" s="3139"/>
      <c r="Q470" s="2320"/>
      <c r="S470" s="2899"/>
    </row>
    <row r="471" spans="2:34" ht="37.5" customHeight="1" thickBot="1" x14ac:dyDescent="0.3">
      <c r="B471" s="2328"/>
      <c r="C471" s="3061" t="s">
        <v>130</v>
      </c>
      <c r="D471" s="3062"/>
      <c r="E471" s="3158"/>
      <c r="F471" s="3159"/>
      <c r="G471" s="3159"/>
      <c r="H471" s="3159"/>
      <c r="I471" s="3159"/>
      <c r="J471" s="3159"/>
      <c r="K471" s="3159"/>
      <c r="L471" s="3159"/>
      <c r="M471" s="3159"/>
      <c r="N471" s="3159"/>
      <c r="O471" s="3159"/>
      <c r="P471" s="3160"/>
      <c r="Q471" s="2320"/>
      <c r="S471" s="2899"/>
    </row>
    <row r="472" spans="2:34" ht="22.5" customHeight="1" thickBot="1" x14ac:dyDescent="0.3">
      <c r="B472" s="2365"/>
      <c r="C472" s="1096" t="s">
        <v>123</v>
      </c>
      <c r="D472" s="760" t="s">
        <v>6</v>
      </c>
      <c r="E472" s="761">
        <f t="shared" ref="E472:N472" si="23">E473+E475+E474</f>
        <v>0</v>
      </c>
      <c r="F472" s="762">
        <f t="shared" si="23"/>
        <v>0</v>
      </c>
      <c r="G472" s="762">
        <f t="shared" si="23"/>
        <v>0</v>
      </c>
      <c r="H472" s="762">
        <f t="shared" si="23"/>
        <v>0</v>
      </c>
      <c r="I472" s="762">
        <f t="shared" si="23"/>
        <v>0</v>
      </c>
      <c r="J472" s="762">
        <f t="shared" si="23"/>
        <v>0</v>
      </c>
      <c r="K472" s="762">
        <f t="shared" si="23"/>
        <v>0</v>
      </c>
      <c r="L472" s="762">
        <f t="shared" si="23"/>
        <v>0</v>
      </c>
      <c r="M472" s="762">
        <f t="shared" si="23"/>
        <v>0</v>
      </c>
      <c r="N472" s="763">
        <f t="shared" si="23"/>
        <v>0</v>
      </c>
      <c r="O472" s="3165">
        <f t="shared" ref="O472:O494" si="24">SUM(E472:N472)</f>
        <v>0</v>
      </c>
      <c r="P472" s="3166"/>
      <c r="Q472" s="2378"/>
      <c r="S472" s="2899"/>
    </row>
    <row r="473" spans="2:34" ht="18" customHeight="1" x14ac:dyDescent="0.25">
      <c r="B473" s="2365" t="str">
        <f>IF(COUNTBLANK(E473:N473)&lt;10,"","u")</f>
        <v>u</v>
      </c>
      <c r="C473" s="3142" t="s">
        <v>1578</v>
      </c>
      <c r="D473" s="3143"/>
      <c r="E473" s="585"/>
      <c r="F473" s="586"/>
      <c r="G473" s="586"/>
      <c r="H473" s="586"/>
      <c r="I473" s="586"/>
      <c r="J473" s="586"/>
      <c r="K473" s="586"/>
      <c r="L473" s="586"/>
      <c r="M473" s="586"/>
      <c r="N473" s="587"/>
      <c r="O473" s="3098">
        <f>SUM(E473:N473)</f>
        <v>0</v>
      </c>
      <c r="P473" s="3099"/>
      <c r="Q473" s="2378"/>
      <c r="S473" s="2899"/>
    </row>
    <row r="474" spans="2:34" ht="18" customHeight="1" x14ac:dyDescent="0.25">
      <c r="B474" s="2365" t="str">
        <f>IF(COUNTBLANK(E474:N474)&lt;10,"","u")</f>
        <v>u</v>
      </c>
      <c r="C474" s="3140" t="s">
        <v>1437</v>
      </c>
      <c r="D474" s="3141"/>
      <c r="E474" s="741"/>
      <c r="F474" s="742"/>
      <c r="G474" s="742"/>
      <c r="H474" s="742"/>
      <c r="I474" s="742"/>
      <c r="J474" s="742"/>
      <c r="K474" s="742"/>
      <c r="L474" s="742"/>
      <c r="M474" s="742"/>
      <c r="N474" s="743"/>
      <c r="O474" s="3167">
        <f>SUM(E474:N474)</f>
        <v>0</v>
      </c>
      <c r="P474" s="3168"/>
      <c r="Q474" s="2378"/>
      <c r="S474" s="2899"/>
    </row>
    <row r="475" spans="2:34" ht="18" customHeight="1" x14ac:dyDescent="0.25">
      <c r="B475" s="2365" t="str">
        <f>IF(COUNTBLANK(E475:N475)&lt;10,"","u")</f>
        <v>u</v>
      </c>
      <c r="C475" s="1098" t="s">
        <v>1588</v>
      </c>
      <c r="D475" s="990" t="s">
        <v>87</v>
      </c>
      <c r="E475" s="741"/>
      <c r="F475" s="742"/>
      <c r="G475" s="742"/>
      <c r="H475" s="742"/>
      <c r="I475" s="742"/>
      <c r="J475" s="742"/>
      <c r="K475" s="742"/>
      <c r="L475" s="742"/>
      <c r="M475" s="742"/>
      <c r="N475" s="743"/>
      <c r="O475" s="3167">
        <f t="shared" ref="O475:O477" si="25">SUM(E475:N475)</f>
        <v>0</v>
      </c>
      <c r="P475" s="3168"/>
      <c r="Q475" s="2320"/>
      <c r="S475" s="2899"/>
      <c r="T475" s="334"/>
      <c r="U475" s="240"/>
      <c r="V475" s="240"/>
      <c r="W475" s="240"/>
      <c r="X475" s="240"/>
      <c r="Y475" s="240"/>
      <c r="Z475" s="240"/>
      <c r="AA475" s="240"/>
      <c r="AB475" s="240"/>
      <c r="AC475" s="240"/>
      <c r="AD475" s="240"/>
      <c r="AE475" s="240"/>
      <c r="AF475" s="240"/>
      <c r="AG475" s="240"/>
      <c r="AH475" s="240"/>
    </row>
    <row r="476" spans="2:34" ht="18" customHeight="1" x14ac:dyDescent="0.25">
      <c r="B476" s="2365" t="str">
        <f>IF(COUNTBLANK(E476:N476)&lt;10,"","w")</f>
        <v>w</v>
      </c>
      <c r="C476" s="3037" t="s">
        <v>1575</v>
      </c>
      <c r="D476" s="3038"/>
      <c r="E476" s="744"/>
      <c r="F476" s="745"/>
      <c r="G476" s="745"/>
      <c r="H476" s="745"/>
      <c r="I476" s="745"/>
      <c r="J476" s="745"/>
      <c r="K476" s="745"/>
      <c r="L476" s="745"/>
      <c r="M476" s="745"/>
      <c r="N476" s="746"/>
      <c r="O476" s="3161">
        <f t="shared" si="25"/>
        <v>0</v>
      </c>
      <c r="P476" s="3162"/>
      <c r="Q476" s="2378"/>
      <c r="S476" s="2899"/>
    </row>
    <row r="477" spans="2:34" ht="18" customHeight="1" x14ac:dyDescent="0.25">
      <c r="B477" s="2365" t="str">
        <f>IF(COUNTBLANK(E477:N477)&lt;10,"","w")</f>
        <v>w</v>
      </c>
      <c r="C477" s="3039" t="s">
        <v>1577</v>
      </c>
      <c r="D477" s="3040"/>
      <c r="E477" s="751"/>
      <c r="F477" s="752"/>
      <c r="G477" s="752"/>
      <c r="H477" s="752"/>
      <c r="I477" s="752"/>
      <c r="J477" s="752"/>
      <c r="K477" s="752"/>
      <c r="L477" s="752"/>
      <c r="M477" s="752"/>
      <c r="N477" s="753"/>
      <c r="O477" s="3197">
        <f t="shared" si="25"/>
        <v>0</v>
      </c>
      <c r="P477" s="3198"/>
      <c r="Q477" s="2378"/>
      <c r="S477" s="2899"/>
    </row>
    <row r="478" spans="2:34" ht="18" customHeight="1" thickBot="1" x14ac:dyDescent="0.3">
      <c r="B478" s="2365" t="str">
        <f>IF(COUNTBLANK(E478:N478)&lt;10,"","w")</f>
        <v>w</v>
      </c>
      <c r="C478" s="3044" t="s">
        <v>1576</v>
      </c>
      <c r="D478" s="3045"/>
      <c r="E478" s="732"/>
      <c r="F478" s="733"/>
      <c r="G478" s="733"/>
      <c r="H478" s="733"/>
      <c r="I478" s="733"/>
      <c r="J478" s="733"/>
      <c r="K478" s="733"/>
      <c r="L478" s="733"/>
      <c r="M478" s="733"/>
      <c r="N478" s="734"/>
      <c r="O478" s="3138">
        <f>SUM(E478:N478)</f>
        <v>0</v>
      </c>
      <c r="P478" s="3139"/>
      <c r="Q478" s="2378"/>
      <c r="S478" s="2899"/>
    </row>
    <row r="479" spans="2:34" ht="37.5" customHeight="1" thickBot="1" x14ac:dyDescent="0.3">
      <c r="B479" s="2328"/>
      <c r="C479" s="3061" t="s">
        <v>130</v>
      </c>
      <c r="D479" s="3062"/>
      <c r="E479" s="3158"/>
      <c r="F479" s="3159"/>
      <c r="G479" s="3159"/>
      <c r="H479" s="3159"/>
      <c r="I479" s="3159"/>
      <c r="J479" s="3159"/>
      <c r="K479" s="3159"/>
      <c r="L479" s="3159"/>
      <c r="M479" s="3159"/>
      <c r="N479" s="3159"/>
      <c r="O479" s="3159"/>
      <c r="P479" s="3160"/>
      <c r="Q479" s="2320"/>
      <c r="S479" s="2899"/>
    </row>
    <row r="480" spans="2:34" ht="22.5" customHeight="1" thickBot="1" x14ac:dyDescent="0.3">
      <c r="B480" s="2328"/>
      <c r="C480" s="1100" t="s">
        <v>133</v>
      </c>
      <c r="D480" s="764" t="s">
        <v>6</v>
      </c>
      <c r="E480" s="765">
        <f t="shared" ref="E480:N480" si="26">E481+E487</f>
        <v>0</v>
      </c>
      <c r="F480" s="766">
        <f t="shared" si="26"/>
        <v>0</v>
      </c>
      <c r="G480" s="766">
        <f t="shared" si="26"/>
        <v>0</v>
      </c>
      <c r="H480" s="766">
        <f t="shared" si="26"/>
        <v>0</v>
      </c>
      <c r="I480" s="766">
        <f t="shared" si="26"/>
        <v>0</v>
      </c>
      <c r="J480" s="766">
        <f t="shared" si="26"/>
        <v>0</v>
      </c>
      <c r="K480" s="766">
        <f t="shared" si="26"/>
        <v>0</v>
      </c>
      <c r="L480" s="766">
        <f t="shared" si="26"/>
        <v>0</v>
      </c>
      <c r="M480" s="766">
        <f t="shared" si="26"/>
        <v>0</v>
      </c>
      <c r="N480" s="767">
        <f t="shared" si="26"/>
        <v>0</v>
      </c>
      <c r="O480" s="3144">
        <f t="shared" ref="O480:O481" si="27">SUM(E480:N480)</f>
        <v>0</v>
      </c>
      <c r="P480" s="3145"/>
      <c r="Q480" s="2320"/>
      <c r="S480" s="2899"/>
      <c r="T480" s="676"/>
      <c r="U480" s="11"/>
      <c r="V480" s="11"/>
      <c r="W480" s="11"/>
      <c r="X480" s="11"/>
      <c r="Y480" s="11"/>
      <c r="Z480" s="11"/>
      <c r="AA480" s="11"/>
      <c r="AB480" s="11"/>
      <c r="AC480" s="11"/>
      <c r="AD480" s="11"/>
      <c r="AE480" s="11"/>
    </row>
    <row r="481" spans="2:34" ht="22.5" customHeight="1" x14ac:dyDescent="0.25">
      <c r="B481" s="2328"/>
      <c r="C481" s="1099" t="s">
        <v>3</v>
      </c>
      <c r="D481" s="754" t="s">
        <v>1536</v>
      </c>
      <c r="E481" s="755">
        <f>SUM(E482:E483)</f>
        <v>0</v>
      </c>
      <c r="F481" s="756">
        <f t="shared" ref="F481:N481" si="28">SUM(F482:F483)</f>
        <v>0</v>
      </c>
      <c r="G481" s="756">
        <f t="shared" si="28"/>
        <v>0</v>
      </c>
      <c r="H481" s="756">
        <f t="shared" si="28"/>
        <v>0</v>
      </c>
      <c r="I481" s="756">
        <f t="shared" si="28"/>
        <v>0</v>
      </c>
      <c r="J481" s="756">
        <f t="shared" si="28"/>
        <v>0</v>
      </c>
      <c r="K481" s="756">
        <f t="shared" si="28"/>
        <v>0</v>
      </c>
      <c r="L481" s="756">
        <f t="shared" si="28"/>
        <v>0</v>
      </c>
      <c r="M481" s="756">
        <f t="shared" si="28"/>
        <v>0</v>
      </c>
      <c r="N481" s="756">
        <f t="shared" si="28"/>
        <v>0</v>
      </c>
      <c r="O481" s="3146">
        <f t="shared" si="27"/>
        <v>0</v>
      </c>
      <c r="P481" s="3147"/>
      <c r="Q481" s="2320"/>
      <c r="S481" s="2899"/>
      <c r="T481" s="675"/>
      <c r="U481" s="332"/>
      <c r="V481" s="333"/>
      <c r="W481" s="333"/>
      <c r="X481" s="333"/>
      <c r="Y481" s="333"/>
      <c r="Z481" s="333"/>
      <c r="AA481" s="333"/>
      <c r="AB481" s="333"/>
      <c r="AC481" s="333"/>
      <c r="AD481" s="333"/>
      <c r="AE481" s="675"/>
      <c r="AF481" s="675"/>
      <c r="AG481" s="675"/>
      <c r="AH481" s="675"/>
    </row>
    <row r="482" spans="2:34" ht="18" customHeight="1" x14ac:dyDescent="0.25">
      <c r="B482" s="2365" t="str">
        <f>IF(COUNTBLANK(E482:N482)&lt;10,"","u")</f>
        <v>u</v>
      </c>
      <c r="C482" s="3142" t="s">
        <v>1578</v>
      </c>
      <c r="D482" s="3143"/>
      <c r="E482" s="585"/>
      <c r="F482" s="586"/>
      <c r="G482" s="586"/>
      <c r="H482" s="586"/>
      <c r="I482" s="586"/>
      <c r="J482" s="586"/>
      <c r="K482" s="586"/>
      <c r="L482" s="586"/>
      <c r="M482" s="586"/>
      <c r="N482" s="587"/>
      <c r="O482" s="3167">
        <f>SUM(E482:N482)</f>
        <v>0</v>
      </c>
      <c r="P482" s="3168"/>
      <c r="Q482" s="2320"/>
      <c r="S482" s="2899"/>
    </row>
    <row r="483" spans="2:34" ht="18" customHeight="1" x14ac:dyDescent="0.25">
      <c r="B483" s="2365" t="str">
        <f>IF(COUNTBLANK(E483:N483)&lt;10,"","u")</f>
        <v>u</v>
      </c>
      <c r="C483" s="1098" t="s">
        <v>1588</v>
      </c>
      <c r="D483" s="990" t="s">
        <v>87</v>
      </c>
      <c r="E483" s="741"/>
      <c r="F483" s="742"/>
      <c r="G483" s="742"/>
      <c r="H483" s="742"/>
      <c r="I483" s="742"/>
      <c r="J483" s="742"/>
      <c r="K483" s="742"/>
      <c r="L483" s="742"/>
      <c r="M483" s="742"/>
      <c r="N483" s="743"/>
      <c r="O483" s="3167">
        <f t="shared" ref="O483:O485" si="29">SUM(E483:N483)</f>
        <v>0</v>
      </c>
      <c r="P483" s="3168"/>
      <c r="Q483" s="2320"/>
      <c r="S483" s="2899"/>
      <c r="T483" s="334"/>
      <c r="U483" s="240"/>
      <c r="V483" s="240"/>
      <c r="W483" s="240"/>
      <c r="X483" s="240"/>
      <c r="Y483" s="240"/>
      <c r="Z483" s="240"/>
      <c r="AA483" s="240"/>
      <c r="AB483" s="240"/>
      <c r="AC483" s="240"/>
      <c r="AD483" s="240"/>
      <c r="AE483" s="240"/>
      <c r="AF483" s="240"/>
      <c r="AG483" s="240"/>
      <c r="AH483" s="240"/>
    </row>
    <row r="484" spans="2:34" ht="18" customHeight="1" x14ac:dyDescent="0.25">
      <c r="B484" s="2365" t="str">
        <f>IF(COUNTBLANK(E484:N484)&lt;10,"","w")</f>
        <v>w</v>
      </c>
      <c r="C484" s="3037" t="s">
        <v>1575</v>
      </c>
      <c r="D484" s="3038"/>
      <c r="E484" s="744"/>
      <c r="F484" s="745"/>
      <c r="G484" s="745"/>
      <c r="H484" s="745"/>
      <c r="I484" s="745"/>
      <c r="J484" s="745"/>
      <c r="K484" s="745"/>
      <c r="L484" s="745"/>
      <c r="M484" s="745"/>
      <c r="N484" s="746"/>
      <c r="O484" s="3161">
        <f t="shared" si="29"/>
        <v>0</v>
      </c>
      <c r="P484" s="3162"/>
      <c r="Q484" s="2320"/>
      <c r="S484" s="2899"/>
    </row>
    <row r="485" spans="2:34" ht="18" customHeight="1" x14ac:dyDescent="0.25">
      <c r="B485" s="2365" t="str">
        <f>IF(COUNTBLANK(E485:N485)&lt;10,"","w")</f>
        <v>w</v>
      </c>
      <c r="C485" s="3039" t="s">
        <v>1577</v>
      </c>
      <c r="D485" s="3040"/>
      <c r="E485" s="751"/>
      <c r="F485" s="752"/>
      <c r="G485" s="752"/>
      <c r="H485" s="752"/>
      <c r="I485" s="752"/>
      <c r="J485" s="752"/>
      <c r="K485" s="752"/>
      <c r="L485" s="752"/>
      <c r="M485" s="752"/>
      <c r="N485" s="753"/>
      <c r="O485" s="3197">
        <f t="shared" si="29"/>
        <v>0</v>
      </c>
      <c r="P485" s="3198"/>
      <c r="Q485" s="2320"/>
      <c r="S485" s="2899"/>
    </row>
    <row r="486" spans="2:34" ht="18" customHeight="1" thickBot="1" x14ac:dyDescent="0.3">
      <c r="B486" s="2365" t="str">
        <f>IF(COUNTBLANK(E486:N486)&lt;10,"","w")</f>
        <v>w</v>
      </c>
      <c r="C486" s="3246" t="s">
        <v>1576</v>
      </c>
      <c r="D486" s="3247"/>
      <c r="E486" s="768"/>
      <c r="F486" s="769"/>
      <c r="G486" s="769"/>
      <c r="H486" s="769"/>
      <c r="I486" s="769"/>
      <c r="J486" s="769"/>
      <c r="K486" s="769"/>
      <c r="L486" s="769"/>
      <c r="M486" s="769"/>
      <c r="N486" s="770"/>
      <c r="O486" s="3152">
        <f>SUM(E486:N486)</f>
        <v>0</v>
      </c>
      <c r="P486" s="3153"/>
      <c r="Q486" s="2320"/>
      <c r="S486" s="2899"/>
    </row>
    <row r="487" spans="2:34" ht="22.5" customHeight="1" x14ac:dyDescent="0.25">
      <c r="B487" s="2328"/>
      <c r="C487" s="1097" t="s">
        <v>4</v>
      </c>
      <c r="D487" s="750" t="s">
        <v>1536</v>
      </c>
      <c r="E487" s="748">
        <f>SUM(E488:E489)</f>
        <v>0</v>
      </c>
      <c r="F487" s="749">
        <f t="shared" ref="F487:N487" si="30">SUM(F488:F489)</f>
        <v>0</v>
      </c>
      <c r="G487" s="749">
        <f t="shared" si="30"/>
        <v>0</v>
      </c>
      <c r="H487" s="749">
        <f t="shared" si="30"/>
        <v>0</v>
      </c>
      <c r="I487" s="749">
        <f t="shared" si="30"/>
        <v>0</v>
      </c>
      <c r="J487" s="749">
        <f t="shared" si="30"/>
        <v>0</v>
      </c>
      <c r="K487" s="749">
        <f t="shared" si="30"/>
        <v>0</v>
      </c>
      <c r="L487" s="749">
        <f t="shared" si="30"/>
        <v>0</v>
      </c>
      <c r="M487" s="749">
        <f t="shared" si="30"/>
        <v>0</v>
      </c>
      <c r="N487" s="749">
        <f t="shared" si="30"/>
        <v>0</v>
      </c>
      <c r="O487" s="3148">
        <f>SUM(E487:N487)</f>
        <v>0</v>
      </c>
      <c r="P487" s="3149"/>
      <c r="Q487" s="2320"/>
      <c r="S487" s="2899"/>
      <c r="T487" s="675"/>
      <c r="U487" s="332"/>
      <c r="V487" s="333"/>
      <c r="W487" s="333"/>
      <c r="X487" s="333"/>
      <c r="Y487" s="333"/>
      <c r="Z487" s="333"/>
      <c r="AA487" s="333"/>
      <c r="AB487" s="333"/>
      <c r="AC487" s="333"/>
      <c r="AD487" s="333"/>
      <c r="AE487" s="675"/>
      <c r="AF487" s="675"/>
      <c r="AG487" s="675"/>
      <c r="AH487" s="675"/>
    </row>
    <row r="488" spans="2:34" ht="18" customHeight="1" x14ac:dyDescent="0.25">
      <c r="B488" s="2365" t="str">
        <f>IF(COUNTBLANK(E488:N488)&lt;10,"","u")</f>
        <v>u</v>
      </c>
      <c r="C488" s="3142" t="s">
        <v>1578</v>
      </c>
      <c r="D488" s="3143"/>
      <c r="E488" s="585"/>
      <c r="F488" s="586"/>
      <c r="G488" s="586"/>
      <c r="H488" s="586"/>
      <c r="I488" s="586"/>
      <c r="J488" s="586"/>
      <c r="K488" s="586"/>
      <c r="L488" s="586"/>
      <c r="M488" s="586"/>
      <c r="N488" s="587"/>
      <c r="O488" s="3167">
        <f>SUM(E488:N488)</f>
        <v>0</v>
      </c>
      <c r="P488" s="3168"/>
      <c r="Q488" s="2320"/>
      <c r="S488" s="2899"/>
    </row>
    <row r="489" spans="2:34" ht="18" customHeight="1" x14ac:dyDescent="0.25">
      <c r="B489" s="2365" t="str">
        <f>IF(COUNTBLANK(E489:N489)&lt;10,"","u")</f>
        <v>u</v>
      </c>
      <c r="C489" s="1098" t="s">
        <v>1588</v>
      </c>
      <c r="D489" s="990" t="s">
        <v>87</v>
      </c>
      <c r="E489" s="741"/>
      <c r="F489" s="742"/>
      <c r="G489" s="742"/>
      <c r="H489" s="742"/>
      <c r="I489" s="742"/>
      <c r="J489" s="742"/>
      <c r="K489" s="742"/>
      <c r="L489" s="742"/>
      <c r="M489" s="742"/>
      <c r="N489" s="743"/>
      <c r="O489" s="3167">
        <f t="shared" ref="O489:O491" si="31">SUM(E489:N489)</f>
        <v>0</v>
      </c>
      <c r="P489" s="3168"/>
      <c r="Q489" s="2320"/>
      <c r="S489" s="2899"/>
      <c r="T489" s="334"/>
      <c r="U489" s="240"/>
      <c r="V489" s="240"/>
      <c r="W489" s="240"/>
      <c r="X489" s="240"/>
      <c r="Y489" s="240"/>
      <c r="Z489" s="240"/>
      <c r="AA489" s="240"/>
      <c r="AB489" s="240"/>
      <c r="AC489" s="240"/>
      <c r="AD489" s="240"/>
      <c r="AE489" s="240"/>
      <c r="AF489" s="240"/>
      <c r="AG489" s="240"/>
      <c r="AH489" s="240"/>
    </row>
    <row r="490" spans="2:34" ht="18" customHeight="1" x14ac:dyDescent="0.25">
      <c r="B490" s="2365" t="str">
        <f>IF(COUNTBLANK(E490:N490)&lt;10,"","w")</f>
        <v>w</v>
      </c>
      <c r="C490" s="3037" t="s">
        <v>1575</v>
      </c>
      <c r="D490" s="3038"/>
      <c r="E490" s="744"/>
      <c r="F490" s="745"/>
      <c r="G490" s="745"/>
      <c r="H490" s="745"/>
      <c r="I490" s="745"/>
      <c r="J490" s="745"/>
      <c r="K490" s="745"/>
      <c r="L490" s="745"/>
      <c r="M490" s="745"/>
      <c r="N490" s="746"/>
      <c r="O490" s="3161">
        <f t="shared" si="31"/>
        <v>0</v>
      </c>
      <c r="P490" s="3162"/>
      <c r="Q490" s="2320"/>
      <c r="S490" s="2899"/>
    </row>
    <row r="491" spans="2:34" ht="18" customHeight="1" x14ac:dyDescent="0.25">
      <c r="B491" s="2365" t="str">
        <f>IF(COUNTBLANK(E491:N491)&lt;10,"","w")</f>
        <v>w</v>
      </c>
      <c r="C491" s="3039" t="s">
        <v>1577</v>
      </c>
      <c r="D491" s="3040"/>
      <c r="E491" s="751"/>
      <c r="F491" s="752"/>
      <c r="G491" s="752"/>
      <c r="H491" s="752"/>
      <c r="I491" s="752"/>
      <c r="J491" s="752"/>
      <c r="K491" s="752"/>
      <c r="L491" s="752"/>
      <c r="M491" s="752"/>
      <c r="N491" s="753"/>
      <c r="O491" s="3197">
        <f t="shared" si="31"/>
        <v>0</v>
      </c>
      <c r="P491" s="3198"/>
      <c r="Q491" s="2320"/>
      <c r="S491" s="2899"/>
    </row>
    <row r="492" spans="2:34" ht="18" customHeight="1" thickBot="1" x14ac:dyDescent="0.3">
      <c r="B492" s="2365" t="str">
        <f>IF(COUNTBLANK(E492:N492)&lt;10,"","w")</f>
        <v>w</v>
      </c>
      <c r="C492" s="3039" t="s">
        <v>1576</v>
      </c>
      <c r="D492" s="3040"/>
      <c r="E492" s="732"/>
      <c r="F492" s="733"/>
      <c r="G492" s="733"/>
      <c r="H492" s="733"/>
      <c r="I492" s="733"/>
      <c r="J492" s="733"/>
      <c r="K492" s="733"/>
      <c r="L492" s="733"/>
      <c r="M492" s="733"/>
      <c r="N492" s="734"/>
      <c r="O492" s="3138">
        <f>SUM(E492:N492)</f>
        <v>0</v>
      </c>
      <c r="P492" s="3139"/>
      <c r="Q492" s="2320"/>
      <c r="S492" s="2899"/>
    </row>
    <row r="493" spans="2:34" ht="37.5" customHeight="1" thickBot="1" x14ac:dyDescent="0.3">
      <c r="B493" s="2328"/>
      <c r="C493" s="3061" t="s">
        <v>130</v>
      </c>
      <c r="D493" s="3062"/>
      <c r="E493" s="3158"/>
      <c r="F493" s="3159"/>
      <c r="G493" s="3159"/>
      <c r="H493" s="3159"/>
      <c r="I493" s="3159"/>
      <c r="J493" s="3159"/>
      <c r="K493" s="3159"/>
      <c r="L493" s="3159"/>
      <c r="M493" s="3159"/>
      <c r="N493" s="3159"/>
      <c r="O493" s="3159"/>
      <c r="P493" s="3160"/>
      <c r="Q493" s="2320"/>
      <c r="S493" s="2899"/>
    </row>
    <row r="494" spans="2:34" ht="30" customHeight="1" thickBot="1" x14ac:dyDescent="0.3">
      <c r="B494" s="2328"/>
      <c r="C494" s="3256" t="s">
        <v>2060</v>
      </c>
      <c r="D494" s="3257"/>
      <c r="E494" s="1182">
        <f t="shared" ref="E494:N494" si="32">E456+E472+E480</f>
        <v>0</v>
      </c>
      <c r="F494" s="1183">
        <f t="shared" si="32"/>
        <v>0</v>
      </c>
      <c r="G494" s="1183">
        <f t="shared" si="32"/>
        <v>0</v>
      </c>
      <c r="H494" s="1183">
        <f t="shared" si="32"/>
        <v>0</v>
      </c>
      <c r="I494" s="1183">
        <f t="shared" si="32"/>
        <v>0</v>
      </c>
      <c r="J494" s="1183">
        <f t="shared" si="32"/>
        <v>0</v>
      </c>
      <c r="K494" s="1183">
        <f t="shared" si="32"/>
        <v>0</v>
      </c>
      <c r="L494" s="1183">
        <f t="shared" si="32"/>
        <v>0</v>
      </c>
      <c r="M494" s="1183">
        <f t="shared" si="32"/>
        <v>0</v>
      </c>
      <c r="N494" s="1184">
        <f t="shared" si="32"/>
        <v>0</v>
      </c>
      <c r="O494" s="3258">
        <f t="shared" si="24"/>
        <v>0</v>
      </c>
      <c r="P494" s="3259"/>
      <c r="Q494" s="2320"/>
      <c r="S494" s="2899"/>
    </row>
    <row r="495" spans="2:34" ht="16.5" customHeight="1" x14ac:dyDescent="0.25">
      <c r="B495" s="2328"/>
      <c r="C495" s="2371"/>
      <c r="D495" s="2319"/>
      <c r="E495" s="2319"/>
      <c r="F495" s="2319"/>
      <c r="G495" s="2319"/>
      <c r="H495" s="2319"/>
      <c r="I495" s="2319"/>
      <c r="J495" s="2319"/>
      <c r="K495" s="2319"/>
      <c r="L495" s="2319"/>
      <c r="M495" s="2319"/>
      <c r="N495" s="2319"/>
      <c r="O495" s="2319"/>
      <c r="P495" s="2319"/>
      <c r="Q495" s="2320"/>
      <c r="S495" s="2899"/>
    </row>
    <row r="496" spans="2:34" ht="17.25" customHeight="1" x14ac:dyDescent="0.25">
      <c r="B496" s="2328"/>
      <c r="C496" s="2372" t="s">
        <v>188</v>
      </c>
      <c r="D496" s="2319"/>
      <c r="E496" s="2319"/>
      <c r="F496" s="2319"/>
      <c r="G496" s="2319"/>
      <c r="H496" s="2319"/>
      <c r="I496" s="2736" t="str">
        <f>IF((OR(ISBLANK(F626),ISBLANK(F627),ISBLANK(F631))=FALSE),"Complété","À compléter")</f>
        <v>À compléter</v>
      </c>
      <c r="J496" s="2736" t="str">
        <f>IF((OR(ISBLANK(F626),ISBLANK(F627),ISBLANK(F631),ISBLANK(K626),ISBLANK(K627),ISBLANK(K631))=FALSE),"Complété","À compléter")</f>
        <v>À compléter</v>
      </c>
      <c r="K496" s="2319"/>
      <c r="L496" s="2319"/>
      <c r="M496" s="2319"/>
      <c r="N496" s="2319"/>
      <c r="O496" s="2319"/>
      <c r="P496" s="2319"/>
      <c r="Q496" s="2320"/>
      <c r="S496" s="2899"/>
    </row>
    <row r="497" spans="1:19" ht="18" customHeight="1" x14ac:dyDescent="0.25">
      <c r="B497" s="2328"/>
      <c r="C497" s="2146"/>
      <c r="D497" s="2373"/>
      <c r="E497" s="3418" t="s">
        <v>185</v>
      </c>
      <c r="F497" s="3418"/>
      <c r="G497" s="3418"/>
      <c r="H497" s="3419"/>
      <c r="I497" s="359" t="str">
        <f>IF($M$73='MENU DÉROULANT'!$C$63,I496,J496)</f>
        <v>À compléter</v>
      </c>
      <c r="J497" s="3420" t="s">
        <v>186</v>
      </c>
      <c r="K497" s="3420"/>
      <c r="L497" s="3420"/>
      <c r="M497" s="3420"/>
      <c r="N497" s="3420"/>
      <c r="O497" s="3420"/>
      <c r="P497" s="3420"/>
      <c r="Q497" s="2320"/>
      <c r="S497" s="2899"/>
    </row>
    <row r="498" spans="1:19" ht="6.75" customHeight="1" x14ac:dyDescent="0.25">
      <c r="B498" s="2328"/>
      <c r="C498" s="2319"/>
      <c r="D498" s="2373"/>
      <c r="E498" s="2373"/>
      <c r="F498" s="2373"/>
      <c r="G498" s="2373"/>
      <c r="H498" s="2373"/>
      <c r="I498" s="2319"/>
      <c r="J498" s="2374"/>
      <c r="K498" s="2374"/>
      <c r="L498" s="2374"/>
      <c r="M498" s="2374"/>
      <c r="N498" s="2374"/>
      <c r="O498" s="2374"/>
      <c r="P498" s="2374"/>
      <c r="Q498" s="2320"/>
      <c r="S498" s="2899"/>
    </row>
    <row r="499" spans="1:19" ht="18" customHeight="1" x14ac:dyDescent="0.25">
      <c r="B499" s="2328"/>
      <c r="C499" s="2319"/>
      <c r="D499" s="3418" t="s">
        <v>1594</v>
      </c>
      <c r="E499" s="3418"/>
      <c r="F499" s="3418"/>
      <c r="G499" s="3418"/>
      <c r="H499" s="3419"/>
      <c r="I499" s="359" t="str">
        <f>IF($M$73='MENU DÉROULANT'!$C$63,I500,J500)</f>
        <v>À compléter</v>
      </c>
      <c r="J499" s="3420" t="s">
        <v>187</v>
      </c>
      <c r="K499" s="3420"/>
      <c r="L499" s="3420"/>
      <c r="M499" s="3420"/>
      <c r="N499" s="3420"/>
      <c r="O499" s="3420"/>
      <c r="P499" s="3420"/>
      <c r="Q499" s="2320"/>
      <c r="S499" s="2899"/>
    </row>
    <row r="500" spans="1:19" ht="17.25" customHeight="1" x14ac:dyDescent="0.25">
      <c r="B500" s="2328"/>
      <c r="C500" s="2319"/>
      <c r="D500" s="2359"/>
      <c r="E500" s="2359"/>
      <c r="F500" s="2359"/>
      <c r="G500" s="2359"/>
      <c r="H500" s="2359"/>
      <c r="I500" s="2736" t="str">
        <f>IF((OR(ISBLANK(F686),ISBLANK(F690))=FALSE),"Complété","À compléter")</f>
        <v>À compléter</v>
      </c>
      <c r="J500" s="2736" t="str">
        <f>IF((OR(ISBLANK(F686),ISBLANK(F690),ISBLANK(K686),ISBLANK(K690))=FALSE),"Complété","À compléter")</f>
        <v>À compléter</v>
      </c>
      <c r="K500" s="2361"/>
      <c r="L500" s="2361"/>
      <c r="M500" s="2361"/>
      <c r="N500" s="2361"/>
      <c r="O500" s="2361"/>
      <c r="P500" s="2361"/>
      <c r="Q500" s="2320"/>
      <c r="S500" s="2899"/>
    </row>
    <row r="501" spans="1:19" ht="18" customHeight="1" x14ac:dyDescent="0.25">
      <c r="B501" s="2328"/>
      <c r="C501" s="2362" t="s">
        <v>1573</v>
      </c>
      <c r="D501" s="2359"/>
      <c r="E501" s="2359"/>
      <c r="F501" s="2359"/>
      <c r="G501" s="2146"/>
      <c r="H501" s="3416" t="s">
        <v>1523</v>
      </c>
      <c r="I501" s="3416"/>
      <c r="J501" s="2146"/>
      <c r="K501" s="2146"/>
      <c r="L501" s="2361"/>
      <c r="M501" s="2361"/>
      <c r="N501" s="2361"/>
      <c r="O501" s="2361"/>
      <c r="P501" s="2361"/>
      <c r="Q501" s="2320"/>
      <c r="S501" s="2899"/>
    </row>
    <row r="502" spans="1:19" ht="15.75" thickBot="1" x14ac:dyDescent="0.3">
      <c r="B502" s="2329"/>
      <c r="C502" s="2334"/>
      <c r="D502" s="2334"/>
      <c r="E502" s="2334"/>
      <c r="F502" s="2363"/>
      <c r="G502" s="2363"/>
      <c r="H502" s="2334"/>
      <c r="I502" s="2363"/>
      <c r="J502" s="2363"/>
      <c r="K502" s="2334"/>
      <c r="L502" s="2363"/>
      <c r="M502" s="2334"/>
      <c r="N502" s="2363"/>
      <c r="O502" s="2363"/>
      <c r="P502" s="2363"/>
      <c r="Q502" s="2335"/>
      <c r="S502" s="2904"/>
    </row>
    <row r="503" spans="1:19" ht="15.75" thickBot="1" x14ac:dyDescent="0.3">
      <c r="B503" s="699"/>
      <c r="S503" s="627"/>
    </row>
    <row r="504" spans="1:19" ht="22.5" customHeight="1" thickBot="1" x14ac:dyDescent="0.3">
      <c r="A504" s="1225"/>
      <c r="B504" s="2134" t="s">
        <v>86</v>
      </c>
      <c r="C504" s="2134"/>
      <c r="D504" s="2134"/>
      <c r="E504" s="2134"/>
      <c r="F504" s="2134"/>
      <c r="G504" s="2134"/>
      <c r="H504" s="2134"/>
      <c r="I504" s="2134"/>
      <c r="J504" s="2134"/>
      <c r="K504" s="2134"/>
      <c r="L504" s="2339"/>
      <c r="M504" s="2339"/>
      <c r="N504" s="2339"/>
      <c r="O504" s="3435" t="s">
        <v>1641</v>
      </c>
      <c r="P504" s="3435"/>
      <c r="Q504" s="3435"/>
      <c r="S504" s="628" t="s">
        <v>1537</v>
      </c>
    </row>
    <row r="505" spans="1:19" ht="9.75" customHeight="1" thickBot="1" x14ac:dyDescent="0.3">
      <c r="S505" s="629"/>
    </row>
    <row r="506" spans="1:19" ht="8.25" customHeight="1" x14ac:dyDescent="0.25">
      <c r="B506" s="2340"/>
      <c r="C506" s="2341"/>
      <c r="D506" s="2341"/>
      <c r="E506" s="2342"/>
      <c r="F506" s="2343"/>
      <c r="G506" s="2343"/>
      <c r="H506" s="2343"/>
      <c r="I506" s="2343"/>
      <c r="J506" s="2343"/>
      <c r="K506" s="2343"/>
      <c r="L506" s="2343"/>
      <c r="M506" s="2343"/>
      <c r="N506" s="2343"/>
      <c r="O506" s="2343"/>
      <c r="P506" s="2343"/>
      <c r="Q506" s="2344"/>
      <c r="S506" s="2900"/>
    </row>
    <row r="507" spans="1:19" ht="18" customHeight="1" x14ac:dyDescent="0.25">
      <c r="B507" s="2345"/>
      <c r="C507" s="2346" t="s">
        <v>275</v>
      </c>
      <c r="D507" s="2346"/>
      <c r="E507" s="2347"/>
      <c r="F507" s="2348"/>
      <c r="G507" s="2348"/>
      <c r="H507" s="2348"/>
      <c r="I507" s="2348"/>
      <c r="J507" s="2348"/>
      <c r="K507" s="2348"/>
      <c r="L507" s="2735" t="str">
        <f>IF((COUNTBLANK(B515:B540)=ROWS(B515:B540)),"Complété","À compléter")</f>
        <v>À compléter</v>
      </c>
      <c r="M507" s="2735" t="str">
        <f>IF((COUNTBLANK(B515:B567)=ROWS(B515:B567)),"Complété","À compléter")</f>
        <v>À compléter</v>
      </c>
      <c r="N507" s="2368" t="s">
        <v>59</v>
      </c>
      <c r="O507" s="359" t="str">
        <f>IF($M$73='MENU DÉROULANT'!$C$63,'FORMULAIRE PGA Eaux pluviales '!L507,'FORMULAIRE PGA Eaux pluviales '!M507)</f>
        <v>À compléter</v>
      </c>
      <c r="P507" s="2348"/>
      <c r="Q507" s="2349"/>
      <c r="S507" s="2899"/>
    </row>
    <row r="508" spans="1:19" ht="6.75" customHeight="1" x14ac:dyDescent="0.25">
      <c r="B508" s="2345"/>
      <c r="C508" s="2347"/>
      <c r="D508" s="2347"/>
      <c r="E508" s="2347"/>
      <c r="F508" s="2348"/>
      <c r="G508" s="2348"/>
      <c r="H508" s="2348"/>
      <c r="I508" s="2348"/>
      <c r="J508" s="2348"/>
      <c r="K508" s="2348"/>
      <c r="L508" s="2348"/>
      <c r="M508" s="2348"/>
      <c r="N508" s="2348"/>
      <c r="O508" s="2348"/>
      <c r="P508" s="2348"/>
      <c r="Q508" s="2349"/>
      <c r="S508" s="2899"/>
    </row>
    <row r="509" spans="1:19" ht="17.25" customHeight="1" x14ac:dyDescent="0.25">
      <c r="B509" s="2367"/>
      <c r="C509" s="3417" t="s">
        <v>1590</v>
      </c>
      <c r="D509" s="3417"/>
      <c r="E509" s="3417"/>
      <c r="F509" s="3417"/>
      <c r="G509" s="3417"/>
      <c r="H509" s="3417"/>
      <c r="I509" s="3417"/>
      <c r="J509" s="3417"/>
      <c r="K509" s="3417"/>
      <c r="L509" s="3417"/>
      <c r="M509" s="3417"/>
      <c r="N509" s="2146"/>
      <c r="O509" s="2146"/>
      <c r="P509" s="2146"/>
      <c r="Q509" s="2370"/>
      <c r="S509" s="2899"/>
    </row>
    <row r="510" spans="1:19" ht="15" customHeight="1" x14ac:dyDescent="0.25">
      <c r="B510" s="2367"/>
      <c r="C510" s="2369"/>
      <c r="D510" s="2369"/>
      <c r="E510" s="2369"/>
      <c r="F510" s="2146"/>
      <c r="G510" s="2146"/>
      <c r="H510" s="2146"/>
      <c r="I510" s="2146"/>
      <c r="J510" s="2146"/>
      <c r="K510" s="2146"/>
      <c r="L510" s="2146"/>
      <c r="M510" s="2146"/>
      <c r="N510" s="2146"/>
      <c r="O510" s="2146"/>
      <c r="P510" s="2146"/>
      <c r="Q510" s="2370"/>
      <c r="S510" s="2899"/>
    </row>
    <row r="511" spans="1:19" ht="17.25" customHeight="1" x14ac:dyDescent="0.25">
      <c r="B511" s="2328"/>
      <c r="C511" s="2369" t="s">
        <v>2066</v>
      </c>
      <c r="D511" s="2351"/>
      <c r="E511" s="2319"/>
      <c r="F511" s="2319"/>
      <c r="G511" s="2319"/>
      <c r="H511" s="2319"/>
      <c r="I511" s="2319"/>
      <c r="J511" s="2319"/>
      <c r="K511" s="2319"/>
      <c r="L511" s="2319"/>
      <c r="M511" s="2319"/>
      <c r="N511" s="2319"/>
      <c r="O511" s="2319"/>
      <c r="P511" s="2319"/>
      <c r="Q511" s="2320"/>
      <c r="S511" s="2899"/>
    </row>
    <row r="512" spans="1:19" ht="23.25" customHeight="1" x14ac:dyDescent="0.25">
      <c r="B512" s="2328"/>
      <c r="C512" s="2380" t="s">
        <v>1425</v>
      </c>
      <c r="D512" s="2351"/>
      <c r="E512" s="2319"/>
      <c r="F512" s="2319"/>
      <c r="G512" s="2319"/>
      <c r="H512" s="2319"/>
      <c r="I512" s="2319"/>
      <c r="J512" s="2319"/>
      <c r="K512" s="2319"/>
      <c r="L512" s="2319"/>
      <c r="M512" s="2319"/>
      <c r="N512" s="2319"/>
      <c r="O512" s="2319"/>
      <c r="P512" s="2319"/>
      <c r="Q512" s="2320"/>
      <c r="S512" s="2899"/>
    </row>
    <row r="513" spans="2:19" ht="16.5" customHeight="1" x14ac:dyDescent="0.25">
      <c r="B513" s="2328"/>
      <c r="C513" s="2381" t="s">
        <v>1609</v>
      </c>
      <c r="D513" s="2352"/>
      <c r="E513" s="2319"/>
      <c r="F513" s="2319"/>
      <c r="G513" s="2319"/>
      <c r="H513" s="2319"/>
      <c r="I513" s="2319"/>
      <c r="J513" s="2319"/>
      <c r="K513" s="2319"/>
      <c r="L513" s="2319"/>
      <c r="M513" s="2319"/>
      <c r="N513" s="2319"/>
      <c r="O513" s="2319"/>
      <c r="P513" s="2319"/>
      <c r="Q513" s="2320"/>
      <c r="S513" s="2899"/>
    </row>
    <row r="514" spans="2:19" ht="16.5" customHeight="1" thickBot="1" x14ac:dyDescent="0.3">
      <c r="B514" s="2328"/>
      <c r="C514" s="2351"/>
      <c r="D514" s="2351"/>
      <c r="E514" s="2319"/>
      <c r="F514" s="2319"/>
      <c r="G514" s="2319"/>
      <c r="H514" s="2319"/>
      <c r="I514" s="2319"/>
      <c r="J514" s="2319"/>
      <c r="K514" s="2319"/>
      <c r="L514" s="2319"/>
      <c r="M514" s="2319"/>
      <c r="N514" s="2319"/>
      <c r="O514" s="2319"/>
      <c r="P514" s="2319"/>
      <c r="Q514" s="2320"/>
      <c r="S514" s="2899"/>
    </row>
    <row r="515" spans="2:19" ht="30" customHeight="1" x14ac:dyDescent="0.25">
      <c r="B515" s="2328"/>
      <c r="C515" s="3192" t="s">
        <v>2057</v>
      </c>
      <c r="D515" s="3193"/>
      <c r="E515" s="3193"/>
      <c r="F515" s="3194"/>
      <c r="G515" s="2376"/>
      <c r="H515" s="2376"/>
      <c r="I515" s="2376"/>
      <c r="J515" s="2376"/>
      <c r="K515" s="2376"/>
      <c r="L515" s="2376"/>
      <c r="M515" s="2376"/>
      <c r="N515" s="2376"/>
      <c r="O515" s="2377"/>
      <c r="P515" s="2376"/>
      <c r="Q515" s="2320"/>
      <c r="S515" s="2899"/>
    </row>
    <row r="516" spans="2:19" ht="3" customHeight="1" thickBot="1" x14ac:dyDescent="0.3">
      <c r="B516" s="2328"/>
      <c r="C516" s="1094"/>
      <c r="D516" s="1093"/>
      <c r="E516" s="1093"/>
      <c r="F516" s="1095"/>
      <c r="G516" s="2334"/>
      <c r="H516" s="2334"/>
      <c r="I516" s="2334"/>
      <c r="J516" s="2334"/>
      <c r="K516" s="2334"/>
      <c r="L516" s="2334"/>
      <c r="M516" s="2334"/>
      <c r="N516" s="2334"/>
      <c r="O516" s="2334"/>
      <c r="P516" s="2334"/>
      <c r="Q516" s="2320"/>
      <c r="S516" s="2899"/>
    </row>
    <row r="517" spans="2:19" ht="19.5" customHeight="1" x14ac:dyDescent="0.25">
      <c r="B517" s="2328"/>
      <c r="C517" s="3032" t="s">
        <v>291</v>
      </c>
      <c r="D517" s="3033"/>
      <c r="E517" s="3169" t="s">
        <v>1608</v>
      </c>
      <c r="F517" s="3170"/>
      <c r="G517" s="3170"/>
      <c r="H517" s="3170"/>
      <c r="I517" s="3170"/>
      <c r="J517" s="3170"/>
      <c r="K517" s="3170"/>
      <c r="L517" s="3170"/>
      <c r="M517" s="3170"/>
      <c r="N517" s="3170"/>
      <c r="O517" s="3180" t="s">
        <v>79</v>
      </c>
      <c r="P517" s="3181"/>
      <c r="Q517" s="2320"/>
      <c r="S517" s="2899"/>
    </row>
    <row r="518" spans="2:19" ht="19.5" customHeight="1" thickBot="1" x14ac:dyDescent="0.3">
      <c r="B518" s="2328"/>
      <c r="C518" s="3150"/>
      <c r="D518" s="3151"/>
      <c r="E518" s="757">
        <f>IF(E51="",0,E51)</f>
        <v>0</v>
      </c>
      <c r="F518" s="758">
        <f t="shared" ref="F518:N518" si="33">E518+1</f>
        <v>1</v>
      </c>
      <c r="G518" s="758">
        <f t="shared" si="33"/>
        <v>2</v>
      </c>
      <c r="H518" s="758">
        <f t="shared" si="33"/>
        <v>3</v>
      </c>
      <c r="I518" s="758">
        <f t="shared" si="33"/>
        <v>4</v>
      </c>
      <c r="J518" s="758">
        <f t="shared" si="33"/>
        <v>5</v>
      </c>
      <c r="K518" s="758">
        <f t="shared" si="33"/>
        <v>6</v>
      </c>
      <c r="L518" s="758">
        <f t="shared" si="33"/>
        <v>7</v>
      </c>
      <c r="M518" s="758">
        <f t="shared" si="33"/>
        <v>8</v>
      </c>
      <c r="N518" s="1185">
        <f t="shared" si="33"/>
        <v>9</v>
      </c>
      <c r="O518" s="3182"/>
      <c r="P518" s="3183"/>
      <c r="Q518" s="2320"/>
      <c r="S518" s="2899"/>
    </row>
    <row r="519" spans="2:19" ht="18" customHeight="1" thickBot="1" x14ac:dyDescent="0.3">
      <c r="B519" s="2345"/>
      <c r="C519" s="1096" t="s">
        <v>55</v>
      </c>
      <c r="D519" s="1186"/>
      <c r="E519" s="1186"/>
      <c r="F519" s="1186"/>
      <c r="G519" s="1186"/>
      <c r="H519" s="1186"/>
      <c r="I519" s="1186"/>
      <c r="J519" s="1186"/>
      <c r="K519" s="1186"/>
      <c r="L519" s="1186"/>
      <c r="M519" s="1186"/>
      <c r="N519" s="1186"/>
      <c r="O519" s="1186"/>
      <c r="P519" s="1187"/>
      <c r="Q519" s="2320"/>
      <c r="S519" s="2899"/>
    </row>
    <row r="520" spans="2:19" ht="18" customHeight="1" x14ac:dyDescent="0.25">
      <c r="B520" s="2345"/>
      <c r="C520" s="3163" t="s">
        <v>1497</v>
      </c>
      <c r="D520" s="3164"/>
      <c r="E520" s="715">
        <f t="shared" ref="E520:N520" si="34">E411</f>
        <v>0</v>
      </c>
      <c r="F520" s="716">
        <f t="shared" si="34"/>
        <v>0</v>
      </c>
      <c r="G520" s="716">
        <f t="shared" si="34"/>
        <v>0</v>
      </c>
      <c r="H520" s="716">
        <f t="shared" si="34"/>
        <v>0</v>
      </c>
      <c r="I520" s="716">
        <f t="shared" si="34"/>
        <v>0</v>
      </c>
      <c r="J520" s="716">
        <f t="shared" si="34"/>
        <v>0</v>
      </c>
      <c r="K520" s="716">
        <f t="shared" si="34"/>
        <v>0</v>
      </c>
      <c r="L520" s="716">
        <f t="shared" si="34"/>
        <v>0</v>
      </c>
      <c r="M520" s="716">
        <f t="shared" si="34"/>
        <v>0</v>
      </c>
      <c r="N520" s="717">
        <f t="shared" si="34"/>
        <v>0</v>
      </c>
      <c r="O520" s="3111">
        <f>SUM(E520:N520)</f>
        <v>0</v>
      </c>
      <c r="P520" s="3112"/>
      <c r="Q520" s="2320"/>
      <c r="S520" s="2899"/>
    </row>
    <row r="521" spans="2:19" ht="18" customHeight="1" x14ac:dyDescent="0.25">
      <c r="B521" s="2365" t="str">
        <f>IF(COUNTBLANK(E521:N521)&lt;10,"","u")</f>
        <v>u</v>
      </c>
      <c r="C521" s="3154" t="s">
        <v>276</v>
      </c>
      <c r="D521" s="3155"/>
      <c r="E521" s="582"/>
      <c r="F521" s="583"/>
      <c r="G521" s="583"/>
      <c r="H521" s="583"/>
      <c r="I521" s="583"/>
      <c r="J521" s="583"/>
      <c r="K521" s="583"/>
      <c r="L521" s="583"/>
      <c r="M521" s="583"/>
      <c r="N521" s="584"/>
      <c r="O521" s="3174">
        <f>SUM(E521:N521)</f>
        <v>0</v>
      </c>
      <c r="P521" s="3175"/>
      <c r="Q521" s="2320"/>
      <c r="S521" s="2899"/>
    </row>
    <row r="522" spans="2:19" ht="18" customHeight="1" x14ac:dyDescent="0.25">
      <c r="B522" s="2365" t="str">
        <f>IF(COUNTBLANK(E522:N522)&lt;10,"","u")</f>
        <v>u</v>
      </c>
      <c r="C522" s="3156" t="s">
        <v>1545</v>
      </c>
      <c r="D522" s="3157"/>
      <c r="E522" s="620"/>
      <c r="F522" s="621"/>
      <c r="G522" s="621"/>
      <c r="H522" s="621"/>
      <c r="I522" s="621"/>
      <c r="J522" s="621"/>
      <c r="K522" s="621"/>
      <c r="L522" s="621"/>
      <c r="M522" s="621"/>
      <c r="N522" s="622"/>
      <c r="O522" s="3098">
        <f>SUM(E522:N522)</f>
        <v>0</v>
      </c>
      <c r="P522" s="3099"/>
      <c r="Q522" s="2320"/>
      <c r="S522" s="2899"/>
    </row>
    <row r="523" spans="2:19" ht="18" customHeight="1" x14ac:dyDescent="0.25">
      <c r="B523" s="2365"/>
      <c r="C523" s="1196" t="s">
        <v>1546</v>
      </c>
      <c r="D523" s="616"/>
      <c r="E523" s="703">
        <f>E521+E522</f>
        <v>0</v>
      </c>
      <c r="F523" s="704">
        <f t="shared" ref="F523:N523" si="35">F521+F522</f>
        <v>0</v>
      </c>
      <c r="G523" s="704">
        <f t="shared" si="35"/>
        <v>0</v>
      </c>
      <c r="H523" s="704">
        <f t="shared" si="35"/>
        <v>0</v>
      </c>
      <c r="I523" s="704">
        <f t="shared" si="35"/>
        <v>0</v>
      </c>
      <c r="J523" s="704">
        <f t="shared" si="35"/>
        <v>0</v>
      </c>
      <c r="K523" s="704">
        <f t="shared" si="35"/>
        <v>0</v>
      </c>
      <c r="L523" s="704">
        <f t="shared" si="35"/>
        <v>0</v>
      </c>
      <c r="M523" s="704">
        <f t="shared" si="35"/>
        <v>0</v>
      </c>
      <c r="N523" s="705">
        <f t="shared" si="35"/>
        <v>0</v>
      </c>
      <c r="O523" s="3136">
        <f>SUM(E523:N523)</f>
        <v>0</v>
      </c>
      <c r="P523" s="3137"/>
      <c r="Q523" s="2320"/>
      <c r="S523" s="2899"/>
    </row>
    <row r="524" spans="2:19" ht="18" customHeight="1" thickBot="1" x14ac:dyDescent="0.3">
      <c r="B524" s="2379"/>
      <c r="C524" s="3130" t="s">
        <v>132</v>
      </c>
      <c r="D524" s="3131"/>
      <c r="E524" s="706">
        <f t="shared" ref="E524:N524" si="36">IF((E520-E521-E522)&lt;0,0,(E520-E521-E522))</f>
        <v>0</v>
      </c>
      <c r="F524" s="707">
        <f t="shared" si="36"/>
        <v>0</v>
      </c>
      <c r="G524" s="707">
        <f t="shared" si="36"/>
        <v>0</v>
      </c>
      <c r="H524" s="707">
        <f t="shared" si="36"/>
        <v>0</v>
      </c>
      <c r="I524" s="707">
        <f t="shared" si="36"/>
        <v>0</v>
      </c>
      <c r="J524" s="707">
        <f t="shared" si="36"/>
        <v>0</v>
      </c>
      <c r="K524" s="707">
        <f t="shared" si="36"/>
        <v>0</v>
      </c>
      <c r="L524" s="707">
        <f t="shared" si="36"/>
        <v>0</v>
      </c>
      <c r="M524" s="707">
        <f t="shared" si="36"/>
        <v>0</v>
      </c>
      <c r="N524" s="708">
        <f t="shared" si="36"/>
        <v>0</v>
      </c>
      <c r="O524" s="3134">
        <f>SUM(E524:N524)</f>
        <v>0</v>
      </c>
      <c r="P524" s="3135"/>
      <c r="Q524" s="2378"/>
      <c r="S524" s="2899"/>
    </row>
    <row r="525" spans="2:19" ht="32.25" customHeight="1" thickBot="1" x14ac:dyDescent="0.3">
      <c r="B525" s="2379"/>
      <c r="C525" s="3061" t="s">
        <v>130</v>
      </c>
      <c r="D525" s="3062"/>
      <c r="E525" s="3121"/>
      <c r="F525" s="3122"/>
      <c r="G525" s="3122"/>
      <c r="H525" s="3122"/>
      <c r="I525" s="3122"/>
      <c r="J525" s="3122"/>
      <c r="K525" s="3122"/>
      <c r="L525" s="3122"/>
      <c r="M525" s="3122"/>
      <c r="N525" s="3122"/>
      <c r="O525" s="3122"/>
      <c r="P525" s="3123"/>
      <c r="Q525" s="2378"/>
      <c r="S525" s="2899"/>
    </row>
    <row r="526" spans="2:19" ht="18" customHeight="1" thickBot="1" x14ac:dyDescent="0.3">
      <c r="B526" s="2379"/>
      <c r="C526" s="1096" t="s">
        <v>123</v>
      </c>
      <c r="D526" s="1186"/>
      <c r="E526" s="1186"/>
      <c r="F526" s="1186"/>
      <c r="G526" s="1186"/>
      <c r="H526" s="1186"/>
      <c r="I526" s="1186"/>
      <c r="J526" s="1186"/>
      <c r="K526" s="1186"/>
      <c r="L526" s="1186"/>
      <c r="M526" s="1186"/>
      <c r="N526" s="1186"/>
      <c r="O526" s="1186"/>
      <c r="P526" s="1187"/>
      <c r="Q526" s="2320"/>
      <c r="S526" s="2899"/>
    </row>
    <row r="527" spans="2:19" ht="18" customHeight="1" x14ac:dyDescent="0.25">
      <c r="B527" s="2379"/>
      <c r="C527" s="3119" t="s">
        <v>1497</v>
      </c>
      <c r="D527" s="3120"/>
      <c r="E527" s="709">
        <f t="shared" ref="E527:N527" si="37">E427</f>
        <v>0</v>
      </c>
      <c r="F527" s="710">
        <f t="shared" si="37"/>
        <v>0</v>
      </c>
      <c r="G527" s="710">
        <f t="shared" si="37"/>
        <v>0</v>
      </c>
      <c r="H527" s="710">
        <f t="shared" si="37"/>
        <v>0</v>
      </c>
      <c r="I527" s="710">
        <f t="shared" si="37"/>
        <v>0</v>
      </c>
      <c r="J527" s="710">
        <f t="shared" si="37"/>
        <v>0</v>
      </c>
      <c r="K527" s="710">
        <f t="shared" si="37"/>
        <v>0</v>
      </c>
      <c r="L527" s="710">
        <f t="shared" si="37"/>
        <v>0</v>
      </c>
      <c r="M527" s="710">
        <f t="shared" si="37"/>
        <v>0</v>
      </c>
      <c r="N527" s="711">
        <f t="shared" si="37"/>
        <v>0</v>
      </c>
      <c r="O527" s="3190">
        <f t="shared" ref="O527:O532" si="38">SUM(E527:N527)</f>
        <v>0</v>
      </c>
      <c r="P527" s="3191"/>
      <c r="Q527" s="2320"/>
      <c r="S527" s="2899"/>
    </row>
    <row r="528" spans="2:19" ht="18" customHeight="1" x14ac:dyDescent="0.25">
      <c r="B528" s="2375"/>
      <c r="C528" s="1188" t="s">
        <v>144</v>
      </c>
      <c r="D528" s="539"/>
      <c r="E528" s="712">
        <f t="shared" ref="E528:N528" si="39">IF((E520-E521-E522)&lt;0,-(E520-E521-E522),0)</f>
        <v>0</v>
      </c>
      <c r="F528" s="713">
        <f t="shared" si="39"/>
        <v>0</v>
      </c>
      <c r="G528" s="713">
        <f t="shared" si="39"/>
        <v>0</v>
      </c>
      <c r="H528" s="713">
        <f t="shared" si="39"/>
        <v>0</v>
      </c>
      <c r="I528" s="713">
        <f t="shared" si="39"/>
        <v>0</v>
      </c>
      <c r="J528" s="713">
        <f t="shared" si="39"/>
        <v>0</v>
      </c>
      <c r="K528" s="713">
        <f t="shared" si="39"/>
        <v>0</v>
      </c>
      <c r="L528" s="713">
        <f t="shared" si="39"/>
        <v>0</v>
      </c>
      <c r="M528" s="713">
        <f t="shared" si="39"/>
        <v>0</v>
      </c>
      <c r="N528" s="714">
        <f t="shared" si="39"/>
        <v>0</v>
      </c>
      <c r="O528" s="3128">
        <f t="shared" si="38"/>
        <v>0</v>
      </c>
      <c r="P528" s="3129"/>
      <c r="Q528" s="2320"/>
      <c r="S528" s="2899"/>
    </row>
    <row r="529" spans="2:19" ht="18" customHeight="1" x14ac:dyDescent="0.25">
      <c r="B529" s="2365" t="str">
        <f>IF(COUNTBLANK(E529:N529)&lt;10,"","u")</f>
        <v>u</v>
      </c>
      <c r="C529" s="3124" t="s">
        <v>145</v>
      </c>
      <c r="D529" s="3125"/>
      <c r="E529" s="585"/>
      <c r="F529" s="586"/>
      <c r="G529" s="586"/>
      <c r="H529" s="586"/>
      <c r="I529" s="586"/>
      <c r="J529" s="586"/>
      <c r="K529" s="586"/>
      <c r="L529" s="586"/>
      <c r="M529" s="586"/>
      <c r="N529" s="587"/>
      <c r="O529" s="3098">
        <f t="shared" si="38"/>
        <v>0</v>
      </c>
      <c r="P529" s="3099"/>
      <c r="Q529" s="2320"/>
      <c r="S529" s="2899"/>
    </row>
    <row r="530" spans="2:19" ht="18" customHeight="1" x14ac:dyDescent="0.25">
      <c r="B530" s="2365" t="str">
        <f>IF(COUNTBLANK(E530:N530)&lt;10,"","u")</f>
        <v>u</v>
      </c>
      <c r="C530" s="3132" t="s">
        <v>292</v>
      </c>
      <c r="D530" s="3133"/>
      <c r="E530" s="579"/>
      <c r="F530" s="580"/>
      <c r="G530" s="580"/>
      <c r="H530" s="580"/>
      <c r="I530" s="580"/>
      <c r="J530" s="580"/>
      <c r="K530" s="580"/>
      <c r="L530" s="580"/>
      <c r="M530" s="580"/>
      <c r="N530" s="581"/>
      <c r="O530" s="3188">
        <f t="shared" si="38"/>
        <v>0</v>
      </c>
      <c r="P530" s="3189"/>
      <c r="Q530" s="2320"/>
      <c r="S530" s="2899"/>
    </row>
    <row r="531" spans="2:19" ht="18" customHeight="1" x14ac:dyDescent="0.25">
      <c r="B531" s="2365"/>
      <c r="C531" s="1188" t="s">
        <v>1546</v>
      </c>
      <c r="D531" s="539"/>
      <c r="E531" s="715">
        <f>E529+E530</f>
        <v>0</v>
      </c>
      <c r="F531" s="716">
        <f t="shared" ref="F531:N531" si="40">F529+F530</f>
        <v>0</v>
      </c>
      <c r="G531" s="716">
        <f t="shared" si="40"/>
        <v>0</v>
      </c>
      <c r="H531" s="716">
        <f t="shared" si="40"/>
        <v>0</v>
      </c>
      <c r="I531" s="716">
        <f t="shared" si="40"/>
        <v>0</v>
      </c>
      <c r="J531" s="716">
        <f t="shared" si="40"/>
        <v>0</v>
      </c>
      <c r="K531" s="716">
        <f t="shared" si="40"/>
        <v>0</v>
      </c>
      <c r="L531" s="716">
        <f t="shared" si="40"/>
        <v>0</v>
      </c>
      <c r="M531" s="716">
        <f t="shared" si="40"/>
        <v>0</v>
      </c>
      <c r="N531" s="717">
        <f t="shared" si="40"/>
        <v>0</v>
      </c>
      <c r="O531" s="3111">
        <f t="shared" si="38"/>
        <v>0</v>
      </c>
      <c r="P531" s="3112"/>
      <c r="Q531" s="2320"/>
      <c r="S531" s="2899"/>
    </row>
    <row r="532" spans="2:19" ht="18" customHeight="1" thickBot="1" x14ac:dyDescent="0.3">
      <c r="B532" s="2345"/>
      <c r="C532" s="3130" t="s">
        <v>132</v>
      </c>
      <c r="D532" s="3131"/>
      <c r="E532" s="718">
        <f t="shared" ref="E532:N532" si="41">E527-E528-E529-E530</f>
        <v>0</v>
      </c>
      <c r="F532" s="719">
        <f t="shared" si="41"/>
        <v>0</v>
      </c>
      <c r="G532" s="719">
        <f t="shared" si="41"/>
        <v>0</v>
      </c>
      <c r="H532" s="719">
        <f t="shared" si="41"/>
        <v>0</v>
      </c>
      <c r="I532" s="719">
        <f t="shared" si="41"/>
        <v>0</v>
      </c>
      <c r="J532" s="719">
        <f t="shared" si="41"/>
        <v>0</v>
      </c>
      <c r="K532" s="719">
        <f t="shared" si="41"/>
        <v>0</v>
      </c>
      <c r="L532" s="719">
        <f t="shared" si="41"/>
        <v>0</v>
      </c>
      <c r="M532" s="719">
        <f t="shared" si="41"/>
        <v>0</v>
      </c>
      <c r="N532" s="720">
        <f t="shared" si="41"/>
        <v>0</v>
      </c>
      <c r="O532" s="3134">
        <f t="shared" si="38"/>
        <v>0</v>
      </c>
      <c r="P532" s="3135"/>
      <c r="Q532" s="2378"/>
      <c r="S532" s="2899"/>
    </row>
    <row r="533" spans="2:19" ht="32.25" customHeight="1" thickBot="1" x14ac:dyDescent="0.3">
      <c r="B533" s="2345"/>
      <c r="C533" s="3061" t="s">
        <v>130</v>
      </c>
      <c r="D533" s="3062"/>
      <c r="E533" s="3121"/>
      <c r="F533" s="3122"/>
      <c r="G533" s="3122"/>
      <c r="H533" s="3122"/>
      <c r="I533" s="3122"/>
      <c r="J533" s="3122"/>
      <c r="K533" s="3122"/>
      <c r="L533" s="3122"/>
      <c r="M533" s="3122"/>
      <c r="N533" s="3122"/>
      <c r="O533" s="3122"/>
      <c r="P533" s="3123"/>
      <c r="Q533" s="2378"/>
      <c r="S533" s="2899"/>
    </row>
    <row r="534" spans="2:19" ht="18" customHeight="1" thickBot="1" x14ac:dyDescent="0.3">
      <c r="B534" s="2345"/>
      <c r="C534" s="1096" t="s">
        <v>133</v>
      </c>
      <c r="D534" s="1186"/>
      <c r="E534" s="1186"/>
      <c r="F534" s="1186"/>
      <c r="G534" s="1186"/>
      <c r="H534" s="1186"/>
      <c r="I534" s="1186"/>
      <c r="J534" s="1186"/>
      <c r="K534" s="1186"/>
      <c r="L534" s="1186"/>
      <c r="M534" s="1186"/>
      <c r="N534" s="1186"/>
      <c r="O534" s="1186"/>
      <c r="P534" s="1187"/>
      <c r="Q534" s="2320"/>
      <c r="S534" s="2899"/>
    </row>
    <row r="535" spans="2:19" ht="18" customHeight="1" x14ac:dyDescent="0.25">
      <c r="B535" s="2345"/>
      <c r="C535" s="3126" t="s">
        <v>1497</v>
      </c>
      <c r="D535" s="3127"/>
      <c r="E535" s="700">
        <f t="shared" ref="E535:N535" si="42">E435</f>
        <v>0</v>
      </c>
      <c r="F535" s="701">
        <f t="shared" si="42"/>
        <v>0</v>
      </c>
      <c r="G535" s="701">
        <f t="shared" si="42"/>
        <v>0</v>
      </c>
      <c r="H535" s="701">
        <f t="shared" si="42"/>
        <v>0</v>
      </c>
      <c r="I535" s="701">
        <f t="shared" si="42"/>
        <v>0</v>
      </c>
      <c r="J535" s="701">
        <f t="shared" si="42"/>
        <v>0</v>
      </c>
      <c r="K535" s="701">
        <f t="shared" si="42"/>
        <v>0</v>
      </c>
      <c r="L535" s="701">
        <f t="shared" si="42"/>
        <v>0</v>
      </c>
      <c r="M535" s="701">
        <f t="shared" si="42"/>
        <v>0</v>
      </c>
      <c r="N535" s="702">
        <f t="shared" si="42"/>
        <v>0</v>
      </c>
      <c r="O535" s="3117">
        <f>SUM(E535:N535)</f>
        <v>0</v>
      </c>
      <c r="P535" s="3118"/>
      <c r="Q535" s="2320"/>
      <c r="S535" s="2899"/>
    </row>
    <row r="536" spans="2:19" ht="18" customHeight="1" x14ac:dyDescent="0.25">
      <c r="B536" s="2365" t="str">
        <f>IF(COUNTBLANK(E536:N536)&lt;10,"","u")</f>
        <v>u</v>
      </c>
      <c r="C536" s="3124" t="s">
        <v>145</v>
      </c>
      <c r="D536" s="3125"/>
      <c r="E536" s="585"/>
      <c r="F536" s="586"/>
      <c r="G536" s="586"/>
      <c r="H536" s="586"/>
      <c r="I536" s="586"/>
      <c r="J536" s="586"/>
      <c r="K536" s="586"/>
      <c r="L536" s="586"/>
      <c r="M536" s="586"/>
      <c r="N536" s="587"/>
      <c r="O536" s="3098">
        <f>SUM(E536:N536)</f>
        <v>0</v>
      </c>
      <c r="P536" s="3099"/>
      <c r="Q536" s="2320"/>
      <c r="S536" s="2899"/>
    </row>
    <row r="537" spans="2:19" ht="18" customHeight="1" x14ac:dyDescent="0.25">
      <c r="B537" s="2365" t="str">
        <f>IF(COUNTBLANK(E537:N537)&lt;10,"","u")</f>
        <v>u</v>
      </c>
      <c r="C537" s="3132" t="s">
        <v>292</v>
      </c>
      <c r="D537" s="3133"/>
      <c r="E537" s="579"/>
      <c r="F537" s="580"/>
      <c r="G537" s="580"/>
      <c r="H537" s="580"/>
      <c r="I537" s="580"/>
      <c r="J537" s="580"/>
      <c r="K537" s="580"/>
      <c r="L537" s="580"/>
      <c r="M537" s="580"/>
      <c r="N537" s="581"/>
      <c r="O537" s="3071">
        <f>SUM(E537:N537)</f>
        <v>0</v>
      </c>
      <c r="P537" s="3072"/>
      <c r="Q537" s="2320"/>
      <c r="S537" s="2899"/>
    </row>
    <row r="538" spans="2:19" ht="18" customHeight="1" x14ac:dyDescent="0.25">
      <c r="B538" s="2365"/>
      <c r="C538" s="1188" t="s">
        <v>1546</v>
      </c>
      <c r="D538" s="539"/>
      <c r="E538" s="715">
        <f>E536+E537</f>
        <v>0</v>
      </c>
      <c r="F538" s="716">
        <f t="shared" ref="F538:N538" si="43">F536+F537</f>
        <v>0</v>
      </c>
      <c r="G538" s="716">
        <f t="shared" si="43"/>
        <v>0</v>
      </c>
      <c r="H538" s="716">
        <f t="shared" si="43"/>
        <v>0</v>
      </c>
      <c r="I538" s="716">
        <f t="shared" si="43"/>
        <v>0</v>
      </c>
      <c r="J538" s="716">
        <f t="shared" si="43"/>
        <v>0</v>
      </c>
      <c r="K538" s="716">
        <f t="shared" si="43"/>
        <v>0</v>
      </c>
      <c r="L538" s="716">
        <f t="shared" si="43"/>
        <v>0</v>
      </c>
      <c r="M538" s="716">
        <f t="shared" si="43"/>
        <v>0</v>
      </c>
      <c r="N538" s="717">
        <f t="shared" si="43"/>
        <v>0</v>
      </c>
      <c r="O538" s="3111">
        <f>SUM(E538:N538)</f>
        <v>0</v>
      </c>
      <c r="P538" s="3112"/>
      <c r="Q538" s="2320"/>
      <c r="S538" s="2899"/>
    </row>
    <row r="539" spans="2:19" ht="18" customHeight="1" thickBot="1" x14ac:dyDescent="0.3">
      <c r="B539" s="2345"/>
      <c r="C539" s="3130" t="s">
        <v>132</v>
      </c>
      <c r="D539" s="3131"/>
      <c r="E539" s="700">
        <f t="shared" ref="E539:N539" si="44">E535-E536-E537</f>
        <v>0</v>
      </c>
      <c r="F539" s="701">
        <f t="shared" si="44"/>
        <v>0</v>
      </c>
      <c r="G539" s="701">
        <f t="shared" si="44"/>
        <v>0</v>
      </c>
      <c r="H539" s="701">
        <f t="shared" si="44"/>
        <v>0</v>
      </c>
      <c r="I539" s="701">
        <f t="shared" si="44"/>
        <v>0</v>
      </c>
      <c r="J539" s="701">
        <f t="shared" si="44"/>
        <v>0</v>
      </c>
      <c r="K539" s="701">
        <f t="shared" si="44"/>
        <v>0</v>
      </c>
      <c r="L539" s="701">
        <f t="shared" si="44"/>
        <v>0</v>
      </c>
      <c r="M539" s="701">
        <f t="shared" si="44"/>
        <v>0</v>
      </c>
      <c r="N539" s="701">
        <f t="shared" si="44"/>
        <v>0</v>
      </c>
      <c r="O539" s="3134">
        <f>SUM(E539:N539)</f>
        <v>0</v>
      </c>
      <c r="P539" s="3135"/>
      <c r="Q539" s="2378"/>
      <c r="S539" s="2899"/>
    </row>
    <row r="540" spans="2:19" ht="32.25" customHeight="1" thickBot="1" x14ac:dyDescent="0.3">
      <c r="B540" s="2345"/>
      <c r="C540" s="3061" t="s">
        <v>130</v>
      </c>
      <c r="D540" s="3062"/>
      <c r="E540" s="3121"/>
      <c r="F540" s="3122"/>
      <c r="G540" s="3122"/>
      <c r="H540" s="3122"/>
      <c r="I540" s="3122"/>
      <c r="J540" s="3122"/>
      <c r="K540" s="3122"/>
      <c r="L540" s="3122"/>
      <c r="M540" s="3122"/>
      <c r="N540" s="3122"/>
      <c r="O540" s="3122"/>
      <c r="P540" s="3123"/>
      <c r="Q540" s="2378"/>
      <c r="S540" s="2899"/>
    </row>
    <row r="541" spans="2:19" ht="18.75" customHeight="1" thickBot="1" x14ac:dyDescent="0.3">
      <c r="B541" s="2328"/>
      <c r="C541" s="2351"/>
      <c r="D541" s="2351"/>
      <c r="E541" s="2319"/>
      <c r="F541" s="2319"/>
      <c r="G541" s="2319"/>
      <c r="H541" s="2319"/>
      <c r="I541" s="2319"/>
      <c r="J541" s="2319"/>
      <c r="K541" s="2319"/>
      <c r="L541" s="2319"/>
      <c r="M541" s="2319"/>
      <c r="N541" s="2319"/>
      <c r="O541" s="2319"/>
      <c r="P541" s="2319"/>
      <c r="Q541" s="2320"/>
      <c r="S541" s="2899"/>
    </row>
    <row r="542" spans="2:19" ht="30" customHeight="1" x14ac:dyDescent="0.25">
      <c r="B542" s="2328"/>
      <c r="C542" s="3192" t="s">
        <v>2058</v>
      </c>
      <c r="D542" s="3193"/>
      <c r="E542" s="3193"/>
      <c r="F542" s="3194"/>
      <c r="G542" s="2376"/>
      <c r="H542" s="2376"/>
      <c r="I542" s="2376"/>
      <c r="J542" s="2376"/>
      <c r="K542" s="2376"/>
      <c r="L542" s="2376"/>
      <c r="M542" s="2376"/>
      <c r="N542" s="2376"/>
      <c r="O542" s="2377"/>
      <c r="P542" s="2376"/>
      <c r="Q542" s="2320"/>
      <c r="S542" s="2899"/>
    </row>
    <row r="543" spans="2:19" ht="3" customHeight="1" thickBot="1" x14ac:dyDescent="0.3">
      <c r="B543" s="2328"/>
      <c r="C543" s="1094"/>
      <c r="D543" s="1093"/>
      <c r="E543" s="1093"/>
      <c r="F543" s="1095"/>
      <c r="G543" s="2334"/>
      <c r="H543" s="2334"/>
      <c r="I543" s="2334"/>
      <c r="J543" s="2334"/>
      <c r="K543" s="2334"/>
      <c r="L543" s="2334"/>
      <c r="M543" s="2334"/>
      <c r="N543" s="2334"/>
      <c r="O543" s="2334"/>
      <c r="P543" s="2334"/>
      <c r="Q543" s="2320"/>
      <c r="S543" s="2899"/>
    </row>
    <row r="544" spans="2:19" ht="19.5" customHeight="1" x14ac:dyDescent="0.25">
      <c r="B544" s="2328"/>
      <c r="C544" s="3032" t="s">
        <v>291</v>
      </c>
      <c r="D544" s="3033"/>
      <c r="E544" s="3169" t="s">
        <v>1608</v>
      </c>
      <c r="F544" s="3170"/>
      <c r="G544" s="3170"/>
      <c r="H544" s="3170"/>
      <c r="I544" s="3170"/>
      <c r="J544" s="3170"/>
      <c r="K544" s="3170"/>
      <c r="L544" s="3170"/>
      <c r="M544" s="3170"/>
      <c r="N544" s="3170"/>
      <c r="O544" s="3180" t="s">
        <v>79</v>
      </c>
      <c r="P544" s="3181"/>
      <c r="Q544" s="2320"/>
      <c r="S544" s="2899"/>
    </row>
    <row r="545" spans="2:19" ht="19.5" customHeight="1" thickBot="1" x14ac:dyDescent="0.3">
      <c r="B545" s="2328"/>
      <c r="C545" s="3186"/>
      <c r="D545" s="3187"/>
      <c r="E545" s="1191">
        <f>IF(E51="",0,E51)</f>
        <v>0</v>
      </c>
      <c r="F545" s="1192">
        <f t="shared" ref="F545:N545" si="45">E545+1</f>
        <v>1</v>
      </c>
      <c r="G545" s="1192">
        <f t="shared" si="45"/>
        <v>2</v>
      </c>
      <c r="H545" s="1192">
        <f t="shared" si="45"/>
        <v>3</v>
      </c>
      <c r="I545" s="1192">
        <f t="shared" si="45"/>
        <v>4</v>
      </c>
      <c r="J545" s="1192">
        <f t="shared" si="45"/>
        <v>5</v>
      </c>
      <c r="K545" s="1192">
        <f t="shared" si="45"/>
        <v>6</v>
      </c>
      <c r="L545" s="1192">
        <f t="shared" si="45"/>
        <v>7</v>
      </c>
      <c r="M545" s="1192">
        <f t="shared" si="45"/>
        <v>8</v>
      </c>
      <c r="N545" s="1193">
        <f t="shared" si="45"/>
        <v>9</v>
      </c>
      <c r="O545" s="3184"/>
      <c r="P545" s="3185"/>
      <c r="Q545" s="2320"/>
      <c r="S545" s="2899"/>
    </row>
    <row r="546" spans="2:19" ht="18.75" customHeight="1" thickBot="1" x14ac:dyDescent="0.3">
      <c r="B546" s="2345"/>
      <c r="C546" s="1178" t="s">
        <v>55</v>
      </c>
      <c r="D546" s="1189"/>
      <c r="E546" s="1189"/>
      <c r="F546" s="1189"/>
      <c r="G546" s="1189"/>
      <c r="H546" s="1189"/>
      <c r="I546" s="1189"/>
      <c r="J546" s="1189"/>
      <c r="K546" s="1189"/>
      <c r="L546" s="1189"/>
      <c r="M546" s="1189"/>
      <c r="N546" s="1189"/>
      <c r="O546" s="1189"/>
      <c r="P546" s="1190"/>
      <c r="Q546" s="2320"/>
      <c r="S546" s="2899"/>
    </row>
    <row r="547" spans="2:19" ht="18.75" customHeight="1" x14ac:dyDescent="0.25">
      <c r="B547" s="2345"/>
      <c r="C547" s="3126" t="s">
        <v>1497</v>
      </c>
      <c r="D547" s="3127"/>
      <c r="E547" s="700">
        <f t="shared" ref="E547:N547" si="46">E456</f>
        <v>0</v>
      </c>
      <c r="F547" s="701">
        <f t="shared" si="46"/>
        <v>0</v>
      </c>
      <c r="G547" s="701">
        <f t="shared" si="46"/>
        <v>0</v>
      </c>
      <c r="H547" s="701">
        <f t="shared" si="46"/>
        <v>0</v>
      </c>
      <c r="I547" s="701">
        <f t="shared" si="46"/>
        <v>0</v>
      </c>
      <c r="J547" s="701">
        <f t="shared" si="46"/>
        <v>0</v>
      </c>
      <c r="K547" s="701">
        <f t="shared" si="46"/>
        <v>0</v>
      </c>
      <c r="L547" s="701">
        <f t="shared" si="46"/>
        <v>0</v>
      </c>
      <c r="M547" s="701">
        <f t="shared" si="46"/>
        <v>0</v>
      </c>
      <c r="N547" s="702">
        <f t="shared" si="46"/>
        <v>0</v>
      </c>
      <c r="O547" s="3117">
        <f>SUM(E547:N547)</f>
        <v>0</v>
      </c>
      <c r="P547" s="3118"/>
      <c r="Q547" s="2320"/>
      <c r="S547" s="2899"/>
    </row>
    <row r="548" spans="2:19" ht="18.75" customHeight="1" x14ac:dyDescent="0.25">
      <c r="B548" s="2365" t="str">
        <f>IF(COUNTBLANK(E548:N548)&lt;10,"","u")</f>
        <v>u</v>
      </c>
      <c r="C548" s="3154" t="s">
        <v>276</v>
      </c>
      <c r="D548" s="3155"/>
      <c r="E548" s="582"/>
      <c r="F548" s="583"/>
      <c r="G548" s="583"/>
      <c r="H548" s="583"/>
      <c r="I548" s="583"/>
      <c r="J548" s="583"/>
      <c r="K548" s="583"/>
      <c r="L548" s="583"/>
      <c r="M548" s="583"/>
      <c r="N548" s="588"/>
      <c r="O548" s="3174">
        <f>SUM(E548:N548)</f>
        <v>0</v>
      </c>
      <c r="P548" s="3175"/>
      <c r="Q548" s="2320"/>
      <c r="S548" s="2899"/>
    </row>
    <row r="549" spans="2:19" ht="18" customHeight="1" x14ac:dyDescent="0.25">
      <c r="B549" s="2365" t="str">
        <f>IF(COUNTBLANK(E549:N549)&lt;10,"","u")</f>
        <v>u</v>
      </c>
      <c r="C549" s="3156" t="s">
        <v>1545</v>
      </c>
      <c r="D549" s="3157"/>
      <c r="E549" s="620"/>
      <c r="F549" s="621"/>
      <c r="G549" s="621"/>
      <c r="H549" s="621"/>
      <c r="I549" s="621"/>
      <c r="J549" s="621"/>
      <c r="K549" s="621"/>
      <c r="L549" s="621"/>
      <c r="M549" s="621"/>
      <c r="N549" s="622"/>
      <c r="O549" s="3098">
        <f>SUM(E549:N549)</f>
        <v>0</v>
      </c>
      <c r="P549" s="3099"/>
      <c r="Q549" s="2320"/>
      <c r="S549" s="2899"/>
    </row>
    <row r="550" spans="2:19" ht="18" customHeight="1" x14ac:dyDescent="0.25">
      <c r="B550" s="2365"/>
      <c r="C550" s="1188" t="s">
        <v>1546</v>
      </c>
      <c r="D550" s="539"/>
      <c r="E550" s="715">
        <f>E548+E549</f>
        <v>0</v>
      </c>
      <c r="F550" s="716">
        <f t="shared" ref="F550:N550" si="47">F548+F549</f>
        <v>0</v>
      </c>
      <c r="G550" s="716">
        <f t="shared" si="47"/>
        <v>0</v>
      </c>
      <c r="H550" s="716">
        <f t="shared" si="47"/>
        <v>0</v>
      </c>
      <c r="I550" s="716">
        <f t="shared" si="47"/>
        <v>0</v>
      </c>
      <c r="J550" s="716">
        <f t="shared" si="47"/>
        <v>0</v>
      </c>
      <c r="K550" s="716">
        <f t="shared" si="47"/>
        <v>0</v>
      </c>
      <c r="L550" s="716">
        <f t="shared" si="47"/>
        <v>0</v>
      </c>
      <c r="M550" s="716">
        <f t="shared" si="47"/>
        <v>0</v>
      </c>
      <c r="N550" s="717">
        <f t="shared" si="47"/>
        <v>0</v>
      </c>
      <c r="O550" s="3111">
        <f>SUM(E550:N550)</f>
        <v>0</v>
      </c>
      <c r="P550" s="3112"/>
      <c r="Q550" s="2320"/>
      <c r="S550" s="2899"/>
    </row>
    <row r="551" spans="2:19" ht="18" customHeight="1" thickBot="1" x14ac:dyDescent="0.3">
      <c r="B551" s="2345"/>
      <c r="C551" s="3059" t="s">
        <v>132</v>
      </c>
      <c r="D551" s="3060"/>
      <c r="E551" s="1194">
        <f t="shared" ref="E551:N551" si="48">IF((E547-E548-E549)&lt;0,0,(E547-E548-E549))</f>
        <v>0</v>
      </c>
      <c r="F551" s="1195">
        <f t="shared" si="48"/>
        <v>0</v>
      </c>
      <c r="G551" s="1195">
        <f t="shared" si="48"/>
        <v>0</v>
      </c>
      <c r="H551" s="1195">
        <f t="shared" si="48"/>
        <v>0</v>
      </c>
      <c r="I551" s="1195">
        <f t="shared" si="48"/>
        <v>0</v>
      </c>
      <c r="J551" s="1195">
        <f t="shared" si="48"/>
        <v>0</v>
      </c>
      <c r="K551" s="1195">
        <f t="shared" si="48"/>
        <v>0</v>
      </c>
      <c r="L551" s="1195">
        <f t="shared" si="48"/>
        <v>0</v>
      </c>
      <c r="M551" s="1195">
        <f t="shared" si="48"/>
        <v>0</v>
      </c>
      <c r="N551" s="1195">
        <f t="shared" si="48"/>
        <v>0</v>
      </c>
      <c r="O551" s="3088">
        <f>SUM(E551:N551)</f>
        <v>0</v>
      </c>
      <c r="P551" s="3089"/>
      <c r="Q551" s="2378"/>
      <c r="S551" s="2899"/>
    </row>
    <row r="552" spans="2:19" ht="32.25" customHeight="1" thickBot="1" x14ac:dyDescent="0.3">
      <c r="B552" s="2345"/>
      <c r="C552" s="3061" t="s">
        <v>130</v>
      </c>
      <c r="D552" s="3062"/>
      <c r="E552" s="3121"/>
      <c r="F552" s="3122"/>
      <c r="G552" s="3122"/>
      <c r="H552" s="3122"/>
      <c r="I552" s="3122"/>
      <c r="J552" s="3122"/>
      <c r="K552" s="3122"/>
      <c r="L552" s="3122"/>
      <c r="M552" s="3122"/>
      <c r="N552" s="3122"/>
      <c r="O552" s="3122"/>
      <c r="P552" s="3123"/>
      <c r="Q552" s="2378"/>
      <c r="S552" s="2899"/>
    </row>
    <row r="553" spans="2:19" ht="18" customHeight="1" thickBot="1" x14ac:dyDescent="0.3">
      <c r="B553" s="2345"/>
      <c r="C553" s="1178" t="s">
        <v>123</v>
      </c>
      <c r="D553" s="1189"/>
      <c r="E553" s="1189"/>
      <c r="F553" s="1189"/>
      <c r="G553" s="1189"/>
      <c r="H553" s="1189"/>
      <c r="I553" s="1189"/>
      <c r="J553" s="1189"/>
      <c r="K553" s="1189"/>
      <c r="L553" s="1189"/>
      <c r="M553" s="1189"/>
      <c r="N553" s="1189"/>
      <c r="O553" s="1189"/>
      <c r="P553" s="1190"/>
      <c r="Q553" s="2320"/>
      <c r="S553" s="2899"/>
    </row>
    <row r="554" spans="2:19" ht="18" customHeight="1" x14ac:dyDescent="0.25">
      <c r="B554" s="2345"/>
      <c r="C554" s="3119" t="s">
        <v>1497</v>
      </c>
      <c r="D554" s="3120"/>
      <c r="E554" s="721">
        <f t="shared" ref="E554:N554" si="49">E472</f>
        <v>0</v>
      </c>
      <c r="F554" s="722">
        <f t="shared" si="49"/>
        <v>0</v>
      </c>
      <c r="G554" s="722">
        <f t="shared" si="49"/>
        <v>0</v>
      </c>
      <c r="H554" s="722">
        <f t="shared" si="49"/>
        <v>0</v>
      </c>
      <c r="I554" s="722">
        <f t="shared" si="49"/>
        <v>0</v>
      </c>
      <c r="J554" s="722">
        <f t="shared" si="49"/>
        <v>0</v>
      </c>
      <c r="K554" s="722">
        <f t="shared" si="49"/>
        <v>0</v>
      </c>
      <c r="L554" s="722">
        <f t="shared" si="49"/>
        <v>0</v>
      </c>
      <c r="M554" s="722">
        <f t="shared" si="49"/>
        <v>0</v>
      </c>
      <c r="N554" s="723">
        <f t="shared" si="49"/>
        <v>0</v>
      </c>
      <c r="O554" s="3115">
        <f t="shared" ref="O554:O559" si="50">SUM(E554:N554)</f>
        <v>0</v>
      </c>
      <c r="P554" s="3116"/>
      <c r="Q554" s="2320"/>
      <c r="S554" s="2899"/>
    </row>
    <row r="555" spans="2:19" ht="18" customHeight="1" x14ac:dyDescent="0.25">
      <c r="B555" s="2375"/>
      <c r="C555" s="1188" t="s">
        <v>144</v>
      </c>
      <c r="D555" s="539"/>
      <c r="E555" s="724">
        <f t="shared" ref="E555:N555" si="51">IF((E547-E548-E549)&lt;0,-(E547-E548-E549),0)</f>
        <v>0</v>
      </c>
      <c r="F555" s="725">
        <f t="shared" si="51"/>
        <v>0</v>
      </c>
      <c r="G555" s="725">
        <f t="shared" si="51"/>
        <v>0</v>
      </c>
      <c r="H555" s="725">
        <f t="shared" si="51"/>
        <v>0</v>
      </c>
      <c r="I555" s="725">
        <f t="shared" si="51"/>
        <v>0</v>
      </c>
      <c r="J555" s="725">
        <f t="shared" si="51"/>
        <v>0</v>
      </c>
      <c r="K555" s="725">
        <f t="shared" si="51"/>
        <v>0</v>
      </c>
      <c r="L555" s="725">
        <f t="shared" si="51"/>
        <v>0</v>
      </c>
      <c r="M555" s="725">
        <f t="shared" si="51"/>
        <v>0</v>
      </c>
      <c r="N555" s="726">
        <f t="shared" si="51"/>
        <v>0</v>
      </c>
      <c r="O555" s="3113">
        <f t="shared" si="50"/>
        <v>0</v>
      </c>
      <c r="P555" s="3114"/>
      <c r="Q555" s="2320"/>
      <c r="S555" s="2899"/>
    </row>
    <row r="556" spans="2:19" ht="18" customHeight="1" x14ac:dyDescent="0.25">
      <c r="B556" s="2365" t="str">
        <f>IF(COUNTBLANK(E556:N556)&lt;10,"","u")</f>
        <v>u</v>
      </c>
      <c r="C556" s="3124" t="s">
        <v>145</v>
      </c>
      <c r="D556" s="3125"/>
      <c r="E556" s="585"/>
      <c r="F556" s="586"/>
      <c r="G556" s="586"/>
      <c r="H556" s="586"/>
      <c r="I556" s="586"/>
      <c r="J556" s="586"/>
      <c r="K556" s="586"/>
      <c r="L556" s="586"/>
      <c r="M556" s="586"/>
      <c r="N556" s="587"/>
      <c r="O556" s="3098">
        <f t="shared" si="50"/>
        <v>0</v>
      </c>
      <c r="P556" s="3099"/>
      <c r="Q556" s="2320"/>
      <c r="S556" s="2899"/>
    </row>
    <row r="557" spans="2:19" ht="18" customHeight="1" x14ac:dyDescent="0.25">
      <c r="B557" s="2365" t="str">
        <f>IF(COUNTBLANK(E557:N557)&lt;10,"","u")</f>
        <v>u</v>
      </c>
      <c r="C557" s="3132" t="s">
        <v>292</v>
      </c>
      <c r="D557" s="3133"/>
      <c r="E557" s="585"/>
      <c r="F557" s="586"/>
      <c r="G557" s="586"/>
      <c r="H557" s="586"/>
      <c r="I557" s="586"/>
      <c r="J557" s="586"/>
      <c r="K557" s="586"/>
      <c r="L557" s="586"/>
      <c r="M557" s="586"/>
      <c r="N557" s="587"/>
      <c r="O557" s="3098">
        <f t="shared" si="50"/>
        <v>0</v>
      </c>
      <c r="P557" s="3099"/>
      <c r="Q557" s="2320"/>
      <c r="S557" s="2899"/>
    </row>
    <row r="558" spans="2:19" ht="18" customHeight="1" x14ac:dyDescent="0.25">
      <c r="B558" s="2365"/>
      <c r="C558" s="1188" t="s">
        <v>1546</v>
      </c>
      <c r="D558" s="539"/>
      <c r="E558" s="715">
        <f>E556+E557</f>
        <v>0</v>
      </c>
      <c r="F558" s="716">
        <f t="shared" ref="F558:N558" si="52">F556+F557</f>
        <v>0</v>
      </c>
      <c r="G558" s="716">
        <f t="shared" si="52"/>
        <v>0</v>
      </c>
      <c r="H558" s="716">
        <f t="shared" si="52"/>
        <v>0</v>
      </c>
      <c r="I558" s="716">
        <f t="shared" si="52"/>
        <v>0</v>
      </c>
      <c r="J558" s="716">
        <f t="shared" si="52"/>
        <v>0</v>
      </c>
      <c r="K558" s="716">
        <f t="shared" si="52"/>
        <v>0</v>
      </c>
      <c r="L558" s="716">
        <f t="shared" si="52"/>
        <v>0</v>
      </c>
      <c r="M558" s="716">
        <f t="shared" si="52"/>
        <v>0</v>
      </c>
      <c r="N558" s="717">
        <f t="shared" si="52"/>
        <v>0</v>
      </c>
      <c r="O558" s="3111">
        <f t="shared" si="50"/>
        <v>0</v>
      </c>
      <c r="P558" s="3112"/>
      <c r="Q558" s="2320"/>
      <c r="S558" s="2899"/>
    </row>
    <row r="559" spans="2:19" ht="18" customHeight="1" thickBot="1" x14ac:dyDescent="0.3">
      <c r="B559" s="2345"/>
      <c r="C559" s="3059" t="s">
        <v>132</v>
      </c>
      <c r="D559" s="3060"/>
      <c r="E559" s="1194">
        <f>E554-E555-E556-E557</f>
        <v>0</v>
      </c>
      <c r="F559" s="1195">
        <f t="shared" ref="F559:N559" si="53">F554-F555-F556-F557</f>
        <v>0</v>
      </c>
      <c r="G559" s="1195">
        <f t="shared" si="53"/>
        <v>0</v>
      </c>
      <c r="H559" s="1195">
        <f t="shared" si="53"/>
        <v>0</v>
      </c>
      <c r="I559" s="1195">
        <f t="shared" si="53"/>
        <v>0</v>
      </c>
      <c r="J559" s="1195">
        <f t="shared" si="53"/>
        <v>0</v>
      </c>
      <c r="K559" s="1195">
        <f t="shared" si="53"/>
        <v>0</v>
      </c>
      <c r="L559" s="1195">
        <f t="shared" si="53"/>
        <v>0</v>
      </c>
      <c r="M559" s="1195">
        <f t="shared" si="53"/>
        <v>0</v>
      </c>
      <c r="N559" s="1195">
        <f t="shared" si="53"/>
        <v>0</v>
      </c>
      <c r="O559" s="3088">
        <f t="shared" si="50"/>
        <v>0</v>
      </c>
      <c r="P559" s="3089"/>
      <c r="Q559" s="2378"/>
      <c r="S559" s="2899"/>
    </row>
    <row r="560" spans="2:19" ht="32.25" customHeight="1" thickBot="1" x14ac:dyDescent="0.3">
      <c r="B560" s="2345"/>
      <c r="C560" s="3061" t="s">
        <v>130</v>
      </c>
      <c r="D560" s="3062"/>
      <c r="E560" s="3121"/>
      <c r="F560" s="3122"/>
      <c r="G560" s="3122"/>
      <c r="H560" s="3122"/>
      <c r="I560" s="3122"/>
      <c r="J560" s="3122"/>
      <c r="K560" s="3122"/>
      <c r="L560" s="3122"/>
      <c r="M560" s="3122"/>
      <c r="N560" s="3122"/>
      <c r="O560" s="3122"/>
      <c r="P560" s="3123"/>
      <c r="Q560" s="2378"/>
      <c r="S560" s="2899"/>
    </row>
    <row r="561" spans="2:19" ht="18" customHeight="1" thickBot="1" x14ac:dyDescent="0.3">
      <c r="B561" s="2345"/>
      <c r="C561" s="1178" t="s">
        <v>133</v>
      </c>
      <c r="D561" s="1189"/>
      <c r="E561" s="1189"/>
      <c r="F561" s="1189"/>
      <c r="G561" s="1189"/>
      <c r="H561" s="1189"/>
      <c r="I561" s="1189"/>
      <c r="J561" s="1189"/>
      <c r="K561" s="1189"/>
      <c r="L561" s="1189"/>
      <c r="M561" s="1189"/>
      <c r="N561" s="1189"/>
      <c r="O561" s="1189"/>
      <c r="P561" s="1190"/>
      <c r="Q561" s="2320"/>
      <c r="S561" s="2899"/>
    </row>
    <row r="562" spans="2:19" ht="18" customHeight="1" x14ac:dyDescent="0.25">
      <c r="B562" s="2345"/>
      <c r="C562" s="3126" t="s">
        <v>1497</v>
      </c>
      <c r="D562" s="3127"/>
      <c r="E562" s="700">
        <f t="shared" ref="E562:N562" si="54">E480</f>
        <v>0</v>
      </c>
      <c r="F562" s="701">
        <f t="shared" si="54"/>
        <v>0</v>
      </c>
      <c r="G562" s="701">
        <f t="shared" si="54"/>
        <v>0</v>
      </c>
      <c r="H562" s="701">
        <f t="shared" si="54"/>
        <v>0</v>
      </c>
      <c r="I562" s="701">
        <f t="shared" si="54"/>
        <v>0</v>
      </c>
      <c r="J562" s="701">
        <f t="shared" si="54"/>
        <v>0</v>
      </c>
      <c r="K562" s="701">
        <f t="shared" si="54"/>
        <v>0</v>
      </c>
      <c r="L562" s="701">
        <f t="shared" si="54"/>
        <v>0</v>
      </c>
      <c r="M562" s="701">
        <f t="shared" si="54"/>
        <v>0</v>
      </c>
      <c r="N562" s="702">
        <f t="shared" si="54"/>
        <v>0</v>
      </c>
      <c r="O562" s="3117">
        <f>SUM(E562:N562)</f>
        <v>0</v>
      </c>
      <c r="P562" s="3118"/>
      <c r="Q562" s="2320"/>
      <c r="S562" s="2899"/>
    </row>
    <row r="563" spans="2:19" ht="18" customHeight="1" x14ac:dyDescent="0.25">
      <c r="B563" s="2365" t="str">
        <f>IF(COUNTBLANK(E563:N563)&lt;10,"","u")</f>
        <v>u</v>
      </c>
      <c r="C563" s="3124" t="s">
        <v>145</v>
      </c>
      <c r="D563" s="3125"/>
      <c r="E563" s="585"/>
      <c r="F563" s="586"/>
      <c r="G563" s="586"/>
      <c r="H563" s="586"/>
      <c r="I563" s="586"/>
      <c r="J563" s="586"/>
      <c r="K563" s="586"/>
      <c r="L563" s="586"/>
      <c r="M563" s="586"/>
      <c r="N563" s="587"/>
      <c r="O563" s="3098">
        <f>SUM(E563:N563)</f>
        <v>0</v>
      </c>
      <c r="P563" s="3099"/>
      <c r="Q563" s="2320"/>
      <c r="S563" s="2899"/>
    </row>
    <row r="564" spans="2:19" ht="18" customHeight="1" x14ac:dyDescent="0.25">
      <c r="B564" s="2365" t="str">
        <f>IF(COUNTBLANK(E564:N564)&lt;10,"","u")</f>
        <v>u</v>
      </c>
      <c r="C564" s="3132" t="s">
        <v>292</v>
      </c>
      <c r="D564" s="3133"/>
      <c r="E564" s="585"/>
      <c r="F564" s="586"/>
      <c r="G564" s="586"/>
      <c r="H564" s="586"/>
      <c r="I564" s="586"/>
      <c r="J564" s="586"/>
      <c r="K564" s="586"/>
      <c r="L564" s="586"/>
      <c r="M564" s="586"/>
      <c r="N564" s="587"/>
      <c r="O564" s="3071">
        <f>SUM(E564:N564)</f>
        <v>0</v>
      </c>
      <c r="P564" s="3072"/>
      <c r="Q564" s="2320"/>
      <c r="S564" s="2899"/>
    </row>
    <row r="565" spans="2:19" ht="18" customHeight="1" x14ac:dyDescent="0.25">
      <c r="B565" s="2365"/>
      <c r="C565" s="1188" t="s">
        <v>1546</v>
      </c>
      <c r="D565" s="539"/>
      <c r="E565" s="715">
        <f>E563+E564</f>
        <v>0</v>
      </c>
      <c r="F565" s="716">
        <f t="shared" ref="F565:N565" si="55">F563+F564</f>
        <v>0</v>
      </c>
      <c r="G565" s="716">
        <f t="shared" si="55"/>
        <v>0</v>
      </c>
      <c r="H565" s="716">
        <f t="shared" si="55"/>
        <v>0</v>
      </c>
      <c r="I565" s="716">
        <f t="shared" si="55"/>
        <v>0</v>
      </c>
      <c r="J565" s="716">
        <f t="shared" si="55"/>
        <v>0</v>
      </c>
      <c r="K565" s="716">
        <f t="shared" si="55"/>
        <v>0</v>
      </c>
      <c r="L565" s="716">
        <f t="shared" si="55"/>
        <v>0</v>
      </c>
      <c r="M565" s="716">
        <f t="shared" si="55"/>
        <v>0</v>
      </c>
      <c r="N565" s="717">
        <f t="shared" si="55"/>
        <v>0</v>
      </c>
      <c r="O565" s="3111">
        <f>SUM(E565:N565)</f>
        <v>0</v>
      </c>
      <c r="P565" s="3112"/>
      <c r="Q565" s="2320"/>
      <c r="S565" s="2899"/>
    </row>
    <row r="566" spans="2:19" ht="18" customHeight="1" thickBot="1" x14ac:dyDescent="0.3">
      <c r="B566" s="2345"/>
      <c r="C566" s="3059" t="s">
        <v>132</v>
      </c>
      <c r="D566" s="3060"/>
      <c r="E566" s="1194">
        <f t="shared" ref="E566:N566" si="56">E562-E563-E564</f>
        <v>0</v>
      </c>
      <c r="F566" s="1195">
        <f t="shared" si="56"/>
        <v>0</v>
      </c>
      <c r="G566" s="1195">
        <f t="shared" si="56"/>
        <v>0</v>
      </c>
      <c r="H566" s="1195">
        <f t="shared" si="56"/>
        <v>0</v>
      </c>
      <c r="I566" s="1195">
        <f t="shared" si="56"/>
        <v>0</v>
      </c>
      <c r="J566" s="1195">
        <f t="shared" si="56"/>
        <v>0</v>
      </c>
      <c r="K566" s="1195">
        <f t="shared" si="56"/>
        <v>0</v>
      </c>
      <c r="L566" s="1195">
        <f t="shared" si="56"/>
        <v>0</v>
      </c>
      <c r="M566" s="1195">
        <f t="shared" si="56"/>
        <v>0</v>
      </c>
      <c r="N566" s="1195">
        <f t="shared" si="56"/>
        <v>0</v>
      </c>
      <c r="O566" s="3088">
        <f>SUM(E566:N566)</f>
        <v>0</v>
      </c>
      <c r="P566" s="3089"/>
      <c r="Q566" s="2378"/>
      <c r="S566" s="2899"/>
    </row>
    <row r="567" spans="2:19" ht="32.25" customHeight="1" thickBot="1" x14ac:dyDescent="0.3">
      <c r="B567" s="2345"/>
      <c r="C567" s="3061" t="s">
        <v>130</v>
      </c>
      <c r="D567" s="3062"/>
      <c r="E567" s="3121"/>
      <c r="F567" s="3122"/>
      <c r="G567" s="3122"/>
      <c r="H567" s="3122"/>
      <c r="I567" s="3122"/>
      <c r="J567" s="3122"/>
      <c r="K567" s="3122"/>
      <c r="L567" s="3122"/>
      <c r="M567" s="3122"/>
      <c r="N567" s="3122"/>
      <c r="O567" s="3122"/>
      <c r="P567" s="3123"/>
      <c r="Q567" s="2378"/>
      <c r="S567" s="2899"/>
    </row>
    <row r="568" spans="2:19" ht="16.5" customHeight="1" x14ac:dyDescent="0.25">
      <c r="B568" s="2328"/>
      <c r="C568" s="2371"/>
      <c r="D568" s="2319"/>
      <c r="E568" s="2319"/>
      <c r="F568" s="2319"/>
      <c r="G568" s="2319"/>
      <c r="H568" s="2319"/>
      <c r="I568" s="2319"/>
      <c r="J568" s="2319"/>
      <c r="K568" s="2319"/>
      <c r="L568" s="2319"/>
      <c r="M568" s="2319"/>
      <c r="N568" s="2319"/>
      <c r="O568" s="2319"/>
      <c r="P568" s="2319"/>
      <c r="Q568" s="2320"/>
      <c r="S568" s="2899"/>
    </row>
    <row r="569" spans="2:19" ht="17.25" customHeight="1" x14ac:dyDescent="0.25">
      <c r="B569" s="2328"/>
      <c r="C569" s="2372" t="s">
        <v>188</v>
      </c>
      <c r="D569" s="2319"/>
      <c r="E569" s="2319"/>
      <c r="F569" s="2319"/>
      <c r="G569" s="2319"/>
      <c r="H569" s="2319"/>
      <c r="I569" s="2736" t="str">
        <f>IF((OR(ISBLANK(F634),ISBLANK(F635),ISBLANK(F636))=FALSE),"Complété","À compléter")</f>
        <v>À compléter</v>
      </c>
      <c r="J569" s="2736" t="str">
        <f>IF((OR(ISBLANK(F634),ISBLANK(F635),ISBLANK(F636),ISBLANK(K634),ISBLANK(K635),ISBLANK(K636))=FALSE),"Complété","À compléter")</f>
        <v>À compléter</v>
      </c>
      <c r="K569" s="2319"/>
      <c r="L569" s="2319"/>
      <c r="M569" s="2319"/>
      <c r="N569" s="2319"/>
      <c r="O569" s="2319"/>
      <c r="P569" s="2319"/>
      <c r="Q569" s="2320"/>
      <c r="S569" s="2899"/>
    </row>
    <row r="570" spans="2:19" ht="18" customHeight="1" x14ac:dyDescent="0.25">
      <c r="B570" s="2328"/>
      <c r="C570" s="2146"/>
      <c r="D570" s="2373"/>
      <c r="E570" s="3418" t="s">
        <v>185</v>
      </c>
      <c r="F570" s="3418"/>
      <c r="G570" s="3418"/>
      <c r="H570" s="3419"/>
      <c r="I570" s="359" t="str">
        <f>IF($M$73='MENU DÉROULANT'!$C$63,I569,J569)</f>
        <v>À compléter</v>
      </c>
      <c r="J570" s="3420" t="s">
        <v>186</v>
      </c>
      <c r="K570" s="3420"/>
      <c r="L570" s="3420"/>
      <c r="M570" s="3420"/>
      <c r="N570" s="3420"/>
      <c r="O570" s="3420"/>
      <c r="P570" s="3420"/>
      <c r="Q570" s="2320"/>
      <c r="S570" s="2899"/>
    </row>
    <row r="571" spans="2:19" ht="6.75" customHeight="1" x14ac:dyDescent="0.25">
      <c r="B571" s="2328"/>
      <c r="C571" s="2319"/>
      <c r="D571" s="2373"/>
      <c r="E571" s="2373"/>
      <c r="F571" s="2373"/>
      <c r="G571" s="2373"/>
      <c r="H571" s="2373"/>
      <c r="I571" s="2319"/>
      <c r="J571" s="2374"/>
      <c r="K571" s="2374"/>
      <c r="L571" s="2374"/>
      <c r="M571" s="2374"/>
      <c r="N571" s="2374"/>
      <c r="O571" s="2374"/>
      <c r="P571" s="2374"/>
      <c r="Q571" s="2320"/>
      <c r="S571" s="2899"/>
    </row>
    <row r="572" spans="2:19" ht="18" customHeight="1" x14ac:dyDescent="0.25">
      <c r="B572" s="2328"/>
      <c r="C572" s="2319"/>
      <c r="D572" s="3418" t="s">
        <v>1594</v>
      </c>
      <c r="E572" s="3418"/>
      <c r="F572" s="3418"/>
      <c r="G572" s="3418"/>
      <c r="H572" s="3419"/>
      <c r="I572" s="359" t="str">
        <f>IF($M$73='MENU DÉROULANT'!$C$63,I573,J573)</f>
        <v>À compléter</v>
      </c>
      <c r="J572" s="3420" t="s">
        <v>187</v>
      </c>
      <c r="K572" s="3420"/>
      <c r="L572" s="3420"/>
      <c r="M572" s="3420"/>
      <c r="N572" s="3420"/>
      <c r="O572" s="3420"/>
      <c r="P572" s="3420"/>
      <c r="Q572" s="2320"/>
      <c r="S572" s="2899"/>
    </row>
    <row r="573" spans="2:19" ht="22.5" customHeight="1" x14ac:dyDescent="0.25">
      <c r="B573" s="2328"/>
      <c r="C573" s="2319"/>
      <c r="D573" s="2359"/>
      <c r="E573" s="2359"/>
      <c r="F573" s="2359"/>
      <c r="G573" s="2359"/>
      <c r="H573" s="2359"/>
      <c r="I573" s="2736" t="str">
        <f>IF((OR(ISBLANK(F693),ISBLANK(F694),ISBLANK(F695))=FALSE),"Complété","À compléter")</f>
        <v>À compléter</v>
      </c>
      <c r="J573" s="2736" t="str">
        <f>IF((OR(ISBLANK(F693),ISBLANK(F694),ISBLANK(F695),ISBLANK(K693),ISBLANK(K694),ISBLANK(K695))=FALSE),"Complété","À compléter")</f>
        <v>À compléter</v>
      </c>
      <c r="K573" s="2361"/>
      <c r="L573" s="2361"/>
      <c r="M573" s="2361"/>
      <c r="N573" s="2361"/>
      <c r="O573" s="2361"/>
      <c r="P573" s="2361"/>
      <c r="Q573" s="2320"/>
      <c r="S573" s="2899"/>
    </row>
    <row r="574" spans="2:19" ht="18" customHeight="1" x14ac:dyDescent="0.25">
      <c r="B574" s="2328"/>
      <c r="C574" s="2362" t="s">
        <v>1573</v>
      </c>
      <c r="D574" s="2359"/>
      <c r="E574" s="2359"/>
      <c r="F574" s="2359"/>
      <c r="G574" s="2146"/>
      <c r="H574" s="3416" t="s">
        <v>1522</v>
      </c>
      <c r="I574" s="3416"/>
      <c r="J574" s="2146"/>
      <c r="K574" s="2146"/>
      <c r="L574" s="2361"/>
      <c r="M574" s="2361"/>
      <c r="N574" s="2361"/>
      <c r="O574" s="2361"/>
      <c r="P574" s="2361"/>
      <c r="Q574" s="2320"/>
      <c r="S574" s="2899"/>
    </row>
    <row r="575" spans="2:19" ht="15.75" thickBot="1" x14ac:dyDescent="0.3">
      <c r="B575" s="2329"/>
      <c r="C575" s="2334"/>
      <c r="D575" s="2334"/>
      <c r="E575" s="2334"/>
      <c r="F575" s="2363"/>
      <c r="G575" s="2363"/>
      <c r="H575" s="2334"/>
      <c r="I575" s="2363"/>
      <c r="J575" s="2363"/>
      <c r="K575" s="2334"/>
      <c r="L575" s="2363"/>
      <c r="M575" s="2334"/>
      <c r="N575" s="2363"/>
      <c r="O575" s="2363"/>
      <c r="P575" s="2363"/>
      <c r="Q575" s="2335"/>
      <c r="S575" s="2904"/>
    </row>
    <row r="576" spans="2:19" ht="15.75" thickBot="1" x14ac:dyDescent="0.3">
      <c r="S576" s="627"/>
    </row>
    <row r="577" spans="1:19" ht="22.5" customHeight="1" thickBot="1" x14ac:dyDescent="0.3">
      <c r="A577" s="1225"/>
      <c r="B577" s="2134" t="s">
        <v>88</v>
      </c>
      <c r="C577" s="2134"/>
      <c r="D577" s="2134"/>
      <c r="E577" s="2134"/>
      <c r="F577" s="2134"/>
      <c r="G577" s="2134"/>
      <c r="H577" s="2134"/>
      <c r="I577" s="2134"/>
      <c r="J577" s="2134"/>
      <c r="K577" s="2134"/>
      <c r="L577" s="2339"/>
      <c r="M577" s="2339"/>
      <c r="N577" s="2339"/>
      <c r="O577" s="3435" t="s">
        <v>1641</v>
      </c>
      <c r="P577" s="3435"/>
      <c r="Q577" s="3435"/>
      <c r="S577" s="628" t="s">
        <v>1537</v>
      </c>
    </row>
    <row r="578" spans="1:19" ht="9.75" customHeight="1" thickBot="1" x14ac:dyDescent="0.3">
      <c r="S578" s="629"/>
    </row>
    <row r="579" spans="1:19" ht="8.25" customHeight="1" x14ac:dyDescent="0.25">
      <c r="B579" s="2340"/>
      <c r="C579" s="2341"/>
      <c r="D579" s="2341"/>
      <c r="E579" s="2342"/>
      <c r="F579" s="2343"/>
      <c r="G579" s="2343"/>
      <c r="H579" s="2343"/>
      <c r="I579" s="2343"/>
      <c r="J579" s="2343"/>
      <c r="K579" s="2343"/>
      <c r="L579" s="2343"/>
      <c r="M579" s="2343"/>
      <c r="N579" s="2343"/>
      <c r="O579" s="2343"/>
      <c r="P579" s="2343"/>
      <c r="Q579" s="2344"/>
      <c r="S579" s="2900"/>
    </row>
    <row r="580" spans="1:19" ht="18" customHeight="1" x14ac:dyDescent="0.25">
      <c r="B580" s="2345"/>
      <c r="C580" s="2346" t="s">
        <v>89</v>
      </c>
      <c r="D580" s="2346"/>
      <c r="E580" s="2347"/>
      <c r="F580" s="2348"/>
      <c r="G580" s="2348"/>
      <c r="H580" s="2348"/>
      <c r="I580" s="2348"/>
      <c r="J580" s="2348"/>
      <c r="K580" s="2348"/>
      <c r="L580" s="2348"/>
      <c r="M580" s="2348"/>
      <c r="N580" s="2368" t="s">
        <v>59</v>
      </c>
      <c r="O580" s="359" t="str">
        <f>IF((COUNTBLANK(B602:B638)=ROWS(B602:B638)),"Complété","À compléter")</f>
        <v>À compléter</v>
      </c>
      <c r="P580" s="2348"/>
      <c r="Q580" s="2349"/>
      <c r="S580" s="2899"/>
    </row>
    <row r="581" spans="1:19" ht="9.75" customHeight="1" x14ac:dyDescent="0.25">
      <c r="B581" s="2345"/>
      <c r="C581" s="2347"/>
      <c r="D581" s="2347"/>
      <c r="E581" s="2347"/>
      <c r="F581" s="2348"/>
      <c r="G581" s="2348"/>
      <c r="H581" s="2348"/>
      <c r="I581" s="2348"/>
      <c r="J581" s="2348"/>
      <c r="K581" s="2348"/>
      <c r="L581" s="2348"/>
      <c r="M581" s="2348"/>
      <c r="N581" s="2348"/>
      <c r="O581" s="2348"/>
      <c r="P581" s="2348"/>
      <c r="Q581" s="2349"/>
      <c r="S581" s="2899"/>
    </row>
    <row r="582" spans="1:19" ht="17.25" customHeight="1" x14ac:dyDescent="0.25">
      <c r="B582" s="2367"/>
      <c r="C582" s="3417" t="s">
        <v>1590</v>
      </c>
      <c r="D582" s="3417"/>
      <c r="E582" s="3417"/>
      <c r="F582" s="3417"/>
      <c r="G582" s="3417"/>
      <c r="H582" s="3417"/>
      <c r="I582" s="3417"/>
      <c r="J582" s="3417"/>
      <c r="K582" s="3417"/>
      <c r="L582" s="3417"/>
      <c r="M582" s="3417"/>
      <c r="N582" s="2146"/>
      <c r="O582" s="2146"/>
      <c r="P582" s="2146"/>
      <c r="Q582" s="2370"/>
      <c r="S582" s="2899"/>
    </row>
    <row r="583" spans="1:19" ht="15" customHeight="1" x14ac:dyDescent="0.25">
      <c r="B583" s="2367"/>
      <c r="C583" s="2369"/>
      <c r="D583" s="2369"/>
      <c r="E583" s="2369"/>
      <c r="F583" s="2146"/>
      <c r="G583" s="2146"/>
      <c r="H583" s="2146"/>
      <c r="I583" s="2146"/>
      <c r="J583" s="2146"/>
      <c r="K583" s="2146"/>
      <c r="L583" s="2146"/>
      <c r="M583" s="2146"/>
      <c r="N583" s="2146"/>
      <c r="O583" s="2146"/>
      <c r="P583" s="2146"/>
      <c r="Q583" s="2370"/>
      <c r="S583" s="2899"/>
    </row>
    <row r="584" spans="1:19" x14ac:dyDescent="0.25">
      <c r="B584" s="2328"/>
      <c r="C584" s="2358" t="s">
        <v>1626</v>
      </c>
      <c r="D584" s="2351"/>
      <c r="E584" s="2319"/>
      <c r="F584" s="2319"/>
      <c r="G584" s="2319"/>
      <c r="H584" s="2319"/>
      <c r="I584" s="2319"/>
      <c r="J584" s="2319"/>
      <c r="K584" s="2319"/>
      <c r="L584" s="2319"/>
      <c r="M584" s="2319"/>
      <c r="N584" s="2319"/>
      <c r="O584" s="2319"/>
      <c r="P584" s="2319"/>
      <c r="Q584" s="2320"/>
      <c r="S584" s="2899"/>
    </row>
    <row r="585" spans="1:19" ht="9" customHeight="1" x14ac:dyDescent="0.25">
      <c r="B585" s="2328"/>
      <c r="C585" s="2351"/>
      <c r="D585" s="2351"/>
      <c r="E585" s="2319"/>
      <c r="F585" s="2319"/>
      <c r="G585" s="2319"/>
      <c r="H585" s="2319"/>
      <c r="I585" s="2319"/>
      <c r="J585" s="2319"/>
      <c r="K585" s="2319"/>
      <c r="L585" s="2319"/>
      <c r="M585" s="2319"/>
      <c r="N585" s="2319"/>
      <c r="O585" s="2319"/>
      <c r="P585" s="2319"/>
      <c r="Q585" s="2320"/>
      <c r="S585" s="2899"/>
    </row>
    <row r="586" spans="1:19" ht="9" customHeight="1" x14ac:dyDescent="0.25">
      <c r="B586" s="2328"/>
      <c r="C586" s="264"/>
      <c r="D586" s="265"/>
      <c r="E586" s="266"/>
      <c r="F586" s="266"/>
      <c r="G586" s="266"/>
      <c r="H586" s="266"/>
      <c r="I586" s="266"/>
      <c r="J586" s="266"/>
      <c r="K586" s="266"/>
      <c r="L586" s="266"/>
      <c r="M586" s="266"/>
      <c r="N586" s="266"/>
      <c r="O586" s="266"/>
      <c r="P586" s="267"/>
      <c r="Q586" s="2320"/>
      <c r="S586" s="2899"/>
    </row>
    <row r="587" spans="1:19" ht="16.5" customHeight="1" x14ac:dyDescent="0.25">
      <c r="B587" s="2328"/>
      <c r="C587" s="3108" t="s">
        <v>1625</v>
      </c>
      <c r="D587" s="3109"/>
      <c r="E587" s="338" t="s">
        <v>13</v>
      </c>
      <c r="F587" s="339" t="s">
        <v>1849</v>
      </c>
      <c r="G587" s="340"/>
      <c r="H587" s="341"/>
      <c r="I587" s="341"/>
      <c r="J587" s="341"/>
      <c r="K587" s="341"/>
      <c r="L587" s="341"/>
      <c r="M587" s="341"/>
      <c r="N587" s="341"/>
      <c r="O587" s="341"/>
      <c r="P587" s="272"/>
      <c r="Q587" s="2320"/>
      <c r="S587" s="2899"/>
    </row>
    <row r="588" spans="1:19" ht="16.5" customHeight="1" x14ac:dyDescent="0.25">
      <c r="B588" s="2328"/>
      <c r="C588" s="3096" t="s">
        <v>1561</v>
      </c>
      <c r="D588" s="3097"/>
      <c r="E588" s="205" t="s">
        <v>19</v>
      </c>
      <c r="F588" s="342" t="s">
        <v>1850</v>
      </c>
      <c r="G588" s="343"/>
      <c r="H588" s="344"/>
      <c r="I588" s="344"/>
      <c r="J588" s="344"/>
      <c r="K588" s="344"/>
      <c r="L588" s="344"/>
      <c r="M588" s="344"/>
      <c r="N588" s="344"/>
      <c r="O588" s="344"/>
      <c r="P588" s="272"/>
      <c r="Q588" s="2320"/>
      <c r="S588" s="2899"/>
    </row>
    <row r="589" spans="1:19" ht="16.5" customHeight="1" x14ac:dyDescent="0.25">
      <c r="B589" s="2328"/>
      <c r="C589" s="308"/>
      <c r="D589" s="309"/>
      <c r="E589" s="202" t="s">
        <v>17</v>
      </c>
      <c r="F589" s="342" t="s">
        <v>1627</v>
      </c>
      <c r="G589" s="343"/>
      <c r="H589" s="344"/>
      <c r="I589" s="344"/>
      <c r="J589" s="344"/>
      <c r="K589" s="344"/>
      <c r="L589" s="344"/>
      <c r="M589" s="344"/>
      <c r="N589" s="344"/>
      <c r="O589" s="344"/>
      <c r="P589" s="272"/>
      <c r="Q589" s="2320"/>
      <c r="S589" s="2899"/>
    </row>
    <row r="590" spans="1:19" ht="16.5" customHeight="1" x14ac:dyDescent="0.25">
      <c r="B590" s="2328"/>
      <c r="C590" s="308"/>
      <c r="D590" s="309"/>
      <c r="E590" s="198" t="s">
        <v>14</v>
      </c>
      <c r="F590" s="342" t="s">
        <v>1628</v>
      </c>
      <c r="G590" s="343"/>
      <c r="H590" s="344"/>
      <c r="I590" s="344"/>
      <c r="J590" s="344"/>
      <c r="K590" s="344"/>
      <c r="L590" s="344"/>
      <c r="M590" s="344"/>
      <c r="N590" s="344"/>
      <c r="O590" s="344"/>
      <c r="P590" s="272"/>
      <c r="Q590" s="2320"/>
      <c r="S590" s="2899"/>
    </row>
    <row r="591" spans="1:19" ht="16.5" customHeight="1" x14ac:dyDescent="0.25">
      <c r="B591" s="2328"/>
      <c r="C591" s="308"/>
      <c r="D591" s="309"/>
      <c r="E591" s="195" t="s">
        <v>21</v>
      </c>
      <c r="F591" s="342" t="s">
        <v>1629</v>
      </c>
      <c r="G591" s="343"/>
      <c r="H591" s="344"/>
      <c r="I591" s="344"/>
      <c r="J591" s="344"/>
      <c r="K591" s="344"/>
      <c r="L591" s="344"/>
      <c r="M591" s="344"/>
      <c r="N591" s="344"/>
      <c r="O591" s="344"/>
      <c r="P591" s="272"/>
      <c r="Q591" s="2320"/>
      <c r="S591" s="2899"/>
    </row>
    <row r="592" spans="1:19" ht="12" customHeight="1" x14ac:dyDescent="0.25">
      <c r="B592" s="2328"/>
      <c r="C592" s="310"/>
      <c r="D592" s="311"/>
      <c r="E592" s="277"/>
      <c r="F592" s="345"/>
      <c r="G592" s="346"/>
      <c r="H592" s="277"/>
      <c r="I592" s="312"/>
      <c r="J592" s="312"/>
      <c r="K592" s="312"/>
      <c r="L592" s="312"/>
      <c r="M592" s="312"/>
      <c r="N592" s="312"/>
      <c r="O592" s="312"/>
      <c r="P592" s="313"/>
      <c r="Q592" s="2320"/>
      <c r="S592" s="2899"/>
    </row>
    <row r="593" spans="2:19" ht="18" customHeight="1" x14ac:dyDescent="0.25">
      <c r="B593" s="2328"/>
      <c r="C593" s="2351"/>
      <c r="D593" s="2351"/>
      <c r="E593" s="2319"/>
      <c r="F593" s="2319"/>
      <c r="G593" s="2319"/>
      <c r="H593" s="2319"/>
      <c r="I593" s="2319"/>
      <c r="J593" s="2319"/>
      <c r="K593" s="2319"/>
      <c r="L593" s="2319"/>
      <c r="M593" s="2319"/>
      <c r="N593" s="2319"/>
      <c r="O593" s="2319"/>
      <c r="P593" s="2319"/>
      <c r="Q593" s="2320"/>
      <c r="S593" s="2899"/>
    </row>
    <row r="594" spans="2:19" ht="16.5" customHeight="1" x14ac:dyDescent="0.25">
      <c r="B594" s="2328"/>
      <c r="C594" s="2358" t="s">
        <v>1630</v>
      </c>
      <c r="D594" s="2351"/>
      <c r="E594" s="2319"/>
      <c r="F594" s="2319"/>
      <c r="G594" s="2319"/>
      <c r="H594" s="2319"/>
      <c r="I594" s="2319"/>
      <c r="J594" s="2319"/>
      <c r="K594" s="2319"/>
      <c r="L594" s="2319"/>
      <c r="M594" s="2319"/>
      <c r="N594" s="2319"/>
      <c r="O594" s="2319"/>
      <c r="P594" s="2319"/>
      <c r="Q594" s="2320"/>
      <c r="S594" s="2899"/>
    </row>
    <row r="595" spans="2:19" ht="4.5" customHeight="1" x14ac:dyDescent="0.25">
      <c r="B595" s="2328"/>
      <c r="C595" s="2358"/>
      <c r="D595" s="2351"/>
      <c r="E595" s="2319"/>
      <c r="F595" s="2319"/>
      <c r="G595" s="2319"/>
      <c r="H595" s="2319"/>
      <c r="I595" s="2319"/>
      <c r="J595" s="2319"/>
      <c r="K595" s="2319"/>
      <c r="L595" s="2319"/>
      <c r="M595" s="2319"/>
      <c r="N595" s="2319"/>
      <c r="O595" s="2319"/>
      <c r="P595" s="2319"/>
      <c r="Q595" s="2320"/>
      <c r="S595" s="2899"/>
    </row>
    <row r="596" spans="2:19" ht="16.5" customHeight="1" x14ac:dyDescent="0.25">
      <c r="B596" s="2328"/>
      <c r="C596" s="2358" t="s">
        <v>1622</v>
      </c>
      <c r="D596" s="2351"/>
      <c r="E596" s="2319"/>
      <c r="F596" s="2319"/>
      <c r="G596" s="2319"/>
      <c r="H596" s="2319"/>
      <c r="I596" s="2319"/>
      <c r="J596" s="2319"/>
      <c r="K596" s="2319"/>
      <c r="L596" s="2146"/>
      <c r="M596" s="2319"/>
      <c r="N596" s="2146"/>
      <c r="O596" s="2319"/>
      <c r="P596" s="2319"/>
      <c r="Q596" s="2320"/>
      <c r="S596" s="2899"/>
    </row>
    <row r="597" spans="2:19" ht="24.75" customHeight="1" x14ac:dyDescent="0.25">
      <c r="B597" s="2328"/>
      <c r="C597" s="2366" t="s">
        <v>1623</v>
      </c>
      <c r="D597" s="2351"/>
      <c r="E597" s="2319"/>
      <c r="F597" s="2319"/>
      <c r="G597" s="2319"/>
      <c r="H597" s="2319"/>
      <c r="I597" s="2319"/>
      <c r="J597" s="2319"/>
      <c r="K597" s="2319"/>
      <c r="L597" s="2319"/>
      <c r="M597" s="2319"/>
      <c r="N597" s="2319"/>
      <c r="O597" s="2319"/>
      <c r="P597" s="2319"/>
      <c r="Q597" s="2320"/>
      <c r="S597" s="2899"/>
    </row>
    <row r="598" spans="2:19" ht="24" customHeight="1" x14ac:dyDescent="0.25">
      <c r="B598" s="2328"/>
      <c r="C598" s="2397" t="s">
        <v>1624</v>
      </c>
      <c r="D598" s="2351"/>
      <c r="E598" s="2319"/>
      <c r="F598" s="2319"/>
      <c r="G598" s="2319"/>
      <c r="H598" s="2319"/>
      <c r="I598" s="2319"/>
      <c r="J598" s="2319"/>
      <c r="K598" s="2319"/>
      <c r="L598" s="2319"/>
      <c r="M598" s="2319"/>
      <c r="N598" s="2319"/>
      <c r="O598" s="2319"/>
      <c r="P598" s="2319"/>
      <c r="Q598" s="2320"/>
      <c r="S598" s="2899"/>
    </row>
    <row r="599" spans="2:19" ht="18.75" customHeight="1" x14ac:dyDescent="0.25">
      <c r="B599" s="2328"/>
      <c r="C599" s="2351"/>
      <c r="D599" s="2351"/>
      <c r="E599" s="2319"/>
      <c r="F599" s="2319"/>
      <c r="G599" s="2319"/>
      <c r="H599" s="2319"/>
      <c r="I599" s="2319"/>
      <c r="J599" s="2319"/>
      <c r="K599" s="2319"/>
      <c r="L599" s="2319"/>
      <c r="M599" s="2319"/>
      <c r="N599" s="2319"/>
      <c r="O599" s="2319"/>
      <c r="P599" s="2319"/>
      <c r="Q599" s="2320"/>
      <c r="S599" s="2899"/>
    </row>
    <row r="600" spans="2:19" ht="22.5" customHeight="1" x14ac:dyDescent="0.25">
      <c r="B600" s="2328"/>
      <c r="C600" s="2146" t="s">
        <v>124</v>
      </c>
      <c r="D600" s="2146"/>
      <c r="E600" s="2146"/>
      <c r="F600" s="3080" t="s">
        <v>2057</v>
      </c>
      <c r="G600" s="3081"/>
      <c r="H600" s="3081"/>
      <c r="I600" s="3081"/>
      <c r="J600" s="3081"/>
      <c r="K600" s="3080" t="s">
        <v>2058</v>
      </c>
      <c r="L600" s="3081"/>
      <c r="M600" s="3081"/>
      <c r="N600" s="3081"/>
      <c r="O600" s="3081"/>
      <c r="P600" s="317"/>
      <c r="Q600" s="2320"/>
      <c r="S600" s="2899"/>
    </row>
    <row r="601" spans="2:19" ht="3" customHeight="1" x14ac:dyDescent="0.25">
      <c r="B601" s="2328"/>
      <c r="C601" s="2319"/>
      <c r="D601" s="2319"/>
      <c r="E601" s="2319"/>
      <c r="F601" s="2319"/>
      <c r="G601" s="2319"/>
      <c r="H601" s="2319"/>
      <c r="I601" s="2319"/>
      <c r="J601" s="2319"/>
      <c r="K601" s="2319"/>
      <c r="L601" s="2319"/>
      <c r="M601" s="2319"/>
      <c r="N601" s="2319"/>
      <c r="O601" s="2319"/>
      <c r="P601" s="2319"/>
      <c r="Q601" s="2320"/>
      <c r="S601" s="2899"/>
    </row>
    <row r="602" spans="2:19" ht="23.25" customHeight="1" x14ac:dyDescent="0.25">
      <c r="B602" s="2328"/>
      <c r="C602" s="3102" t="s">
        <v>90</v>
      </c>
      <c r="D602" s="3103"/>
      <c r="E602" s="3104"/>
      <c r="F602" s="3075" t="s">
        <v>1871</v>
      </c>
      <c r="G602" s="3076"/>
      <c r="H602" s="3077" t="s">
        <v>134</v>
      </c>
      <c r="I602" s="3077"/>
      <c r="J602" s="3077"/>
      <c r="K602" s="3075" t="s">
        <v>1871</v>
      </c>
      <c r="L602" s="3076"/>
      <c r="M602" s="3077" t="s">
        <v>134</v>
      </c>
      <c r="N602" s="3077"/>
      <c r="O602" s="3077"/>
      <c r="P602" s="348"/>
      <c r="Q602" s="2320"/>
      <c r="S602" s="2899"/>
    </row>
    <row r="603" spans="2:19" ht="29.25" customHeight="1" x14ac:dyDescent="0.25">
      <c r="B603" s="2328"/>
      <c r="C603" s="3105"/>
      <c r="D603" s="3106"/>
      <c r="E603" s="3107"/>
      <c r="F603" s="479" t="s">
        <v>1426</v>
      </c>
      <c r="G603" s="349" t="s">
        <v>122</v>
      </c>
      <c r="H603" s="471" t="s">
        <v>299</v>
      </c>
      <c r="I603" s="3066" t="s">
        <v>301</v>
      </c>
      <c r="J603" s="3067"/>
      <c r="K603" s="479" t="s">
        <v>1426</v>
      </c>
      <c r="L603" s="349" t="s">
        <v>122</v>
      </c>
      <c r="M603" s="471" t="s">
        <v>299</v>
      </c>
      <c r="N603" s="3066" t="s">
        <v>301</v>
      </c>
      <c r="O603" s="3110"/>
      <c r="P603" s="3067"/>
      <c r="Q603" s="2320"/>
      <c r="S603" s="2899"/>
    </row>
    <row r="604" spans="2:19" ht="21.75" customHeight="1" x14ac:dyDescent="0.25">
      <c r="B604" s="2364"/>
      <c r="C604" s="694" t="s">
        <v>91</v>
      </c>
      <c r="D604" s="533"/>
      <c r="E604" s="534" t="s">
        <v>135</v>
      </c>
      <c r="F604" s="535" t="str">
        <f>IF(H604=1,"1- Très faible",IF(H604=2,"2- Faible",IF(H604=3,"3- Moyen",IF(H604=4,"4- Bon",IF(H604=5,"5- Excellent","")))))</f>
        <v/>
      </c>
      <c r="G604" s="13" t="str">
        <f>IF(OR(SUM(G605:G610)=0,H604=0),"",(SUM(G605:G610)/(6-I604)*6))</f>
        <v/>
      </c>
      <c r="H604" s="536">
        <f>IF(I604=6,0,IF(I604=0,ROUNDDOWN(AVERAGE(G605:G610),0),ROUNDDOWN((SUM(G605:G610)/(6-I604)),0)))</f>
        <v>0</v>
      </c>
      <c r="I604" s="731">
        <f>COUNTIF(F605:F610,"Ne s'applique pas")</f>
        <v>0</v>
      </c>
      <c r="J604" s="537"/>
      <c r="K604" s="535" t="str">
        <f>IF(M604=1,"1- Très faible",IF(M604=2,"2- Faible",IF(M604=3,"3- Moyen",IF(M604=4,"4- Bon",IF(M604=5,"5- Excellent","")))))</f>
        <v/>
      </c>
      <c r="L604" s="13" t="str">
        <f>IF(OR(SUM(L605:L610)=0,M604=0),"",(SUM(L605:L610)/(6-N604)*6))</f>
        <v/>
      </c>
      <c r="M604" s="536">
        <f>IF(N604=6,0,IF(N604=0,ROUNDDOWN(AVERAGE(L605:L610),0),ROUNDDOWN((SUM(L605:L610)/(6-N604)),0)))</f>
        <v>0</v>
      </c>
      <c r="N604" s="731">
        <f>COUNTIF(K605:K610,"Ne s'applique pas")</f>
        <v>0</v>
      </c>
      <c r="O604" s="3073"/>
      <c r="P604" s="3074"/>
      <c r="Q604" s="2320"/>
      <c r="S604" s="2899"/>
    </row>
    <row r="605" spans="2:19" ht="18" customHeight="1" x14ac:dyDescent="0.25">
      <c r="B605" s="2365" t="str">
        <f>IF(OR(ISBLANK($L$74),ISBLANK(F605))=FALSE,"",IF(OR(ISBLANK(F605),ISBLANK(K605))=FALSE,"","u"))</f>
        <v>u</v>
      </c>
      <c r="C605" s="3090" t="s">
        <v>92</v>
      </c>
      <c r="D605" s="3091"/>
      <c r="E605" s="3092"/>
      <c r="F605" s="691"/>
      <c r="G605" s="532">
        <f>IF(F605=$E$587,1,IF(F605=$E$588,2,IF(F605=$E$589,3,IF(F605=$E$590,4,IF(F605=$E$591,5,0)))))</f>
        <v>0</v>
      </c>
      <c r="H605" s="689"/>
      <c r="I605" s="3068"/>
      <c r="J605" s="3069"/>
      <c r="K605" s="691"/>
      <c r="L605" s="532">
        <f t="shared" ref="L605:L610" si="57">IF(K605=$E$587,1,IF(K605=$E$588,2,IF(K605=$E$589,3,IF(K605=$E$590,4,IF(K605=$E$591,5,0)))))</f>
        <v>0</v>
      </c>
      <c r="M605" s="689"/>
      <c r="N605" s="3068"/>
      <c r="O605" s="3179"/>
      <c r="P605" s="3069"/>
      <c r="Q605" s="2320"/>
      <c r="R605" s="302"/>
      <c r="S605" s="2899"/>
    </row>
    <row r="606" spans="2:19" ht="18" customHeight="1" x14ac:dyDescent="0.25">
      <c r="B606" s="2365" t="str">
        <f t="shared" ref="B606:B610" si="58">IF(OR(ISBLANK($L$74),ISBLANK(F606))=FALSE,"",IF(OR(ISBLANK(F606),ISBLANK(K606))=FALSE,"","u"))</f>
        <v>u</v>
      </c>
      <c r="C606" s="3063" t="s">
        <v>93</v>
      </c>
      <c r="D606" s="3064"/>
      <c r="E606" s="3065"/>
      <c r="F606" s="691"/>
      <c r="G606" s="14">
        <f t="shared" ref="G606:G610" si="59">IF(F606=$E$587,1,IF(F606=$E$588,2,IF(F606=$E$589,3,IF(F606=$E$590,4,IF(F606=$E$591,5,0)))))</f>
        <v>0</v>
      </c>
      <c r="H606" s="687"/>
      <c r="I606" s="3051"/>
      <c r="J606" s="3052"/>
      <c r="K606" s="688"/>
      <c r="L606" s="14">
        <f t="shared" si="57"/>
        <v>0</v>
      </c>
      <c r="M606" s="687"/>
      <c r="N606" s="3051"/>
      <c r="O606" s="3070"/>
      <c r="P606" s="3052"/>
      <c r="Q606" s="2320"/>
      <c r="S606" s="2899"/>
    </row>
    <row r="607" spans="2:19" ht="18" customHeight="1" x14ac:dyDescent="0.25">
      <c r="B607" s="2365" t="str">
        <f t="shared" si="58"/>
        <v>u</v>
      </c>
      <c r="C607" s="3063" t="s">
        <v>94</v>
      </c>
      <c r="D607" s="3064"/>
      <c r="E607" s="3065"/>
      <c r="F607" s="691"/>
      <c r="G607" s="14">
        <f t="shared" si="59"/>
        <v>0</v>
      </c>
      <c r="H607" s="687"/>
      <c r="I607" s="3051"/>
      <c r="J607" s="3052"/>
      <c r="K607" s="688"/>
      <c r="L607" s="14">
        <f t="shared" si="57"/>
        <v>0</v>
      </c>
      <c r="M607" s="687"/>
      <c r="N607" s="3051"/>
      <c r="O607" s="3070"/>
      <c r="P607" s="3052"/>
      <c r="Q607" s="2320"/>
      <c r="S607" s="2899"/>
    </row>
    <row r="608" spans="2:19" ht="18" customHeight="1" x14ac:dyDescent="0.25">
      <c r="B608" s="2365" t="str">
        <f t="shared" si="58"/>
        <v>u</v>
      </c>
      <c r="C608" s="3063" t="s">
        <v>95</v>
      </c>
      <c r="D608" s="3064"/>
      <c r="E608" s="3065"/>
      <c r="F608" s="691"/>
      <c r="G608" s="14">
        <f t="shared" si="59"/>
        <v>0</v>
      </c>
      <c r="H608" s="687"/>
      <c r="I608" s="3051"/>
      <c r="J608" s="3052"/>
      <c r="K608" s="688"/>
      <c r="L608" s="14">
        <f t="shared" si="57"/>
        <v>0</v>
      </c>
      <c r="M608" s="687"/>
      <c r="N608" s="3051"/>
      <c r="O608" s="3070"/>
      <c r="P608" s="3052"/>
      <c r="Q608" s="2320"/>
      <c r="S608" s="2899"/>
    </row>
    <row r="609" spans="2:19" ht="18" customHeight="1" x14ac:dyDescent="0.25">
      <c r="B609" s="2365" t="str">
        <f t="shared" si="58"/>
        <v>u</v>
      </c>
      <c r="C609" s="3063" t="s">
        <v>96</v>
      </c>
      <c r="D609" s="3064"/>
      <c r="E609" s="3065"/>
      <c r="F609" s="691"/>
      <c r="G609" s="14">
        <f t="shared" si="59"/>
        <v>0</v>
      </c>
      <c r="H609" s="687"/>
      <c r="I609" s="3051"/>
      <c r="J609" s="3052"/>
      <c r="K609" s="688"/>
      <c r="L609" s="14">
        <f t="shared" si="57"/>
        <v>0</v>
      </c>
      <c r="M609" s="687"/>
      <c r="N609" s="3051"/>
      <c r="O609" s="3070"/>
      <c r="P609" s="3052"/>
      <c r="Q609" s="2320"/>
      <c r="S609" s="2899"/>
    </row>
    <row r="610" spans="2:19" ht="18" customHeight="1" x14ac:dyDescent="0.25">
      <c r="B610" s="2365" t="str">
        <f t="shared" si="58"/>
        <v>u</v>
      </c>
      <c r="C610" s="3093" t="s">
        <v>97</v>
      </c>
      <c r="D610" s="3094"/>
      <c r="E610" s="3095"/>
      <c r="F610" s="691"/>
      <c r="G610" s="531">
        <f t="shared" si="59"/>
        <v>0</v>
      </c>
      <c r="H610" s="690"/>
      <c r="I610" s="3085"/>
      <c r="J610" s="3087"/>
      <c r="K610" s="692"/>
      <c r="L610" s="531">
        <f t="shared" si="57"/>
        <v>0</v>
      </c>
      <c r="M610" s="690"/>
      <c r="N610" s="3085"/>
      <c r="O610" s="3086"/>
      <c r="P610" s="3087"/>
      <c r="Q610" s="2320"/>
      <c r="S610" s="2899"/>
    </row>
    <row r="611" spans="2:19" ht="35.25" customHeight="1" x14ac:dyDescent="0.25">
      <c r="B611" s="2365"/>
      <c r="C611" s="3082" t="s">
        <v>1873</v>
      </c>
      <c r="D611" s="3083"/>
      <c r="E611" s="3084"/>
      <c r="F611" s="3053"/>
      <c r="G611" s="3054"/>
      <c r="H611" s="3054"/>
      <c r="I611" s="3054"/>
      <c r="J611" s="3054"/>
      <c r="K611" s="3053"/>
      <c r="L611" s="3054"/>
      <c r="M611" s="3054"/>
      <c r="N611" s="3054"/>
      <c r="O611" s="3054"/>
      <c r="P611" s="3055"/>
      <c r="Q611" s="2320"/>
      <c r="S611" s="2899"/>
    </row>
    <row r="612" spans="2:19" ht="21.75" customHeight="1" x14ac:dyDescent="0.25">
      <c r="B612" s="2364"/>
      <c r="C612" s="693" t="s">
        <v>1631</v>
      </c>
      <c r="D612" s="334"/>
      <c r="E612" s="8" t="s">
        <v>136</v>
      </c>
      <c r="F612" s="12" t="str">
        <f>IF(H612=1,"1- Très faible",IF(H612=2,"2- Faible",IF(H612=3,"3- Moyen",IF(H612=4,"4- Bon",IF(H612=5,"5- Excellent","")))))</f>
        <v/>
      </c>
      <c r="G612" s="529" t="str">
        <f>IF(SUM(G613:G614)=0,"",SUM(G613:G614))</f>
        <v/>
      </c>
      <c r="H612" s="15">
        <f>ROUNDDOWN(AVERAGE(G613:G614),0)</f>
        <v>0</v>
      </c>
      <c r="I612" s="16"/>
      <c r="J612" s="18"/>
      <c r="K612" s="12" t="str">
        <f>IF(M612=1,"1- Très faible",IF(M612=2,"2- Faible",IF(M612=3,"3- Moyen",IF(M612=4,"4- Bon",IF(M612=5,"5- Excellent","")))))</f>
        <v/>
      </c>
      <c r="L612" s="529" t="str">
        <f>IF(SUM(L613:L614)=0,"",SUM(L613:L614))</f>
        <v/>
      </c>
      <c r="M612" s="15">
        <f>ROUNDDOWN(AVERAGE(L613:L614),0)</f>
        <v>0</v>
      </c>
      <c r="N612" s="16"/>
      <c r="O612" s="3100"/>
      <c r="P612" s="3101"/>
      <c r="Q612" s="2320"/>
      <c r="S612" s="2899"/>
    </row>
    <row r="613" spans="2:19" ht="18" customHeight="1" x14ac:dyDescent="0.25">
      <c r="B613" s="2365" t="str">
        <f t="shared" ref="B613:B614" si="60">IF(OR(ISBLANK($L$74),ISBLANK(F613))=FALSE,"",IF(OR(ISBLANK(F613),ISBLANK(K613))=FALSE,"","u"))</f>
        <v>u</v>
      </c>
      <c r="C613" s="3176" t="s">
        <v>1532</v>
      </c>
      <c r="D613" s="3177"/>
      <c r="E613" s="3178"/>
      <c r="F613" s="688"/>
      <c r="G613" s="14">
        <f>IF(F613=$E$587,1,IF(F613=$E$588,2,IF(F613=$E$589,3,IF(F613=$E$590,4,IF(F613=$E$591,5,0)))))</f>
        <v>0</v>
      </c>
      <c r="H613" s="687"/>
      <c r="I613" s="3051"/>
      <c r="J613" s="3052"/>
      <c r="K613" s="688"/>
      <c r="L613" s="14">
        <f>IF(K613=$E$587,1,IF(K613=$E$588,2,IF(K613=$E$589,3,IF(K613=$E$590,4,IF(K613=$E$591,5,0)))))</f>
        <v>0</v>
      </c>
      <c r="M613" s="687"/>
      <c r="N613" s="3051"/>
      <c r="O613" s="3070"/>
      <c r="P613" s="3052"/>
      <c r="Q613" s="2320"/>
      <c r="S613" s="2899"/>
    </row>
    <row r="614" spans="2:19" ht="18" customHeight="1" x14ac:dyDescent="0.25">
      <c r="B614" s="2365" t="str">
        <f t="shared" si="60"/>
        <v>u</v>
      </c>
      <c r="C614" s="3063" t="s">
        <v>1781</v>
      </c>
      <c r="D614" s="3064"/>
      <c r="E614" s="3065"/>
      <c r="F614" s="688"/>
      <c r="G614" s="530">
        <f>IF(F614=$E$587,1,IF(F614=$E$588,2,IF(F614=$E$589,3,IF(F614=$E$590,4,IF(F614=$E$591,5,0)))))</f>
        <v>0</v>
      </c>
      <c r="H614" s="687"/>
      <c r="I614" s="3051"/>
      <c r="J614" s="3052"/>
      <c r="K614" s="688"/>
      <c r="L614" s="530">
        <f>IF(K614=$E$587,1,IF(K614=$E$588,2,IF(K614=$E$589,3,IF(K614=$E$590,4,IF(K614=$E$591,5,0)))))</f>
        <v>0</v>
      </c>
      <c r="M614" s="687"/>
      <c r="N614" s="3051"/>
      <c r="O614" s="3070"/>
      <c r="P614" s="3052"/>
      <c r="Q614" s="2320"/>
      <c r="S614" s="2899"/>
    </row>
    <row r="615" spans="2:19" ht="35.25" customHeight="1" x14ac:dyDescent="0.25">
      <c r="B615" s="2365"/>
      <c r="C615" s="3082" t="s">
        <v>1873</v>
      </c>
      <c r="D615" s="3083"/>
      <c r="E615" s="3084"/>
      <c r="F615" s="3053"/>
      <c r="G615" s="3054"/>
      <c r="H615" s="3054"/>
      <c r="I615" s="3054"/>
      <c r="J615" s="3054"/>
      <c r="K615" s="3053"/>
      <c r="L615" s="3054"/>
      <c r="M615" s="3054"/>
      <c r="N615" s="3054"/>
      <c r="O615" s="3054"/>
      <c r="P615" s="3055"/>
      <c r="Q615" s="2320"/>
      <c r="S615" s="2899"/>
    </row>
    <row r="616" spans="2:19" ht="21.75" customHeight="1" x14ac:dyDescent="0.25">
      <c r="B616" s="2364"/>
      <c r="C616" s="693" t="s">
        <v>34</v>
      </c>
      <c r="D616" s="334"/>
      <c r="E616" s="8" t="s">
        <v>136</v>
      </c>
      <c r="F616" s="12" t="str">
        <f>IF(H616=1,"1- Très faible",IF(H616=2,"2- Faible",IF(H616=3,"3- Moyen",IF(H616=4,"4- Bon",IF(H616=5,"5- Excellent","")))))</f>
        <v/>
      </c>
      <c r="G616" s="13" t="str">
        <f>IF(SUM(G617:G618)=0,"",SUM(G617:G618))</f>
        <v/>
      </c>
      <c r="H616" s="15">
        <f>ROUNDDOWN(AVERAGE(G617:G618),0)</f>
        <v>0</v>
      </c>
      <c r="I616" s="16"/>
      <c r="J616" s="18"/>
      <c r="K616" s="12" t="str">
        <f>IF(M616=1,"1- Très faible",IF(M616=2,"2- Faible",IF(M616=3,"3- Moyen",IF(M616=4,"4- Bon",IF(M616=5,"5- Excellent","")))))</f>
        <v/>
      </c>
      <c r="L616" s="13" t="str">
        <f>IF(SUM(L617:L618)=0,"",SUM(L617:L618))</f>
        <v/>
      </c>
      <c r="M616" s="15">
        <f>ROUNDDOWN(AVERAGE(L617:L618),0)</f>
        <v>0</v>
      </c>
      <c r="N616" s="16"/>
      <c r="O616" s="3073"/>
      <c r="P616" s="3074"/>
      <c r="Q616" s="2320"/>
      <c r="S616" s="2899"/>
    </row>
    <row r="617" spans="2:19" ht="18" customHeight="1" x14ac:dyDescent="0.25">
      <c r="B617" s="2365" t="str">
        <f t="shared" ref="B617:B618" si="61">IF(OR(ISBLANK($L$74),ISBLANK(F617))=FALSE,"",IF(OR(ISBLANK(F617),ISBLANK(K617))=FALSE,"","u"))</f>
        <v>u</v>
      </c>
      <c r="C617" s="3171" t="s">
        <v>1533</v>
      </c>
      <c r="D617" s="3172"/>
      <c r="E617" s="3173"/>
      <c r="F617" s="688"/>
      <c r="G617" s="14">
        <f>IF(F617=$E$587,1,IF(F617=$E$588,2,IF(F617=$E$589,3,IF(F617=$E$590,4,IF(F617=$E$591,5,0)))))</f>
        <v>0</v>
      </c>
      <c r="H617" s="687"/>
      <c r="I617" s="3051"/>
      <c r="J617" s="3052"/>
      <c r="K617" s="688"/>
      <c r="L617" s="14">
        <f>IF(K617=$E$587,1,IF(K617=$E$588,2,IF(K617=$E$589,3,IF(K617=$E$590,4,IF(K617=$E$591,5,0)))))</f>
        <v>0</v>
      </c>
      <c r="M617" s="687"/>
      <c r="N617" s="3051"/>
      <c r="O617" s="3070"/>
      <c r="P617" s="3052"/>
      <c r="Q617" s="2320"/>
      <c r="S617" s="2899"/>
    </row>
    <row r="618" spans="2:19" ht="18" customHeight="1" x14ac:dyDescent="0.25">
      <c r="B618" s="2365" t="str">
        <f t="shared" si="61"/>
        <v>u</v>
      </c>
      <c r="C618" s="3063" t="s">
        <v>1782</v>
      </c>
      <c r="D618" s="3064"/>
      <c r="E618" s="3065"/>
      <c r="F618" s="688"/>
      <c r="G618" s="530">
        <f>IF(F618=$E$587,1,IF(F618=$E$588,2,IF(F618=$E$589,3,IF(F618=$E$590,4,IF(F618=$E$591,5,0)))))</f>
        <v>0</v>
      </c>
      <c r="H618" s="687"/>
      <c r="I618" s="3051"/>
      <c r="J618" s="3052"/>
      <c r="K618" s="688"/>
      <c r="L618" s="530">
        <f>IF(K618=$E$587,1,IF(K618=$E$588,2,IF(K618=$E$589,3,IF(K618=$E$590,4,IF(K618=$E$591,5,0)))))</f>
        <v>0</v>
      </c>
      <c r="M618" s="687"/>
      <c r="N618" s="3051"/>
      <c r="O618" s="3070"/>
      <c r="P618" s="3052"/>
      <c r="Q618" s="2320"/>
      <c r="S618" s="2899"/>
    </row>
    <row r="619" spans="2:19" ht="35.25" customHeight="1" x14ac:dyDescent="0.25">
      <c r="B619" s="2365"/>
      <c r="C619" s="3082" t="s">
        <v>1873</v>
      </c>
      <c r="D619" s="3083"/>
      <c r="E619" s="3084"/>
      <c r="F619" s="3053"/>
      <c r="G619" s="3054"/>
      <c r="H619" s="3054"/>
      <c r="I619" s="3054"/>
      <c r="J619" s="3054"/>
      <c r="K619" s="3053"/>
      <c r="L619" s="3054"/>
      <c r="M619" s="3054"/>
      <c r="N619" s="3054"/>
      <c r="O619" s="3054"/>
      <c r="P619" s="3055"/>
      <c r="Q619" s="2320"/>
      <c r="S619" s="2899"/>
    </row>
    <row r="620" spans="2:19" ht="21.75" customHeight="1" x14ac:dyDescent="0.25">
      <c r="B620" s="2364"/>
      <c r="C620" s="693" t="s">
        <v>99</v>
      </c>
      <c r="D620" s="334"/>
      <c r="E620" s="8" t="s">
        <v>136</v>
      </c>
      <c r="F620" s="12" t="str">
        <f>IF(H620=1,"1- Très faible",IF(H620=2,"2- Faible",IF(H620=3,"3- Moyen",IF(H620=4,"4- Bon",IF(H620=5,"5- Excellent","")))))</f>
        <v/>
      </c>
      <c r="G620" s="529" t="str">
        <f>IF(SUM(G621:G622)=0,"",SUM(G621:G622))</f>
        <v/>
      </c>
      <c r="H620" s="15">
        <f>ROUNDDOWN(AVERAGE(G621:G622),0)</f>
        <v>0</v>
      </c>
      <c r="I620" s="16"/>
      <c r="J620" s="18"/>
      <c r="K620" s="12" t="str">
        <f>IF(M620=1,"1- Très faible",IF(M620=2,"2- Faible",IF(M620=3,"3- Moyen",IF(M620=4,"4- Bon",IF(M620=5,"5- Excellent","")))))</f>
        <v/>
      </c>
      <c r="L620" s="529" t="str">
        <f>IF(SUM(L621:L622)=0,"",SUM(L621:L622))</f>
        <v/>
      </c>
      <c r="M620" s="15">
        <f>ROUNDDOWN(AVERAGE(L621:L622),0)</f>
        <v>0</v>
      </c>
      <c r="N620" s="16"/>
      <c r="O620" s="3100"/>
      <c r="P620" s="3101"/>
      <c r="Q620" s="2320"/>
      <c r="S620" s="2899"/>
    </row>
    <row r="621" spans="2:19" ht="18" customHeight="1" x14ac:dyDescent="0.25">
      <c r="B621" s="2365" t="str">
        <f t="shared" ref="B621:B622" si="62">IF(OR(ISBLANK($L$74),ISBLANK(F621))=FALSE,"",IF(OR(ISBLANK(F621),ISBLANK(K621))=FALSE,"","u"))</f>
        <v>u</v>
      </c>
      <c r="C621" s="3171" t="s">
        <v>1534</v>
      </c>
      <c r="D621" s="3172"/>
      <c r="E621" s="3173"/>
      <c r="F621" s="688"/>
      <c r="G621" s="530">
        <f>IF(F621=$E$587,1,IF(F621=$E$588,2,IF(F621=$E$589,3,IF(F621=$E$590,4,IF(F621=$E$591,5,0)))))</f>
        <v>0</v>
      </c>
      <c r="H621" s="687"/>
      <c r="I621" s="3051"/>
      <c r="J621" s="3052"/>
      <c r="K621" s="688"/>
      <c r="L621" s="530">
        <f>IF(K621=$E$587,1,IF(K621=$E$588,2,IF(K621=$E$589,3,IF(K621=$E$590,4,IF(K621=$E$591,5,0)))))</f>
        <v>0</v>
      </c>
      <c r="M621" s="687"/>
      <c r="N621" s="3051"/>
      <c r="O621" s="3070"/>
      <c r="P621" s="3052"/>
      <c r="Q621" s="2320"/>
      <c r="S621" s="2899"/>
    </row>
    <row r="622" spans="2:19" ht="18" customHeight="1" x14ac:dyDescent="0.25">
      <c r="B622" s="2365" t="str">
        <f t="shared" si="62"/>
        <v>u</v>
      </c>
      <c r="C622" s="3063" t="s">
        <v>1783</v>
      </c>
      <c r="D622" s="3064"/>
      <c r="E622" s="3065"/>
      <c r="F622" s="688"/>
      <c r="G622" s="530">
        <f>IF(F622=$E$587,1,IF(F622=$E$588,2,IF(F622=$E$589,3,IF(F622=$E$590,4,IF(F622=$E$591,5,0)))))</f>
        <v>0</v>
      </c>
      <c r="H622" s="687"/>
      <c r="I622" s="3051"/>
      <c r="J622" s="3052"/>
      <c r="K622" s="688"/>
      <c r="L622" s="530">
        <f>IF(K622=$E$587,1,IF(K622=$E$588,2,IF(K622=$E$589,3,IF(K622=$E$590,4,IF(K622=$E$591,5,0)))))</f>
        <v>0</v>
      </c>
      <c r="M622" s="687"/>
      <c r="N622" s="3051"/>
      <c r="O622" s="3070"/>
      <c r="P622" s="3052"/>
      <c r="Q622" s="2320"/>
      <c r="S622" s="2899"/>
    </row>
    <row r="623" spans="2:19" ht="35.25" customHeight="1" x14ac:dyDescent="0.25">
      <c r="B623" s="2365"/>
      <c r="C623" s="3082" t="s">
        <v>1873</v>
      </c>
      <c r="D623" s="3083"/>
      <c r="E623" s="3084"/>
      <c r="F623" s="3053"/>
      <c r="G623" s="3054"/>
      <c r="H623" s="3054"/>
      <c r="I623" s="3054"/>
      <c r="J623" s="3054"/>
      <c r="K623" s="3053"/>
      <c r="L623" s="3054"/>
      <c r="M623" s="3054"/>
      <c r="N623" s="3054"/>
      <c r="O623" s="3054"/>
      <c r="P623" s="3055"/>
      <c r="Q623" s="2320"/>
      <c r="S623" s="2899"/>
    </row>
    <row r="624" spans="2:19" ht="21.75" customHeight="1" x14ac:dyDescent="0.25">
      <c r="B624" s="2364"/>
      <c r="C624" s="693" t="s">
        <v>100</v>
      </c>
      <c r="D624" s="695"/>
      <c r="E624" s="8" t="s">
        <v>138</v>
      </c>
      <c r="F624" s="12" t="str">
        <f>IF(H624=1,"1- Très faible",IF(H624=2,"2- Faible",IF(H624=3,"3- Moyen",IF(H624=4,"4- Bon",IF(H624=5,"5- Excellent","")))))</f>
        <v/>
      </c>
      <c r="G624" s="13" t="str">
        <f>IF(SUM(G625:G627)=0,"",SUM(G625:G627))</f>
        <v/>
      </c>
      <c r="H624" s="15">
        <f>ROUNDDOWN(AVERAGE(G625:G627),0)</f>
        <v>0</v>
      </c>
      <c r="I624" s="16"/>
      <c r="J624" s="18"/>
      <c r="K624" s="12" t="str">
        <f>IF(M624=1,"1- Très faible",IF(M624=2,"2- Faible",IF(M624=3,"3- Moyen",IF(M624=4,"4- Bon",IF(M624=5,"5- Excellent","")))))</f>
        <v/>
      </c>
      <c r="L624" s="13" t="str">
        <f>IF(SUM(L625:L627)=0,"",SUM(L625:L627))</f>
        <v/>
      </c>
      <c r="M624" s="15">
        <f>ROUNDDOWN(AVERAGE(L625:L627),0)</f>
        <v>0</v>
      </c>
      <c r="N624" s="16"/>
      <c r="O624" s="3073"/>
      <c r="P624" s="3074"/>
      <c r="Q624" s="2320"/>
      <c r="S624" s="2899"/>
    </row>
    <row r="625" spans="1:19" ht="18" customHeight="1" x14ac:dyDescent="0.25">
      <c r="B625" s="2365" t="str">
        <f t="shared" ref="B625:B627" si="63">IF(OR(ISBLANK($L$74),ISBLANK(F625))=FALSE,"",IF(OR(ISBLANK(F625),ISBLANK(K625))=FALSE,"","u"))</f>
        <v>u</v>
      </c>
      <c r="C625" s="3063" t="s">
        <v>101</v>
      </c>
      <c r="D625" s="3064"/>
      <c r="E625" s="3065"/>
      <c r="F625" s="688"/>
      <c r="G625" s="14">
        <f>IF(F625=$E$587,1,IF(F625=$E$588,2,IF(F625=$E$589,3,IF(F625=$E$590,4,IF(F625=$E$591,5,0)))))</f>
        <v>0</v>
      </c>
      <c r="H625" s="687"/>
      <c r="I625" s="3051"/>
      <c r="J625" s="3052"/>
      <c r="K625" s="688"/>
      <c r="L625" s="14">
        <f>IF(K625=$E$587,1,IF(K625=$E$588,2,IF(K625=$E$589,3,IF(K625=$E$590,4,IF(K625=$E$591,5,0)))))</f>
        <v>0</v>
      </c>
      <c r="M625" s="687"/>
      <c r="N625" s="3051"/>
      <c r="O625" s="3070"/>
      <c r="P625" s="3052"/>
      <c r="Q625" s="2320"/>
      <c r="S625" s="2899"/>
    </row>
    <row r="626" spans="1:19" ht="18" customHeight="1" x14ac:dyDescent="0.25">
      <c r="B626" s="2365" t="str">
        <f t="shared" si="63"/>
        <v>u</v>
      </c>
      <c r="C626" s="3063" t="s">
        <v>102</v>
      </c>
      <c r="D626" s="3064"/>
      <c r="E626" s="3065"/>
      <c r="F626" s="688"/>
      <c r="G626" s="14">
        <f>IF(F626=$E$587,1,IF(F626=$E$588,2,IF(F626=$E$589,3,IF(F626=$E$590,4,IF(F626=$E$591,5,0)))))</f>
        <v>0</v>
      </c>
      <c r="H626" s="687"/>
      <c r="I626" s="3051"/>
      <c r="J626" s="3052"/>
      <c r="K626" s="688"/>
      <c r="L626" s="14">
        <f>IF(K626=$E$587,1,IF(K626=$E$588,2,IF(K626=$E$589,3,IF(K626=$E$590,4,IF(K626=$E$591,5,0)))))</f>
        <v>0</v>
      </c>
      <c r="M626" s="687"/>
      <c r="N626" s="3051"/>
      <c r="O626" s="3070"/>
      <c r="P626" s="3052"/>
      <c r="Q626" s="2320"/>
      <c r="S626" s="2899"/>
    </row>
    <row r="627" spans="1:19" ht="18" customHeight="1" x14ac:dyDescent="0.25">
      <c r="B627" s="2365" t="str">
        <f t="shared" si="63"/>
        <v>u</v>
      </c>
      <c r="C627" s="3063" t="s">
        <v>103</v>
      </c>
      <c r="D627" s="3064"/>
      <c r="E627" s="3065"/>
      <c r="F627" s="688"/>
      <c r="G627" s="530">
        <f>IF(F627=$E$587,1,IF(F627=$E$588,2,IF(F627=$E$589,3,IF(F627=$E$590,4,IF(F627=$E$591,5,0)))))</f>
        <v>0</v>
      </c>
      <c r="H627" s="687"/>
      <c r="I627" s="3051"/>
      <c r="J627" s="3052"/>
      <c r="K627" s="688"/>
      <c r="L627" s="530">
        <f>IF(K627=$E$587,1,IF(K627=$E$588,2,IF(K627=$E$589,3,IF(K627=$E$590,4,IF(K627=$E$591,5,0)))))</f>
        <v>0</v>
      </c>
      <c r="M627" s="687"/>
      <c r="N627" s="3051"/>
      <c r="O627" s="3070"/>
      <c r="P627" s="3052"/>
      <c r="Q627" s="2320"/>
      <c r="S627" s="2899"/>
    </row>
    <row r="628" spans="1:19" ht="35.25" customHeight="1" x14ac:dyDescent="0.25">
      <c r="B628" s="2365"/>
      <c r="C628" s="3082" t="s">
        <v>1873</v>
      </c>
      <c r="D628" s="3083"/>
      <c r="E628" s="3084"/>
      <c r="F628" s="3053"/>
      <c r="G628" s="3054"/>
      <c r="H628" s="3054"/>
      <c r="I628" s="3054"/>
      <c r="J628" s="3054"/>
      <c r="K628" s="3053"/>
      <c r="L628" s="3054"/>
      <c r="M628" s="3054"/>
      <c r="N628" s="3054"/>
      <c r="O628" s="3054"/>
      <c r="P628" s="3055"/>
      <c r="Q628" s="2320"/>
      <c r="S628" s="2899"/>
    </row>
    <row r="629" spans="1:19" ht="21.75" customHeight="1" x14ac:dyDescent="0.25">
      <c r="B629" s="2364"/>
      <c r="C629" s="693" t="s">
        <v>104</v>
      </c>
      <c r="D629" s="695"/>
      <c r="E629" s="8" t="s">
        <v>136</v>
      </c>
      <c r="F629" s="12" t="str">
        <f>IF(H629=1,"1- Très faible",IF(H629=2,"2- Faible",IF(H629=3,"3- Moyen",IF(H629=4,"4- Bon",IF(H629=5,"5- Excellent","")))))</f>
        <v/>
      </c>
      <c r="G629" s="13" t="str">
        <f>IF(SUM(G630:G631)=0,"",SUM(G630:G631))</f>
        <v/>
      </c>
      <c r="H629" s="15">
        <f>ROUNDDOWN(AVERAGE(G630:G631),0)</f>
        <v>0</v>
      </c>
      <c r="I629" s="16"/>
      <c r="J629" s="18"/>
      <c r="K629" s="12" t="str">
        <f>IF(M629=1,"1- Très faible",IF(M629=2,"2- Faible",IF(M629=3,"3- Moyen",IF(M629=4,"4- Bon",IF(M629=5,"5- Excellent","")))))</f>
        <v/>
      </c>
      <c r="L629" s="13" t="str">
        <f>IF(SUM(L630:L631)=0,"",SUM(L630:L631))</f>
        <v/>
      </c>
      <c r="M629" s="15">
        <f>ROUNDDOWN(AVERAGE(L630:L631),0)</f>
        <v>0</v>
      </c>
      <c r="N629" s="16"/>
      <c r="O629" s="3073"/>
      <c r="P629" s="3074"/>
      <c r="Q629" s="2320"/>
      <c r="S629" s="2899"/>
    </row>
    <row r="630" spans="1:19" ht="18" customHeight="1" x14ac:dyDescent="0.25">
      <c r="B630" s="2365" t="str">
        <f t="shared" ref="B630:B631" si="64">IF(OR(ISBLANK($L$74),ISBLANK(F630))=FALSE,"",IF(OR(ISBLANK(F630),ISBLANK(K630))=FALSE,"","u"))</f>
        <v>u</v>
      </c>
      <c r="C630" s="3063" t="s">
        <v>105</v>
      </c>
      <c r="D630" s="3064"/>
      <c r="E630" s="3065"/>
      <c r="F630" s="688"/>
      <c r="G630" s="14">
        <f>IF(F630=$E$587,1,IF(F630=$E$588,2,IF(F630=$E$589,3,IF(F630=$E$590,4,IF(F630=$E$591,5,0)))))</f>
        <v>0</v>
      </c>
      <c r="H630" s="687"/>
      <c r="I630" s="3051"/>
      <c r="J630" s="3052"/>
      <c r="K630" s="688"/>
      <c r="L630" s="14">
        <f>IF(K630=$E$587,1,IF(K630=$E$588,2,IF(K630=$E$589,3,IF(K630=$E$590,4,IF(K630=$E$591,5,0)))))</f>
        <v>0</v>
      </c>
      <c r="M630" s="687"/>
      <c r="N630" s="3051"/>
      <c r="O630" s="3070"/>
      <c r="P630" s="3052"/>
      <c r="Q630" s="2320"/>
      <c r="S630" s="2899"/>
    </row>
    <row r="631" spans="1:19" ht="18" customHeight="1" x14ac:dyDescent="0.25">
      <c r="B631" s="2365" t="str">
        <f t="shared" si="64"/>
        <v>u</v>
      </c>
      <c r="C631" s="3063" t="s">
        <v>1535</v>
      </c>
      <c r="D631" s="3064"/>
      <c r="E631" s="3065"/>
      <c r="F631" s="688"/>
      <c r="G631" s="14">
        <f>IF(F631=$E$587,1,IF(F631=$E$588,2,IF(F631=$E$589,3,IF(F631=$E$590,4,IF(F631=$E$591,5,0)))))</f>
        <v>0</v>
      </c>
      <c r="H631" s="687"/>
      <c r="I631" s="3051"/>
      <c r="J631" s="3052"/>
      <c r="K631" s="688"/>
      <c r="L631" s="14">
        <f>IF(K631=$E$587,1,IF(K631=$E$588,2,IF(K631=$E$589,3,IF(K631=$E$590,4,IF(K631=$E$591,5,0)))))</f>
        <v>0</v>
      </c>
      <c r="M631" s="687"/>
      <c r="N631" s="3051"/>
      <c r="O631" s="3070"/>
      <c r="P631" s="3052"/>
      <c r="Q631" s="2320"/>
      <c r="S631" s="2899"/>
    </row>
    <row r="632" spans="1:19" ht="35.25" customHeight="1" x14ac:dyDescent="0.25">
      <c r="B632" s="2365"/>
      <c r="C632" s="3082" t="s">
        <v>1873</v>
      </c>
      <c r="D632" s="3083"/>
      <c r="E632" s="3084"/>
      <c r="F632" s="3053"/>
      <c r="G632" s="3054"/>
      <c r="H632" s="3054"/>
      <c r="I632" s="3054"/>
      <c r="J632" s="3054"/>
      <c r="K632" s="3053"/>
      <c r="L632" s="3054"/>
      <c r="M632" s="3054"/>
      <c r="N632" s="3054"/>
      <c r="O632" s="3054"/>
      <c r="P632" s="3055"/>
      <c r="Q632" s="2320"/>
      <c r="S632" s="2899"/>
    </row>
    <row r="633" spans="1:19" ht="21.75" customHeight="1" x14ac:dyDescent="0.25">
      <c r="B633" s="2364"/>
      <c r="C633" s="694" t="s">
        <v>106</v>
      </c>
      <c r="D633" s="334"/>
      <c r="E633" s="8" t="s">
        <v>138</v>
      </c>
      <c r="F633" s="12" t="str">
        <f>IF(H633=1,"1- Très faible",IF(H633=2,"2- Faible",IF(H633=3,"3- Moyen",IF(H633=4,"4- Bon",IF(H633=5,"5- Excellent","")))))</f>
        <v/>
      </c>
      <c r="G633" s="13" t="str">
        <f>IF(SUM(G634:G636)=0,"",SUM(G634:G636))</f>
        <v/>
      </c>
      <c r="H633" s="15">
        <f>ROUNDDOWN(AVERAGE(G634:G636),0)</f>
        <v>0</v>
      </c>
      <c r="I633" s="16"/>
      <c r="J633" s="18"/>
      <c r="K633" s="12" t="str">
        <f>IF(M633=1,"1- Très faible",IF(M633=2,"2- Faible",IF(M633=3,"3- Moyen",IF(M633=4,"4- Bon",IF(M633=5,"5- Excellent","")))))</f>
        <v/>
      </c>
      <c r="L633" s="13" t="str">
        <f>IF(SUM(L634:L636)=0,"",SUM(L634:L636))</f>
        <v/>
      </c>
      <c r="M633" s="15">
        <f>ROUNDDOWN(AVERAGE(L634:L636),0)</f>
        <v>0</v>
      </c>
      <c r="N633" s="16"/>
      <c r="O633" s="3073"/>
      <c r="P633" s="3074"/>
      <c r="Q633" s="2320"/>
      <c r="S633" s="2899"/>
    </row>
    <row r="634" spans="1:19" ht="18" customHeight="1" x14ac:dyDescent="0.25">
      <c r="B634" s="2365" t="str">
        <f t="shared" ref="B634:B636" si="65">IF(OR(ISBLANK($L$74),ISBLANK(F634))=FALSE,"",IF(OR(ISBLANK(F634),ISBLANK(K634))=FALSE,"","u"))</f>
        <v>u</v>
      </c>
      <c r="C634" s="3063" t="s">
        <v>107</v>
      </c>
      <c r="D634" s="3064"/>
      <c r="E634" s="3065"/>
      <c r="F634" s="688"/>
      <c r="G634" s="14">
        <f>IF(F634=$E$587,1,IF(F634=$E$588,2,IF(F634=$E$589,3,IF(F634=$E$590,4,IF(F634=$E$591,5,0)))))</f>
        <v>0</v>
      </c>
      <c r="H634" s="687"/>
      <c r="I634" s="3051"/>
      <c r="J634" s="3052"/>
      <c r="K634" s="688"/>
      <c r="L634" s="14">
        <f>IF(K634=$E$587,1,IF(K634=$E$588,2,IF(K634=$E$589,3,IF(K634=$E$590,4,IF(K634=$E$591,5,0)))))</f>
        <v>0</v>
      </c>
      <c r="M634" s="687"/>
      <c r="N634" s="3051"/>
      <c r="O634" s="3070"/>
      <c r="P634" s="3052"/>
      <c r="Q634" s="2320"/>
      <c r="S634" s="2899"/>
    </row>
    <row r="635" spans="1:19" ht="18" customHeight="1" x14ac:dyDescent="0.25">
      <c r="B635" s="2365" t="str">
        <f t="shared" si="65"/>
        <v>u</v>
      </c>
      <c r="C635" s="3063" t="s">
        <v>108</v>
      </c>
      <c r="D635" s="3064"/>
      <c r="E635" s="3065"/>
      <c r="F635" s="688"/>
      <c r="G635" s="14">
        <f>IF(F635=$E$587,1,IF(F635=$E$588,2,IF(F635=$E$589,3,IF(F635=$E$590,4,IF(F635=$E$591,5,0)))))</f>
        <v>0</v>
      </c>
      <c r="H635" s="687"/>
      <c r="I635" s="3051"/>
      <c r="J635" s="3052"/>
      <c r="K635" s="688"/>
      <c r="L635" s="14">
        <f>IF(K635=$E$587,1,IF(K635=$E$588,2,IF(K635=$E$589,3,IF(K635=$E$590,4,IF(K635=$E$591,5,0)))))</f>
        <v>0</v>
      </c>
      <c r="M635" s="687"/>
      <c r="N635" s="3051"/>
      <c r="O635" s="3070"/>
      <c r="P635" s="3052"/>
      <c r="Q635" s="2320"/>
      <c r="S635" s="2899"/>
    </row>
    <row r="636" spans="1:19" ht="18" customHeight="1" x14ac:dyDescent="0.25">
      <c r="B636" s="2365" t="str">
        <f t="shared" si="65"/>
        <v>u</v>
      </c>
      <c r="C636" s="3063" t="s">
        <v>109</v>
      </c>
      <c r="D636" s="3064"/>
      <c r="E636" s="3065"/>
      <c r="F636" s="688"/>
      <c r="G636" s="530">
        <f>IF(F636=$E$587,1,IF(F636=$E$588,2,IF(F636=$E$589,3,IF(F636=$E$590,4,IF(F636=$E$591,5,0)))))</f>
        <v>0</v>
      </c>
      <c r="H636" s="687"/>
      <c r="I636" s="3051"/>
      <c r="J636" s="3052"/>
      <c r="K636" s="688"/>
      <c r="L636" s="530">
        <f>IF(K636=$E$587,1,IF(K636=$E$588,2,IF(K636=$E$589,3,IF(K636=$E$590,4,IF(K636=$E$591,5,0)))))</f>
        <v>0</v>
      </c>
      <c r="M636" s="687"/>
      <c r="N636" s="3051"/>
      <c r="O636" s="3070"/>
      <c r="P636" s="3052"/>
      <c r="Q636" s="2320"/>
      <c r="S636" s="2899"/>
    </row>
    <row r="637" spans="1:19" ht="35.25" customHeight="1" x14ac:dyDescent="0.25">
      <c r="B637" s="2365"/>
      <c r="C637" s="3082" t="s">
        <v>1873</v>
      </c>
      <c r="D637" s="3083"/>
      <c r="E637" s="3084"/>
      <c r="F637" s="3053"/>
      <c r="G637" s="3054"/>
      <c r="H637" s="3054"/>
      <c r="I637" s="3054"/>
      <c r="J637" s="3054"/>
      <c r="K637" s="3053"/>
      <c r="L637" s="3054"/>
      <c r="M637" s="3054"/>
      <c r="N637" s="3054"/>
      <c r="O637" s="3054"/>
      <c r="P637" s="3055"/>
      <c r="Q637" s="2320"/>
      <c r="S637" s="2899"/>
    </row>
    <row r="638" spans="1:19" ht="22.5" customHeight="1" x14ac:dyDescent="0.25">
      <c r="A638" s="55"/>
      <c r="B638" s="2328"/>
      <c r="C638" s="668"/>
      <c r="D638" s="350"/>
      <c r="E638" s="9" t="s">
        <v>150</v>
      </c>
      <c r="F638" s="19" t="str">
        <f>IF(H638=1,"1- Très faible",IF(H638=2,"2- Faible",IF(H638=3,"3- Moyen",IF(H638=4,"4- Bon",IF(H638=5,"5- Excellent","")))))</f>
        <v/>
      </c>
      <c r="G638" s="417" t="str">
        <f>IF(ISERR(G612+G616+G620+G624+G629+G633)=TRUE,"",IF((G604=""),((G612+G616+G620+G624+G629+G633)/70*100),(G604+G612+G616+G620+G624+G629+G633)))</f>
        <v/>
      </c>
      <c r="H638" s="641">
        <f>ROUNDDOWN(AVERAGE(H604,H612,H616,H620,H624,H629,H633),0)</f>
        <v>0</v>
      </c>
      <c r="I638" s="17"/>
      <c r="J638" s="17"/>
      <c r="K638" s="19" t="str">
        <f>IF(M638=1,"1- Très faible",IF(M638=2,"2- Faible",IF(M638=3,"3- Moyen",IF(M638=4,"4- Bon",IF(M638=5,"5- Excellent","")))))</f>
        <v/>
      </c>
      <c r="L638" s="417" t="str">
        <f>IF(ISERR(L612+L616+L620+L624+L629+L633)=TRUE,"",IF((L604=""),((L612+L616+L620+L624+L629+L633)/70*100),(L604+L612+L616+L620+L624+L629+L633)))</f>
        <v/>
      </c>
      <c r="M638" s="641">
        <f>ROUNDDOWN(AVERAGE(M604,M612,M616,M620,M624,M629,M633),0)</f>
        <v>0</v>
      </c>
      <c r="N638" s="17"/>
      <c r="O638" s="3078"/>
      <c r="P638" s="3079"/>
      <c r="Q638" s="2320"/>
      <c r="S638" s="2899"/>
    </row>
    <row r="639" spans="1:19" ht="27.75" customHeight="1" x14ac:dyDescent="0.25">
      <c r="B639" s="2328"/>
      <c r="C639" s="2319"/>
      <c r="D639" s="2359"/>
      <c r="E639" s="2359"/>
      <c r="F639" s="2359"/>
      <c r="G639" s="2359"/>
      <c r="H639" s="2359"/>
      <c r="I639" s="2360"/>
      <c r="J639" s="2361"/>
      <c r="K639" s="2361"/>
      <c r="L639" s="2361"/>
      <c r="M639" s="2361"/>
      <c r="N639" s="2361"/>
      <c r="O639" s="2361"/>
      <c r="P639" s="2361"/>
      <c r="Q639" s="2320"/>
      <c r="S639" s="2899"/>
    </row>
    <row r="640" spans="1:19" ht="18" customHeight="1" x14ac:dyDescent="0.25">
      <c r="B640" s="2328"/>
      <c r="C640" s="2362" t="s">
        <v>1573</v>
      </c>
      <c r="D640" s="2359"/>
      <c r="E640" s="2359"/>
      <c r="F640" s="2359"/>
      <c r="G640" s="2146"/>
      <c r="H640" s="3416" t="s">
        <v>1524</v>
      </c>
      <c r="I640" s="3416"/>
      <c r="J640" s="2146"/>
      <c r="K640" s="2146"/>
      <c r="L640" s="2361"/>
      <c r="M640" s="2361"/>
      <c r="N640" s="2361"/>
      <c r="O640" s="2361"/>
      <c r="P640" s="2361"/>
      <c r="Q640" s="2320"/>
      <c r="S640" s="2899"/>
    </row>
    <row r="641" spans="1:19" ht="21.75" customHeight="1" thickBot="1" x14ac:dyDescent="0.3">
      <c r="B641" s="2345"/>
      <c r="C641" s="2347"/>
      <c r="D641" s="2347"/>
      <c r="E641" s="2347"/>
      <c r="F641" s="2348"/>
      <c r="G641" s="2348"/>
      <c r="H641" s="2348"/>
      <c r="I641" s="2348"/>
      <c r="J641" s="2348"/>
      <c r="K641" s="2348"/>
      <c r="L641" s="2348"/>
      <c r="M641" s="2348"/>
      <c r="N641" s="2348"/>
      <c r="O641" s="2348"/>
      <c r="P641" s="2348"/>
      <c r="Q641" s="2349"/>
      <c r="S641" s="2904"/>
    </row>
    <row r="642" spans="1:19" ht="14.25" customHeight="1" thickBot="1" x14ac:dyDescent="0.3">
      <c r="B642" s="503"/>
      <c r="C642" s="503"/>
      <c r="D642" s="503"/>
      <c r="E642" s="503"/>
      <c r="F642" s="504"/>
      <c r="G642" s="504"/>
      <c r="H642" s="504"/>
      <c r="I642" s="504"/>
      <c r="J642" s="504"/>
      <c r="K642" s="504"/>
      <c r="L642" s="504"/>
      <c r="M642" s="504"/>
      <c r="N642" s="504"/>
      <c r="O642" s="504"/>
      <c r="P642" s="504"/>
      <c r="Q642" s="504"/>
      <c r="S642" s="627"/>
    </row>
    <row r="643" spans="1:19" ht="22.5" customHeight="1" thickBot="1" x14ac:dyDescent="0.3">
      <c r="A643" s="1225"/>
      <c r="B643" s="2134" t="s">
        <v>1451</v>
      </c>
      <c r="C643" s="2134"/>
      <c r="D643" s="2134"/>
      <c r="E643" s="2134"/>
      <c r="F643" s="2134"/>
      <c r="G643" s="2134"/>
      <c r="H643" s="2134"/>
      <c r="I643" s="2134"/>
      <c r="J643" s="2134"/>
      <c r="K643" s="2134"/>
      <c r="L643" s="2339"/>
      <c r="M643" s="2339"/>
      <c r="N643" s="2339"/>
      <c r="O643" s="3435" t="s">
        <v>1641</v>
      </c>
      <c r="P643" s="3435"/>
      <c r="Q643" s="3435"/>
      <c r="S643" s="628" t="s">
        <v>1537</v>
      </c>
    </row>
    <row r="644" spans="1:19" ht="9.75" customHeight="1" thickBot="1" x14ac:dyDescent="0.3">
      <c r="S644" s="629"/>
    </row>
    <row r="645" spans="1:19" ht="8.25" customHeight="1" x14ac:dyDescent="0.25">
      <c r="B645" s="2340"/>
      <c r="C645" s="2341"/>
      <c r="D645" s="2341"/>
      <c r="E645" s="2342"/>
      <c r="F645" s="2343"/>
      <c r="G645" s="2343"/>
      <c r="H645" s="2343"/>
      <c r="I645" s="2343"/>
      <c r="J645" s="2343"/>
      <c r="K645" s="2343"/>
      <c r="L645" s="2343"/>
      <c r="M645" s="2343"/>
      <c r="N645" s="2343"/>
      <c r="O645" s="2343"/>
      <c r="P645" s="2343"/>
      <c r="Q645" s="2344"/>
      <c r="S645" s="2900"/>
    </row>
    <row r="646" spans="1:19" ht="18" customHeight="1" x14ac:dyDescent="0.25">
      <c r="B646" s="2345"/>
      <c r="C646" s="2346" t="s">
        <v>1595</v>
      </c>
      <c r="D646" s="2346"/>
      <c r="E646" s="2347"/>
      <c r="F646" s="2348"/>
      <c r="G646" s="2348"/>
      <c r="H646" s="2348"/>
      <c r="I646" s="2348"/>
      <c r="J646" s="2348"/>
      <c r="K646" s="2348"/>
      <c r="L646" s="2348"/>
      <c r="M646" s="2348"/>
      <c r="N646" s="2368" t="s">
        <v>59</v>
      </c>
      <c r="O646" s="359" t="str">
        <f>IF((COUNTBLANK(B668:B700)=ROWS(B668:B700)),"Complété","À compléter")</f>
        <v>À compléter</v>
      </c>
      <c r="P646" s="2348"/>
      <c r="Q646" s="2349"/>
      <c r="S646" s="2899"/>
    </row>
    <row r="647" spans="1:19" ht="6.75" customHeight="1" x14ac:dyDescent="0.25">
      <c r="B647" s="2345"/>
      <c r="C647" s="2347"/>
      <c r="D647" s="2347"/>
      <c r="E647" s="2347"/>
      <c r="F647" s="2348"/>
      <c r="G647" s="2348"/>
      <c r="H647" s="2348"/>
      <c r="I647" s="2348"/>
      <c r="J647" s="2348"/>
      <c r="K647" s="2348"/>
      <c r="L647" s="2348"/>
      <c r="M647" s="2348"/>
      <c r="N647" s="2348"/>
      <c r="O647" s="2348"/>
      <c r="P647" s="2348"/>
      <c r="Q647" s="2349"/>
      <c r="S647" s="2899"/>
    </row>
    <row r="648" spans="1:19" ht="17.25" customHeight="1" x14ac:dyDescent="0.25">
      <c r="B648" s="2367"/>
      <c r="C648" s="3417" t="s">
        <v>1590</v>
      </c>
      <c r="D648" s="3417"/>
      <c r="E648" s="3417"/>
      <c r="F648" s="3417"/>
      <c r="G648" s="3417"/>
      <c r="H648" s="3417"/>
      <c r="I648" s="3417"/>
      <c r="J648" s="3417"/>
      <c r="K648" s="3417"/>
      <c r="L648" s="3417"/>
      <c r="M648" s="3417"/>
      <c r="N648" s="2146"/>
      <c r="O648" s="2146"/>
      <c r="P648" s="2146"/>
      <c r="Q648" s="2370"/>
      <c r="S648" s="2899"/>
    </row>
    <row r="649" spans="1:19" ht="15" customHeight="1" x14ac:dyDescent="0.25">
      <c r="B649" s="2367"/>
      <c r="C649" s="2369"/>
      <c r="D649" s="2369"/>
      <c r="E649" s="2369"/>
      <c r="F649" s="2146"/>
      <c r="G649" s="2146"/>
      <c r="H649" s="2146"/>
      <c r="I649" s="2146"/>
      <c r="J649" s="2146"/>
      <c r="K649" s="2146"/>
      <c r="L649" s="2146"/>
      <c r="M649" s="2146"/>
      <c r="N649" s="2146"/>
      <c r="O649" s="2146"/>
      <c r="P649" s="2146"/>
      <c r="Q649" s="2370"/>
      <c r="S649" s="2899"/>
    </row>
    <row r="650" spans="1:19" ht="22.5" customHeight="1" x14ac:dyDescent="0.25">
      <c r="B650" s="2328"/>
      <c r="C650" s="2358" t="s">
        <v>1778</v>
      </c>
      <c r="D650" s="2351"/>
      <c r="E650" s="2319"/>
      <c r="F650" s="2319"/>
      <c r="G650" s="2319"/>
      <c r="H650" s="2319"/>
      <c r="I650" s="2319"/>
      <c r="J650" s="2319"/>
      <c r="K650" s="2319"/>
      <c r="L650" s="2319"/>
      <c r="M650" s="2319"/>
      <c r="N650" s="2319"/>
      <c r="O650" s="2319"/>
      <c r="P650" s="2319"/>
      <c r="Q650" s="2320"/>
      <c r="S650" s="2899"/>
    </row>
    <row r="651" spans="1:19" ht="9" customHeight="1" x14ac:dyDescent="0.25">
      <c r="B651" s="2328"/>
      <c r="C651" s="2351"/>
      <c r="D651" s="2351"/>
      <c r="E651" s="2319"/>
      <c r="F651" s="2319"/>
      <c r="G651" s="2319"/>
      <c r="H651" s="2319"/>
      <c r="I651" s="2319"/>
      <c r="J651" s="2319"/>
      <c r="K651" s="2319"/>
      <c r="L651" s="2319"/>
      <c r="M651" s="2319"/>
      <c r="N651" s="2319"/>
      <c r="O651" s="2319"/>
      <c r="P651" s="2319"/>
      <c r="Q651" s="2320"/>
      <c r="S651" s="2899"/>
    </row>
    <row r="652" spans="1:19" ht="9" customHeight="1" x14ac:dyDescent="0.25">
      <c r="B652" s="2328"/>
      <c r="C652" s="264"/>
      <c r="D652" s="265"/>
      <c r="E652" s="266"/>
      <c r="F652" s="266"/>
      <c r="G652" s="266"/>
      <c r="H652" s="266"/>
      <c r="I652" s="266"/>
      <c r="J652" s="266"/>
      <c r="K652" s="266"/>
      <c r="L652" s="266"/>
      <c r="M652" s="266"/>
      <c r="N652" s="266"/>
      <c r="O652" s="266"/>
      <c r="P652" s="267"/>
      <c r="Q652" s="2320"/>
      <c r="S652" s="2899"/>
    </row>
    <row r="653" spans="1:19" ht="16.5" customHeight="1" x14ac:dyDescent="0.25">
      <c r="B653" s="2328"/>
      <c r="C653" s="3108" t="s">
        <v>1625</v>
      </c>
      <c r="D653" s="3109"/>
      <c r="E653" s="206" t="s">
        <v>16</v>
      </c>
      <c r="F653" s="351" t="s">
        <v>146</v>
      </c>
      <c r="G653" s="352"/>
      <c r="H653" s="353"/>
      <c r="I653" s="353"/>
      <c r="J653" s="353"/>
      <c r="K653" s="353"/>
      <c r="L653" s="353"/>
      <c r="M653" s="353"/>
      <c r="N653" s="353"/>
      <c r="O653" s="353"/>
      <c r="P653" s="272"/>
      <c r="Q653" s="2320"/>
      <c r="S653" s="2899"/>
    </row>
    <row r="654" spans="1:19" ht="16.5" customHeight="1" x14ac:dyDescent="0.25">
      <c r="B654" s="2328"/>
      <c r="C654" s="3096" t="s">
        <v>1562</v>
      </c>
      <c r="D654" s="3097"/>
      <c r="E654" s="203" t="s">
        <v>15</v>
      </c>
      <c r="F654" s="354" t="s">
        <v>147</v>
      </c>
      <c r="G654" s="355"/>
      <c r="H654" s="356"/>
      <c r="I654" s="356"/>
      <c r="J654" s="356"/>
      <c r="K654" s="356"/>
      <c r="L654" s="356"/>
      <c r="M654" s="356"/>
      <c r="N654" s="356"/>
      <c r="O654" s="356"/>
      <c r="P654" s="272"/>
      <c r="Q654" s="2320"/>
      <c r="S654" s="2899"/>
    </row>
    <row r="655" spans="1:19" ht="16.5" customHeight="1" x14ac:dyDescent="0.25">
      <c r="B655" s="2328"/>
      <c r="C655" s="308"/>
      <c r="D655" s="309"/>
      <c r="E655" s="199" t="s">
        <v>18</v>
      </c>
      <c r="F655" s="354" t="s">
        <v>148</v>
      </c>
      <c r="G655" s="355"/>
      <c r="H655" s="356"/>
      <c r="I655" s="356"/>
      <c r="J655" s="356"/>
      <c r="K655" s="356"/>
      <c r="L655" s="356"/>
      <c r="M655" s="356"/>
      <c r="N655" s="356"/>
      <c r="O655" s="356"/>
      <c r="P655" s="272"/>
      <c r="Q655" s="2320"/>
      <c r="S655" s="2899"/>
    </row>
    <row r="656" spans="1:19" ht="16.5" customHeight="1" x14ac:dyDescent="0.25">
      <c r="B656" s="2328"/>
      <c r="C656" s="308"/>
      <c r="D656" s="309"/>
      <c r="E656" s="196" t="s">
        <v>20</v>
      </c>
      <c r="F656" s="354" t="s">
        <v>1586</v>
      </c>
      <c r="G656" s="355"/>
      <c r="H656" s="356"/>
      <c r="I656" s="356"/>
      <c r="J656" s="356"/>
      <c r="K656" s="356"/>
      <c r="L656" s="356"/>
      <c r="M656" s="356"/>
      <c r="N656" s="356"/>
      <c r="O656" s="356"/>
      <c r="P656" s="272"/>
      <c r="Q656" s="2320"/>
      <c r="S656" s="2899"/>
    </row>
    <row r="657" spans="2:19" ht="16.5" customHeight="1" x14ac:dyDescent="0.25">
      <c r="B657" s="2328"/>
      <c r="C657" s="308"/>
      <c r="D657" s="309"/>
      <c r="E657" s="194" t="s">
        <v>22</v>
      </c>
      <c r="F657" s="354" t="s">
        <v>149</v>
      </c>
      <c r="G657" s="355"/>
      <c r="H657" s="356"/>
      <c r="I657" s="356"/>
      <c r="J657" s="356"/>
      <c r="K657" s="356"/>
      <c r="L657" s="356"/>
      <c r="M657" s="356"/>
      <c r="N657" s="356"/>
      <c r="O657" s="356"/>
      <c r="P657" s="272"/>
      <c r="Q657" s="2320"/>
      <c r="S657" s="2899"/>
    </row>
    <row r="658" spans="2:19" ht="9.75" customHeight="1" x14ac:dyDescent="0.25">
      <c r="B658" s="2328"/>
      <c r="C658" s="310"/>
      <c r="D658" s="311"/>
      <c r="E658" s="277"/>
      <c r="F658" s="345"/>
      <c r="G658" s="346"/>
      <c r="H658" s="277"/>
      <c r="I658" s="312"/>
      <c r="J658" s="312"/>
      <c r="K658" s="312"/>
      <c r="L658" s="312"/>
      <c r="M658" s="312"/>
      <c r="N658" s="312"/>
      <c r="O658" s="312"/>
      <c r="P658" s="313"/>
      <c r="Q658" s="2320"/>
      <c r="S658" s="2899"/>
    </row>
    <row r="659" spans="2:19" ht="18" customHeight="1" x14ac:dyDescent="0.25">
      <c r="B659" s="2328"/>
      <c r="C659" s="2351"/>
      <c r="D659" s="2351"/>
      <c r="E659" s="2319"/>
      <c r="F659" s="2319"/>
      <c r="G659" s="2319"/>
      <c r="H659" s="2319"/>
      <c r="I659" s="2319"/>
      <c r="J659" s="2319"/>
      <c r="K659" s="2319"/>
      <c r="L659" s="2319"/>
      <c r="M659" s="2319"/>
      <c r="N659" s="2319"/>
      <c r="O659" s="2319"/>
      <c r="P659" s="2319"/>
      <c r="Q659" s="2320"/>
      <c r="S659" s="2899"/>
    </row>
    <row r="660" spans="2:19" ht="16.5" customHeight="1" x14ac:dyDescent="0.25">
      <c r="B660" s="2328"/>
      <c r="C660" s="2358" t="s">
        <v>1632</v>
      </c>
      <c r="D660" s="2351"/>
      <c r="E660" s="2319"/>
      <c r="F660" s="2319"/>
      <c r="G660" s="2319"/>
      <c r="H660" s="2319"/>
      <c r="I660" s="2319"/>
      <c r="J660" s="2319"/>
      <c r="K660" s="2319"/>
      <c r="L660" s="2319"/>
      <c r="M660" s="2319"/>
      <c r="N660" s="2319"/>
      <c r="O660" s="2319"/>
      <c r="P660" s="2319"/>
      <c r="Q660" s="2320"/>
      <c r="S660" s="2899"/>
    </row>
    <row r="661" spans="2:19" ht="4.5" customHeight="1" x14ac:dyDescent="0.25">
      <c r="B661" s="2328"/>
      <c r="C661" s="2358"/>
      <c r="D661" s="2351"/>
      <c r="E661" s="2319"/>
      <c r="F661" s="2319"/>
      <c r="G661" s="2319"/>
      <c r="H661" s="2319"/>
      <c r="I661" s="2319"/>
      <c r="J661" s="2319"/>
      <c r="K661" s="2319"/>
      <c r="L661" s="2319"/>
      <c r="M661" s="2319"/>
      <c r="N661" s="2319"/>
      <c r="O661" s="2319"/>
      <c r="P661" s="2319"/>
      <c r="Q661" s="2320"/>
      <c r="S661" s="2899"/>
    </row>
    <row r="662" spans="2:19" ht="16.5" customHeight="1" x14ac:dyDescent="0.25">
      <c r="B662" s="2328"/>
      <c r="C662" s="2358" t="s">
        <v>1622</v>
      </c>
      <c r="D662" s="2351"/>
      <c r="E662" s="2319"/>
      <c r="F662" s="2319"/>
      <c r="G662" s="2319"/>
      <c r="H662" s="2319"/>
      <c r="I662" s="2319"/>
      <c r="J662" s="2319"/>
      <c r="K662" s="2319"/>
      <c r="L662" s="2146"/>
      <c r="M662" s="2319"/>
      <c r="N662" s="2146"/>
      <c r="O662" s="2319"/>
      <c r="P662" s="2319"/>
      <c r="Q662" s="2320"/>
      <c r="S662" s="2899"/>
    </row>
    <row r="663" spans="2:19" ht="19.5" customHeight="1" x14ac:dyDescent="0.25">
      <c r="B663" s="2328"/>
      <c r="C663" s="2366" t="s">
        <v>1623</v>
      </c>
      <c r="D663" s="2351"/>
      <c r="E663" s="2319"/>
      <c r="F663" s="2319"/>
      <c r="G663" s="2319"/>
      <c r="H663" s="2319"/>
      <c r="I663" s="2319"/>
      <c r="J663" s="2319"/>
      <c r="K663" s="2319"/>
      <c r="L663" s="2319"/>
      <c r="M663" s="2319"/>
      <c r="N663" s="2319"/>
      <c r="O663" s="2319"/>
      <c r="P663" s="2319"/>
      <c r="Q663" s="2320"/>
      <c r="S663" s="2899"/>
    </row>
    <row r="664" spans="2:19" ht="24" customHeight="1" x14ac:dyDescent="0.25">
      <c r="B664" s="2328"/>
      <c r="C664" s="2397" t="s">
        <v>1624</v>
      </c>
      <c r="D664" s="2351"/>
      <c r="E664" s="2319"/>
      <c r="F664" s="2319"/>
      <c r="G664" s="2319"/>
      <c r="H664" s="2319"/>
      <c r="I664" s="2319"/>
      <c r="J664" s="2319"/>
      <c r="K664" s="2319"/>
      <c r="L664" s="2319"/>
      <c r="M664" s="2319"/>
      <c r="N664" s="2319"/>
      <c r="O664" s="2319"/>
      <c r="P664" s="2319"/>
      <c r="Q664" s="2320"/>
      <c r="S664" s="2899"/>
    </row>
    <row r="665" spans="2:19" ht="17.25" customHeight="1" x14ac:dyDescent="0.25">
      <c r="B665" s="2328"/>
      <c r="C665" s="2351"/>
      <c r="D665" s="2351"/>
      <c r="E665" s="2319"/>
      <c r="F665" s="2319"/>
      <c r="G665" s="2319"/>
      <c r="H665" s="2319"/>
      <c r="I665" s="2319"/>
      <c r="J665" s="2319"/>
      <c r="K665" s="2319"/>
      <c r="L665" s="2319"/>
      <c r="M665" s="2319"/>
      <c r="N665" s="2319"/>
      <c r="O665" s="2319"/>
      <c r="P665" s="2319"/>
      <c r="Q665" s="2320"/>
      <c r="S665" s="2899"/>
    </row>
    <row r="666" spans="2:19" ht="22.5" customHeight="1" x14ac:dyDescent="0.25">
      <c r="B666" s="2328"/>
      <c r="C666" s="2146"/>
      <c r="D666" s="2146"/>
      <c r="E666" s="2146"/>
      <c r="F666" s="3080" t="s">
        <v>2057</v>
      </c>
      <c r="G666" s="3081"/>
      <c r="H666" s="3081"/>
      <c r="I666" s="3081"/>
      <c r="J666" s="3081"/>
      <c r="K666" s="3080" t="s">
        <v>2058</v>
      </c>
      <c r="L666" s="3081"/>
      <c r="M666" s="3081"/>
      <c r="N666" s="3081"/>
      <c r="O666" s="3081"/>
      <c r="P666" s="317"/>
      <c r="Q666" s="2320"/>
      <c r="S666" s="2899"/>
    </row>
    <row r="667" spans="2:19" ht="3" customHeight="1" x14ac:dyDescent="0.25">
      <c r="B667" s="2328"/>
      <c r="C667" s="2319"/>
      <c r="D667" s="2319"/>
      <c r="E667" s="2319"/>
      <c r="F667" s="2319"/>
      <c r="G667" s="2319"/>
      <c r="H667" s="2319"/>
      <c r="I667" s="2319"/>
      <c r="J667" s="2319"/>
      <c r="K667" s="2319"/>
      <c r="L667" s="2319"/>
      <c r="M667" s="2319"/>
      <c r="N667" s="2319"/>
      <c r="O667" s="2319"/>
      <c r="P667" s="2319"/>
      <c r="Q667" s="2320"/>
      <c r="S667" s="2899"/>
    </row>
    <row r="668" spans="2:19" ht="23.25" customHeight="1" x14ac:dyDescent="0.25">
      <c r="B668" s="2328"/>
      <c r="C668" s="3102" t="s">
        <v>90</v>
      </c>
      <c r="D668" s="3103"/>
      <c r="E668" s="3104"/>
      <c r="F668" s="3075" t="s">
        <v>1872</v>
      </c>
      <c r="G668" s="3076"/>
      <c r="H668" s="3077" t="s">
        <v>151</v>
      </c>
      <c r="I668" s="3077"/>
      <c r="J668" s="3077"/>
      <c r="K668" s="3075" t="s">
        <v>1872</v>
      </c>
      <c r="L668" s="3076"/>
      <c r="M668" s="3077" t="s">
        <v>151</v>
      </c>
      <c r="N668" s="3077"/>
      <c r="O668" s="3077"/>
      <c r="P668" s="348"/>
      <c r="Q668" s="2320"/>
      <c r="S668" s="2899"/>
    </row>
    <row r="669" spans="2:19" ht="29.25" customHeight="1" x14ac:dyDescent="0.25">
      <c r="B669" s="2328"/>
      <c r="C669" s="3105"/>
      <c r="D669" s="3106"/>
      <c r="E669" s="3107"/>
      <c r="F669" s="479" t="s">
        <v>300</v>
      </c>
      <c r="G669" s="349" t="s">
        <v>122</v>
      </c>
      <c r="H669" s="471" t="s">
        <v>299</v>
      </c>
      <c r="I669" s="3066" t="s">
        <v>301</v>
      </c>
      <c r="J669" s="3067"/>
      <c r="K669" s="479" t="s">
        <v>300</v>
      </c>
      <c r="L669" s="349" t="s">
        <v>122</v>
      </c>
      <c r="M669" s="471" t="s">
        <v>299</v>
      </c>
      <c r="N669" s="3066" t="s">
        <v>301</v>
      </c>
      <c r="O669" s="3110"/>
      <c r="P669" s="3067"/>
      <c r="Q669" s="2320"/>
      <c r="S669" s="2899"/>
    </row>
    <row r="670" spans="2:19" ht="21.75" customHeight="1" x14ac:dyDescent="0.25">
      <c r="B670" s="2364"/>
      <c r="C670" s="693" t="s">
        <v>91</v>
      </c>
      <c r="D670" s="598"/>
      <c r="E670" s="8" t="s">
        <v>1558</v>
      </c>
      <c r="F670" s="12" t="str">
        <f>IF(H670=1,"1- Débutant",IF(H670=2,"2- Élémentaire",IF(H670=3,"3- Intermédiaire",IF(H670=4,"4- Avancé",IF(H670=5,"5- Expert","")))))</f>
        <v/>
      </c>
      <c r="G670" s="13" t="str">
        <f>IF(OR(SUM(G671:G672)=0,H670=0),"",((SUM(G671:G672)/(2-I670)*2)*2))</f>
        <v/>
      </c>
      <c r="H670" s="536">
        <f>IF(I670=2,0,IF(I670=0,ROUNDDOWN(AVERAGE(G671:G672),0),ROUNDDOWN((SUM(G671:G672)/(2-I670)),0)))</f>
        <v>0</v>
      </c>
      <c r="I670" s="731">
        <f>COUNTIF(F671:F672,"Ne s'applique pas")</f>
        <v>0</v>
      </c>
      <c r="J670" s="18"/>
      <c r="K670" s="12" t="str">
        <f>IF(M670=1,"1- Débutant",IF(M670=2,"2- Élémentaire",IF(M670=3,"3- Intermédiaire",IF(M670=4,"4- Avancé",IF(M670=5,"5- Expert","")))))</f>
        <v/>
      </c>
      <c r="L670" s="13" t="str">
        <f>IF(OR(SUM(L671:L672)=0,M670=0),"",((SUM(L671:L672)/(2-N670)*2)*2))</f>
        <v/>
      </c>
      <c r="M670" s="536">
        <f>IF(N670=2,0,IF(N670=0,ROUNDDOWN(AVERAGE(L671:L672),0),ROUNDDOWN((SUM(L671:L672)/(2-N670)),0)))</f>
        <v>0</v>
      </c>
      <c r="N670" s="731">
        <f>COUNTIF(K671:K672,"Ne s'applique pas")</f>
        <v>0</v>
      </c>
      <c r="O670" s="3073"/>
      <c r="P670" s="3074"/>
      <c r="Q670" s="2320"/>
      <c r="S670" s="2899"/>
    </row>
    <row r="671" spans="2:19" ht="18" customHeight="1" x14ac:dyDescent="0.25">
      <c r="B671" s="2365" t="str">
        <f t="shared" ref="B671:B672" si="66">IF(OR(ISBLANK($L$74),ISBLANK(F671))=FALSE,"",IF(OR(ISBLANK(F671),ISBLANK(K671))=FALSE,"","u"))</f>
        <v>u</v>
      </c>
      <c r="C671" s="3063" t="s">
        <v>110</v>
      </c>
      <c r="D671" s="3064"/>
      <c r="E671" s="3065"/>
      <c r="F671" s="688"/>
      <c r="G671" s="14">
        <f>IF(F671=$E$653,1,IF(F671=$E$654,2,IF(F671=$E$655,3,IF(F671=$E$656,4,IF(F671=$E$657,5,0)))))</f>
        <v>0</v>
      </c>
      <c r="H671" s="687"/>
      <c r="I671" s="3051"/>
      <c r="J671" s="3052"/>
      <c r="K671" s="688"/>
      <c r="L671" s="14">
        <f>IF(K671=$E$653,1,IF(K671=$E$654,2,IF(K671=$E$655,3,IF(K671=$E$656,4,IF(K671=$E$657,5,0)))))</f>
        <v>0</v>
      </c>
      <c r="M671" s="687"/>
      <c r="N671" s="3051"/>
      <c r="O671" s="3070"/>
      <c r="P671" s="3052"/>
      <c r="Q671" s="2320"/>
      <c r="S671" s="2899"/>
    </row>
    <row r="672" spans="2:19" ht="18" customHeight="1" x14ac:dyDescent="0.25">
      <c r="B672" s="2365" t="str">
        <f t="shared" si="66"/>
        <v>u</v>
      </c>
      <c r="C672" s="3063" t="s">
        <v>111</v>
      </c>
      <c r="D672" s="3064"/>
      <c r="E672" s="3065"/>
      <c r="F672" s="688"/>
      <c r="G672" s="530">
        <f>IF(F672=$E$653,1,IF(F672=$E$654,2,IF(F672=$E$655,3,IF(F672=$E$656,4,IF(F672=$E$657,5,0)))))</f>
        <v>0</v>
      </c>
      <c r="H672" s="687"/>
      <c r="I672" s="3051"/>
      <c r="J672" s="3052"/>
      <c r="K672" s="688"/>
      <c r="L672" s="530">
        <f>IF(K672=$E$653,1,IF(K672=$E$654,2,IF(K672=$E$655,3,IF(K672=$E$656,4,IF(K672=$E$657,5,0)))))</f>
        <v>0</v>
      </c>
      <c r="M672" s="687"/>
      <c r="N672" s="3051"/>
      <c r="O672" s="3070"/>
      <c r="P672" s="3052"/>
      <c r="Q672" s="2320"/>
      <c r="S672" s="2899"/>
    </row>
    <row r="673" spans="2:19" ht="35.25" customHeight="1" x14ac:dyDescent="0.25">
      <c r="B673" s="2365"/>
      <c r="C673" s="3082" t="s">
        <v>1873</v>
      </c>
      <c r="D673" s="3083"/>
      <c r="E673" s="3084"/>
      <c r="F673" s="3053"/>
      <c r="G673" s="3054"/>
      <c r="H673" s="3054"/>
      <c r="I673" s="3054"/>
      <c r="J673" s="3054"/>
      <c r="K673" s="3053"/>
      <c r="L673" s="3054"/>
      <c r="M673" s="3054"/>
      <c r="N673" s="3054"/>
      <c r="O673" s="3054"/>
      <c r="P673" s="3055"/>
      <c r="Q673" s="2320"/>
      <c r="S673" s="2899"/>
    </row>
    <row r="674" spans="2:19" ht="21.75" customHeight="1" x14ac:dyDescent="0.25">
      <c r="B674" s="2364"/>
      <c r="C674" s="693" t="s">
        <v>98</v>
      </c>
      <c r="D674" s="334"/>
      <c r="E674" s="8" t="s">
        <v>1558</v>
      </c>
      <c r="F674" s="12" t="str">
        <f>IF(H674=1,"1- Débutant",IF(H674=2,"2- Élémentaire",IF(H674=3,"3- Intermédiaire",IF(H674=4,"4- Avancé",IF(H674=5,"5- Expert","")))))</f>
        <v/>
      </c>
      <c r="G674" s="13" t="str">
        <f>IF(SUM(G675:G676)=0,"",ROUNDDOWN(AVERAGE(G675:G676)/5*20,))</f>
        <v/>
      </c>
      <c r="H674" s="470">
        <f>ROUNDDOWN(AVERAGE(G675:G676),0)</f>
        <v>0</v>
      </c>
      <c r="I674" s="16"/>
      <c r="J674" s="18"/>
      <c r="K674" s="12" t="str">
        <f>IF(M674=1,"1- Débutant",IF(M674=2,"2- Élémentaire",IF(M674=3,"3- Intermédiaire",IF(M674=4,"4- Avancé",IF(M674=5,"5- Expert","")))))</f>
        <v/>
      </c>
      <c r="L674" s="13" t="str">
        <f>IF(SUM(L675:L676)=0,"",ROUNDDOWN(AVERAGE(L675:L676)/5*20,))</f>
        <v/>
      </c>
      <c r="M674" s="470">
        <f>ROUNDDOWN(AVERAGE(L675:L676),0)</f>
        <v>0</v>
      </c>
      <c r="N674" s="16"/>
      <c r="O674" s="3073"/>
      <c r="P674" s="3074"/>
      <c r="Q674" s="2320"/>
      <c r="S674" s="2899"/>
    </row>
    <row r="675" spans="2:19" ht="18" customHeight="1" x14ac:dyDescent="0.25">
      <c r="B675" s="2365" t="str">
        <f t="shared" ref="B675:B676" si="67">IF(OR(ISBLANK($L$74),ISBLANK(F675))=FALSE,"",IF(OR(ISBLANK(F675),ISBLANK(K675))=FALSE,"","u"))</f>
        <v>u</v>
      </c>
      <c r="C675" s="3063" t="s">
        <v>1779</v>
      </c>
      <c r="D675" s="3064"/>
      <c r="E675" s="3065"/>
      <c r="F675" s="688"/>
      <c r="G675" s="14">
        <f>IF(F675=$E$653,1,IF(F675=$E$654,2,IF(F675=$E$655,3,IF(F675=$E$656,4,IF(F675=$E$657,5,0)))))</f>
        <v>0</v>
      </c>
      <c r="H675" s="687"/>
      <c r="I675" s="3051"/>
      <c r="J675" s="3052"/>
      <c r="K675" s="688"/>
      <c r="L675" s="14">
        <f>IF(K675=$E$653,1,IF(K675=$E$654,2,IF(K675=$E$655,3,IF(K675=$E$656,4,IF(K675=$E$657,5,0)))))</f>
        <v>0</v>
      </c>
      <c r="M675" s="687"/>
      <c r="N675" s="3051"/>
      <c r="O675" s="3070"/>
      <c r="P675" s="3052"/>
      <c r="Q675" s="2320"/>
      <c r="S675" s="2899"/>
    </row>
    <row r="676" spans="2:19" ht="18" customHeight="1" x14ac:dyDescent="0.25">
      <c r="B676" s="2365" t="str">
        <f t="shared" si="67"/>
        <v>u</v>
      </c>
      <c r="C676" s="3063" t="s">
        <v>1780</v>
      </c>
      <c r="D676" s="3064"/>
      <c r="E676" s="3065"/>
      <c r="F676" s="688"/>
      <c r="G676" s="14">
        <f>IF(F676=$E$653,1,IF(F676=$E$654,2,IF(F676=$E$655,3,IF(F676=$E$656,4,IF(F676=$E$657,5,0)))))</f>
        <v>0</v>
      </c>
      <c r="H676" s="687"/>
      <c r="I676" s="3051"/>
      <c r="J676" s="3052"/>
      <c r="K676" s="688"/>
      <c r="L676" s="14">
        <f>IF(K676=$E$653,1,IF(K676=$E$654,2,IF(K676=$E$655,3,IF(K676=$E$656,4,IF(K676=$E$657,5,0)))))</f>
        <v>0</v>
      </c>
      <c r="M676" s="687"/>
      <c r="N676" s="3051"/>
      <c r="O676" s="3070"/>
      <c r="P676" s="3052"/>
      <c r="Q676" s="2320"/>
      <c r="S676" s="2899"/>
    </row>
    <row r="677" spans="2:19" ht="35.25" customHeight="1" x14ac:dyDescent="0.25">
      <c r="B677" s="2365"/>
      <c r="C677" s="3082" t="s">
        <v>1873</v>
      </c>
      <c r="D677" s="3083"/>
      <c r="E677" s="3084"/>
      <c r="F677" s="3053"/>
      <c r="G677" s="3054"/>
      <c r="H677" s="3054"/>
      <c r="I677" s="3054"/>
      <c r="J677" s="3054"/>
      <c r="K677" s="3053"/>
      <c r="L677" s="3054"/>
      <c r="M677" s="3054"/>
      <c r="N677" s="3054"/>
      <c r="O677" s="3054"/>
      <c r="P677" s="3055"/>
      <c r="Q677" s="2320"/>
      <c r="S677" s="2899"/>
    </row>
    <row r="678" spans="2:19" ht="21.75" customHeight="1" x14ac:dyDescent="0.25">
      <c r="B678" s="2364"/>
      <c r="C678" s="693" t="s">
        <v>34</v>
      </c>
      <c r="D678" s="334"/>
      <c r="E678" s="8" t="s">
        <v>136</v>
      </c>
      <c r="F678" s="12" t="str">
        <f>IF(H678=1,"1- Débutant",IF(H678=2,"2- Élémentaire",IF(H678=3,"3- Intermédiaire",IF(H678=4,"4- Avancé",IF(H678=5,"5- Expert","")))))</f>
        <v/>
      </c>
      <c r="G678" s="13" t="str">
        <f>IF(G679=0,"",G679*2)</f>
        <v/>
      </c>
      <c r="H678" s="470">
        <f>ROUNDDOWN(AVERAGE(G679),0)</f>
        <v>0</v>
      </c>
      <c r="I678" s="16"/>
      <c r="J678" s="18"/>
      <c r="K678" s="12" t="str">
        <f>IF(M678=1,"1- Débutant",IF(M678=2,"2- Élémentaire",IF(M678=3,"3- Intermédiaire",IF(M678=4,"4- Avancé",IF(M678=5,"5- Expert","")))))</f>
        <v/>
      </c>
      <c r="L678" s="13" t="str">
        <f>IF(L679=0,"",L679*2)</f>
        <v/>
      </c>
      <c r="M678" s="470">
        <f>ROUNDDOWN(AVERAGE(L679),0)</f>
        <v>0</v>
      </c>
      <c r="N678" s="16"/>
      <c r="O678" s="3073"/>
      <c r="P678" s="3074"/>
      <c r="Q678" s="2320"/>
      <c r="S678" s="2899"/>
    </row>
    <row r="679" spans="2:19" ht="18" customHeight="1" x14ac:dyDescent="0.25">
      <c r="B679" s="2365" t="str">
        <f>IF(OR(ISBLANK($L$74),ISBLANK(F679))=FALSE,"",IF(OR(ISBLANK(F679),ISBLANK(K679))=FALSE,"","u"))</f>
        <v>u</v>
      </c>
      <c r="C679" s="3063" t="s">
        <v>113</v>
      </c>
      <c r="D679" s="3064"/>
      <c r="E679" s="3065"/>
      <c r="F679" s="688"/>
      <c r="G679" s="530">
        <f>IF(F679=$E$653,1,IF(F679=$E$654,2,IF(F679=$E$655,3,IF(F679=$E$656,4,IF(F679=$E$657,5,0)))))</f>
        <v>0</v>
      </c>
      <c r="H679" s="687"/>
      <c r="I679" s="3051"/>
      <c r="J679" s="3052"/>
      <c r="K679" s="688"/>
      <c r="L679" s="530">
        <f>IF(K679=$E$653,1,IF(K679=$E$654,2,IF(K679=$E$655,3,IF(K679=$E$656,4,IF(K679=$E$657,5,0)))))</f>
        <v>0</v>
      </c>
      <c r="M679" s="687"/>
      <c r="N679" s="3051"/>
      <c r="O679" s="3070"/>
      <c r="P679" s="3052"/>
      <c r="Q679" s="2320"/>
      <c r="S679" s="2899"/>
    </row>
    <row r="680" spans="2:19" ht="35.25" customHeight="1" x14ac:dyDescent="0.25">
      <c r="B680" s="2365"/>
      <c r="C680" s="3082" t="s">
        <v>1873</v>
      </c>
      <c r="D680" s="3083"/>
      <c r="E680" s="3084"/>
      <c r="F680" s="3053"/>
      <c r="G680" s="3054"/>
      <c r="H680" s="3054"/>
      <c r="I680" s="3054"/>
      <c r="J680" s="3054"/>
      <c r="K680" s="3053"/>
      <c r="L680" s="3054"/>
      <c r="M680" s="3054"/>
      <c r="N680" s="3054"/>
      <c r="O680" s="3054"/>
      <c r="P680" s="3055"/>
      <c r="Q680" s="2320"/>
      <c r="S680" s="2899"/>
    </row>
    <row r="681" spans="2:19" ht="21.75" customHeight="1" x14ac:dyDescent="0.25">
      <c r="B681" s="2364"/>
      <c r="C681" s="693" t="s">
        <v>99</v>
      </c>
      <c r="D681" s="334"/>
      <c r="E681" s="8" t="s">
        <v>136</v>
      </c>
      <c r="F681" s="12" t="str">
        <f>IF(H681=1,"1- Débutant",IF(H681=2,"2- Élémentaire",IF(H681=3,"3- Intermédiaire",IF(H681=4,"4- Avancé",IF(H681=5,"5- Expert","")))))</f>
        <v/>
      </c>
      <c r="G681" s="13" t="str">
        <f>IF(G682=0,"",G682*2)</f>
        <v/>
      </c>
      <c r="H681" s="470">
        <f>ROUNDDOWN(AVERAGE(G682),0)</f>
        <v>0</v>
      </c>
      <c r="I681" s="16"/>
      <c r="J681" s="18"/>
      <c r="K681" s="12" t="str">
        <f>IF(M681=1,"1- Débutant",IF(M681=2,"2- Élémentaire",IF(M681=3,"3- Intermédiaire",IF(M681=4,"4- Avancé",IF(M681=5,"5- Expert","")))))</f>
        <v/>
      </c>
      <c r="L681" s="13" t="str">
        <f>IF(L682=0,"",L682*2)</f>
        <v/>
      </c>
      <c r="M681" s="470">
        <f>ROUNDDOWN(AVERAGE(L682),0)</f>
        <v>0</v>
      </c>
      <c r="N681" s="16"/>
      <c r="O681" s="3073"/>
      <c r="P681" s="3074"/>
      <c r="Q681" s="2320"/>
      <c r="S681" s="2899"/>
    </row>
    <row r="682" spans="2:19" ht="18" customHeight="1" x14ac:dyDescent="0.25">
      <c r="B682" s="2365" t="str">
        <f>IF(OR(ISBLANK($L$74),ISBLANK(F682))=FALSE,"",IF(OR(ISBLANK(F682),ISBLANK(K682))=FALSE,"","u"))</f>
        <v>u</v>
      </c>
      <c r="C682" s="3063" t="s">
        <v>112</v>
      </c>
      <c r="D682" s="3064"/>
      <c r="E682" s="3065"/>
      <c r="F682" s="688"/>
      <c r="G682" s="530">
        <f>IF(F682=$E$653,1,IF(F682=$E$654,2,IF(F682=$E$655,3,IF(F682=$E$656,4,IF(F682=$E$657,5,0)))))</f>
        <v>0</v>
      </c>
      <c r="H682" s="687"/>
      <c r="I682" s="3051"/>
      <c r="J682" s="3052"/>
      <c r="K682" s="688"/>
      <c r="L682" s="530">
        <f>IF(K682=$E$653,1,IF(K682=$E$654,2,IF(K682=$E$655,3,IF(K682=$E$656,4,IF(K682=$E$657,5,0)))))</f>
        <v>0</v>
      </c>
      <c r="M682" s="687"/>
      <c r="N682" s="3051"/>
      <c r="O682" s="3070"/>
      <c r="P682" s="3052"/>
      <c r="Q682" s="2320"/>
      <c r="S682" s="2899"/>
    </row>
    <row r="683" spans="2:19" ht="35.25" customHeight="1" x14ac:dyDescent="0.25">
      <c r="B683" s="2365"/>
      <c r="C683" s="3082" t="s">
        <v>1873</v>
      </c>
      <c r="D683" s="3083"/>
      <c r="E683" s="3084"/>
      <c r="F683" s="3053"/>
      <c r="G683" s="3054"/>
      <c r="H683" s="3054"/>
      <c r="I683" s="3054"/>
      <c r="J683" s="3054"/>
      <c r="K683" s="3053"/>
      <c r="L683" s="3054"/>
      <c r="M683" s="3054"/>
      <c r="N683" s="3054"/>
      <c r="O683" s="3054"/>
      <c r="P683" s="3055"/>
      <c r="Q683" s="2320"/>
      <c r="S683" s="2899"/>
    </row>
    <row r="684" spans="2:19" ht="21.75" customHeight="1" x14ac:dyDescent="0.25">
      <c r="B684" s="2364"/>
      <c r="C684" s="693" t="s">
        <v>100</v>
      </c>
      <c r="D684" s="695"/>
      <c r="E684" s="8" t="s">
        <v>136</v>
      </c>
      <c r="F684" s="12" t="str">
        <f>IF(H684=1,"1- Débutant",IF(H684=2,"2- Élémentaire",IF(H684=3,"3- Intermédiaire",IF(H684=4,"4- Avancé",IF(H684=5,"5- Expert","")))))</f>
        <v/>
      </c>
      <c r="G684" s="13" t="str">
        <f>IF(SUM(G685:G686)=0,"",SUM(G685:G686))</f>
        <v/>
      </c>
      <c r="H684" s="470">
        <f>ROUNDDOWN(AVERAGE(G685:G686),0)</f>
        <v>0</v>
      </c>
      <c r="I684" s="16"/>
      <c r="J684" s="18"/>
      <c r="K684" s="12" t="str">
        <f>IF(M684=1,"1- Débutant",IF(M684=2,"2- Élémentaire",IF(M684=3,"3- Intermédiaire",IF(M684=4,"4- Avancé",IF(M684=5,"5- Expert","")))))</f>
        <v/>
      </c>
      <c r="L684" s="13" t="str">
        <f>IF(SUM(L685:L686)=0,"",SUM(L685:L686))</f>
        <v/>
      </c>
      <c r="M684" s="470">
        <f>ROUNDDOWN(AVERAGE(L685:L686),0)</f>
        <v>0</v>
      </c>
      <c r="N684" s="16"/>
      <c r="O684" s="3073"/>
      <c r="P684" s="3074"/>
      <c r="Q684" s="2320"/>
      <c r="S684" s="2899"/>
    </row>
    <row r="685" spans="2:19" ht="18" customHeight="1" x14ac:dyDescent="0.25">
      <c r="B685" s="2365" t="str">
        <f t="shared" ref="B685:B686" si="68">IF(OR(ISBLANK($L$74),ISBLANK(F685))=FALSE,"",IF(OR(ISBLANK(F685),ISBLANK(K685))=FALSE,"","u"))</f>
        <v>u</v>
      </c>
      <c r="C685" s="3063" t="s">
        <v>114</v>
      </c>
      <c r="D685" s="3064"/>
      <c r="E685" s="3065"/>
      <c r="F685" s="688"/>
      <c r="G685" s="14">
        <f>IF(F685=$E$653,1,IF(F685=$E$654,2,IF(F685=$E$655,3,IF(F685=$E$656,4,IF(F685=$E$657,5,0)))))</f>
        <v>0</v>
      </c>
      <c r="H685" s="687"/>
      <c r="I685" s="3051"/>
      <c r="J685" s="3052"/>
      <c r="K685" s="688"/>
      <c r="L685" s="14">
        <f>IF(K685=$E$653,1,IF(K685=$E$654,2,IF(K685=$E$655,3,IF(K685=$E$656,4,IF(K685=$E$657,5,0)))))</f>
        <v>0</v>
      </c>
      <c r="M685" s="687"/>
      <c r="N685" s="3051"/>
      <c r="O685" s="3070"/>
      <c r="P685" s="3052"/>
      <c r="Q685" s="2320"/>
      <c r="S685" s="2899"/>
    </row>
    <row r="686" spans="2:19" ht="18" customHeight="1" x14ac:dyDescent="0.25">
      <c r="B686" s="2365" t="str">
        <f t="shared" si="68"/>
        <v>u</v>
      </c>
      <c r="C686" s="3063" t="s">
        <v>115</v>
      </c>
      <c r="D686" s="3064"/>
      <c r="E686" s="3065"/>
      <c r="F686" s="688"/>
      <c r="G686" s="530">
        <f>IF(F686=$E$653,1,IF(F686=$E$654,2,IF(F686=$E$655,3,IF(F686=$E$656,4,IF(F686=$E$657,5,0)))))</f>
        <v>0</v>
      </c>
      <c r="H686" s="687"/>
      <c r="I686" s="3051"/>
      <c r="J686" s="3052"/>
      <c r="K686" s="688"/>
      <c r="L686" s="530">
        <f>IF(K686=$E$653,1,IF(K686=$E$654,2,IF(K686=$E$655,3,IF(K686=$E$656,4,IF(K686=$E$657,5,0)))))</f>
        <v>0</v>
      </c>
      <c r="M686" s="687"/>
      <c r="N686" s="3051"/>
      <c r="O686" s="3070"/>
      <c r="P686" s="3052"/>
      <c r="Q686" s="2320"/>
      <c r="S686" s="2899"/>
    </row>
    <row r="687" spans="2:19" ht="35.25" customHeight="1" x14ac:dyDescent="0.25">
      <c r="B687" s="2365"/>
      <c r="C687" s="3082" t="s">
        <v>1873</v>
      </c>
      <c r="D687" s="3083"/>
      <c r="E687" s="3084"/>
      <c r="F687" s="3053"/>
      <c r="G687" s="3054"/>
      <c r="H687" s="3054"/>
      <c r="I687" s="3054"/>
      <c r="J687" s="3054"/>
      <c r="K687" s="3053"/>
      <c r="L687" s="3054"/>
      <c r="M687" s="3054"/>
      <c r="N687" s="3054"/>
      <c r="O687" s="3054"/>
      <c r="P687" s="3055"/>
      <c r="Q687" s="2320"/>
      <c r="S687" s="2899"/>
    </row>
    <row r="688" spans="2:19" ht="21.75" customHeight="1" x14ac:dyDescent="0.25">
      <c r="B688" s="2364"/>
      <c r="C688" s="693" t="s">
        <v>104</v>
      </c>
      <c r="D688" s="695"/>
      <c r="E688" s="8" t="s">
        <v>136</v>
      </c>
      <c r="F688" s="12" t="str">
        <f>IF(H688=1,"1- Débutant",IF(H688=2,"2- Élémentaire",IF(H688=3,"3- Intermédiaire",IF(H688=4,"4- Avancé",IF(H688=5,"5- Expert","")))))</f>
        <v/>
      </c>
      <c r="G688" s="13" t="str">
        <f>IF(SUM(G689:G690)=0,"",SUM(G689:G690))</f>
        <v/>
      </c>
      <c r="H688" s="470">
        <f>ROUNDDOWN(AVERAGE(G689:G690),0)</f>
        <v>0</v>
      </c>
      <c r="I688" s="16"/>
      <c r="J688" s="18"/>
      <c r="K688" s="12" t="str">
        <f>IF(M688=1,"1- Débutant",IF(M688=2,"2- Élémentaire",IF(M688=3,"3- Intermédiaire",IF(M688=4,"4- Avancé",IF(M688=5,"5- Expert","")))))</f>
        <v/>
      </c>
      <c r="L688" s="13" t="str">
        <f>IF(SUM(L689:L690)=0,"",SUM(L689:L690))</f>
        <v/>
      </c>
      <c r="M688" s="470">
        <f>ROUNDDOWN(AVERAGE(L689:L690),0)</f>
        <v>0</v>
      </c>
      <c r="N688" s="16"/>
      <c r="O688" s="3073"/>
      <c r="P688" s="3074"/>
      <c r="Q688" s="2320"/>
      <c r="S688" s="2899"/>
    </row>
    <row r="689" spans="2:19" ht="18" customHeight="1" x14ac:dyDescent="0.25">
      <c r="B689" s="2365" t="str">
        <f t="shared" ref="B689:B690" si="69">IF(OR(ISBLANK($L$74),ISBLANK(F689))=FALSE,"",IF(OR(ISBLANK(F689),ISBLANK(K689))=FALSE,"","u"))</f>
        <v>u</v>
      </c>
      <c r="C689" s="3063" t="s">
        <v>116</v>
      </c>
      <c r="D689" s="3064"/>
      <c r="E689" s="3065"/>
      <c r="F689" s="688"/>
      <c r="G689" s="14">
        <f>IF(F689=$E$653,1,IF(F689=$E$654,2,IF(F689=$E$655,3,IF(F689=$E$656,4,IF(F689=$E$657,5,0)))))</f>
        <v>0</v>
      </c>
      <c r="H689" s="687"/>
      <c r="I689" s="3051"/>
      <c r="J689" s="3052"/>
      <c r="K689" s="688"/>
      <c r="L689" s="14">
        <f>IF(K689=$E$653,1,IF(K689=$E$654,2,IF(K689=$E$655,3,IF(K689=$E$656,4,IF(K689=$E$657,5,0)))))</f>
        <v>0</v>
      </c>
      <c r="M689" s="687"/>
      <c r="N689" s="3051"/>
      <c r="O689" s="3070"/>
      <c r="P689" s="3052"/>
      <c r="Q689" s="2320"/>
      <c r="S689" s="2899"/>
    </row>
    <row r="690" spans="2:19" ht="18" customHeight="1" x14ac:dyDescent="0.25">
      <c r="B690" s="2365" t="str">
        <f t="shared" si="69"/>
        <v>u</v>
      </c>
      <c r="C690" s="3063" t="s">
        <v>117</v>
      </c>
      <c r="D690" s="3064"/>
      <c r="E690" s="3065"/>
      <c r="F690" s="688"/>
      <c r="G690" s="530">
        <f>IF(F690=$E$653,1,IF(F690=$E$654,2,IF(F690=$E$655,3,IF(F690=$E$656,4,IF(F690=$E$657,5,0)))))</f>
        <v>0</v>
      </c>
      <c r="H690" s="687"/>
      <c r="I690" s="3051"/>
      <c r="J690" s="3052"/>
      <c r="K690" s="688"/>
      <c r="L690" s="530">
        <f>IF(K690=$E$653,1,IF(K690=$E$654,2,IF(K690=$E$655,3,IF(K690=$E$656,4,IF(K690=$E$657,5,0)))))</f>
        <v>0</v>
      </c>
      <c r="M690" s="687"/>
      <c r="N690" s="3051"/>
      <c r="O690" s="3070"/>
      <c r="P690" s="3052"/>
      <c r="Q690" s="2320"/>
      <c r="S690" s="2899"/>
    </row>
    <row r="691" spans="2:19" ht="35.25" customHeight="1" x14ac:dyDescent="0.25">
      <c r="B691" s="2365"/>
      <c r="C691" s="3082" t="s">
        <v>1873</v>
      </c>
      <c r="D691" s="3083"/>
      <c r="E691" s="3084"/>
      <c r="F691" s="3053"/>
      <c r="G691" s="3054"/>
      <c r="H691" s="3054"/>
      <c r="I691" s="3054"/>
      <c r="J691" s="3054"/>
      <c r="K691" s="3053"/>
      <c r="L691" s="3054"/>
      <c r="M691" s="3054"/>
      <c r="N691" s="3054"/>
      <c r="O691" s="3054"/>
      <c r="P691" s="3055"/>
      <c r="Q691" s="2320"/>
      <c r="S691" s="2899"/>
    </row>
    <row r="692" spans="2:19" ht="21.75" customHeight="1" x14ac:dyDescent="0.25">
      <c r="B692" s="2364"/>
      <c r="C692" s="694" t="s">
        <v>106</v>
      </c>
      <c r="D692" s="334"/>
      <c r="E692" s="8" t="s">
        <v>138</v>
      </c>
      <c r="F692" s="12" t="str">
        <f>IF(H692=1,"1- Débutant",IF(H692=2,"2- Élémentaire",IF(H692=3,"3- Intermédiaire",IF(H692=4,"4- Avancé",IF(H692=5,"5- Expert","")))))</f>
        <v/>
      </c>
      <c r="G692" s="13" t="str">
        <f>IF(SUM(G693:G695)=0,"",SUM(G693:G695))</f>
        <v/>
      </c>
      <c r="H692" s="470">
        <f>ROUNDDOWN(AVERAGE(G693:G695),0)</f>
        <v>0</v>
      </c>
      <c r="I692" s="16"/>
      <c r="J692" s="18"/>
      <c r="K692" s="12" t="str">
        <f>IF(M692=1,"1- Débutant",IF(M692=2,"2- Élémentaire",IF(M692=3,"3- Intermédiaire",IF(M692=4,"4- Avancé",IF(M692=5,"5- Expert","")))))</f>
        <v/>
      </c>
      <c r="L692" s="13" t="str">
        <f>IF(SUM(L693:L695)=0,"",SUM(L693:L695))</f>
        <v/>
      </c>
      <c r="M692" s="470">
        <f>ROUNDDOWN(AVERAGE(L693:L695),0)</f>
        <v>0</v>
      </c>
      <c r="N692" s="16"/>
      <c r="O692" s="3073"/>
      <c r="P692" s="3074"/>
      <c r="Q692" s="2320"/>
      <c r="S692" s="2899"/>
    </row>
    <row r="693" spans="2:19" ht="18" customHeight="1" x14ac:dyDescent="0.25">
      <c r="B693" s="2365" t="str">
        <f t="shared" ref="B693:B695" si="70">IF(OR(ISBLANK($L$74),ISBLANK(F693))=FALSE,"",IF(OR(ISBLANK(F693),ISBLANK(K693))=FALSE,"","u"))</f>
        <v>u</v>
      </c>
      <c r="C693" s="3063" t="s">
        <v>118</v>
      </c>
      <c r="D693" s="3064"/>
      <c r="E693" s="3065"/>
      <c r="F693" s="688"/>
      <c r="G693" s="14">
        <f>IF(F693=$E$653,1,IF(F693=$E$654,2,IF(F693=$E$655,3,IF(F693=$E$656,4,IF(F693=$E$657,5,0)))))</f>
        <v>0</v>
      </c>
      <c r="H693" s="687"/>
      <c r="I693" s="3051"/>
      <c r="J693" s="3052"/>
      <c r="K693" s="688"/>
      <c r="L693" s="14">
        <f>IF(K693=$E$653,1,IF(K693=$E$654,2,IF(K693=$E$655,3,IF(K693=$E$656,4,IF(K693=$E$657,5,0)))))</f>
        <v>0</v>
      </c>
      <c r="M693" s="687"/>
      <c r="N693" s="3051"/>
      <c r="O693" s="3070"/>
      <c r="P693" s="3052"/>
      <c r="Q693" s="2320"/>
      <c r="S693" s="2899"/>
    </row>
    <row r="694" spans="2:19" ht="17.25" customHeight="1" x14ac:dyDescent="0.25">
      <c r="B694" s="2365" t="str">
        <f t="shared" si="70"/>
        <v>u</v>
      </c>
      <c r="C694" s="3063" t="s">
        <v>119</v>
      </c>
      <c r="D694" s="3064"/>
      <c r="E694" s="3065"/>
      <c r="F694" s="688"/>
      <c r="G694" s="14">
        <f>IF(F694=$E$653,1,IF(F694=$E$654,2,IF(F694=$E$655,3,IF(F694=$E$656,4,IF(F694=$E$657,5,0)))))</f>
        <v>0</v>
      </c>
      <c r="H694" s="687"/>
      <c r="I694" s="3051"/>
      <c r="J694" s="3052"/>
      <c r="K694" s="688"/>
      <c r="L694" s="14">
        <f>IF(K694=$E$653,1,IF(K694=$E$654,2,IF(K694=$E$655,3,IF(K694=$E$656,4,IF(K694=$E$657,5,0)))))</f>
        <v>0</v>
      </c>
      <c r="M694" s="687"/>
      <c r="N694" s="3051"/>
      <c r="O694" s="3070"/>
      <c r="P694" s="3052"/>
      <c r="Q694" s="2320"/>
      <c r="S694" s="2899"/>
    </row>
    <row r="695" spans="2:19" ht="18" customHeight="1" x14ac:dyDescent="0.25">
      <c r="B695" s="2365" t="str">
        <f t="shared" si="70"/>
        <v>u</v>
      </c>
      <c r="C695" s="3063" t="s">
        <v>120</v>
      </c>
      <c r="D695" s="3064"/>
      <c r="E695" s="3065"/>
      <c r="F695" s="688"/>
      <c r="G695" s="530">
        <f>IF(F695=$E$653,1,IF(F695=$E$654,2,IF(F695=$E$655,3,IF(F695=$E$656,4,IF(F695=$E$657,5,0)))))</f>
        <v>0</v>
      </c>
      <c r="H695" s="687"/>
      <c r="I695" s="3051"/>
      <c r="J695" s="3052"/>
      <c r="K695" s="688"/>
      <c r="L695" s="530">
        <f>IF(K695=$E$653,1,IF(K695=$E$654,2,IF(K695=$E$655,3,IF(K695=$E$656,4,IF(K695=$E$657,5,0)))))</f>
        <v>0</v>
      </c>
      <c r="M695" s="687"/>
      <c r="N695" s="3051"/>
      <c r="O695" s="3070"/>
      <c r="P695" s="3052"/>
      <c r="Q695" s="2320"/>
      <c r="S695" s="2899"/>
    </row>
    <row r="696" spans="2:19" ht="35.25" customHeight="1" x14ac:dyDescent="0.25">
      <c r="B696" s="2365"/>
      <c r="C696" s="3082" t="s">
        <v>1873</v>
      </c>
      <c r="D696" s="3083"/>
      <c r="E696" s="3084"/>
      <c r="F696" s="3053"/>
      <c r="G696" s="3054"/>
      <c r="H696" s="3054"/>
      <c r="I696" s="3054"/>
      <c r="J696" s="3054"/>
      <c r="K696" s="3053"/>
      <c r="L696" s="3054"/>
      <c r="M696" s="3054"/>
      <c r="N696" s="3054"/>
      <c r="O696" s="3054"/>
      <c r="P696" s="3055"/>
      <c r="Q696" s="2320"/>
      <c r="S696" s="2899"/>
    </row>
    <row r="697" spans="2:19" ht="21.75" customHeight="1" x14ac:dyDescent="0.25">
      <c r="B697" s="2364"/>
      <c r="C697" s="693" t="s">
        <v>1559</v>
      </c>
      <c r="D697" s="334"/>
      <c r="E697" s="8" t="s">
        <v>137</v>
      </c>
      <c r="F697" s="12" t="str">
        <f>IF(H697=1,"1- Débutant",IF(H697=2,"2- Élémentaire",IF(H697=3,"3- Intermédiaire",IF(H697=4,"4- Avancé",IF(H697=5,"5- Expert","")))))</f>
        <v/>
      </c>
      <c r="G697" s="13" t="str">
        <f>IF(G698=0,"",G698)</f>
        <v/>
      </c>
      <c r="H697" s="470">
        <f>ROUNDDOWN(AVERAGE(G698),0)</f>
        <v>0</v>
      </c>
      <c r="I697" s="16"/>
      <c r="J697" s="18"/>
      <c r="K697" s="12" t="str">
        <f>IF(M697=1,"1- Débutant",IF(M697=2,"2- Élémentaire",IF(M697=3,"3- Intermédiaire",IF(M697=4,"4- Avancé",IF(M697=5,"5- Expert","")))))</f>
        <v/>
      </c>
      <c r="L697" s="13" t="str">
        <f>IF(L698=0,"",L698)</f>
        <v/>
      </c>
      <c r="M697" s="470">
        <f>ROUNDDOWN(AVERAGE(L698),0)</f>
        <v>0</v>
      </c>
      <c r="N697" s="16"/>
      <c r="O697" s="3073"/>
      <c r="P697" s="3074"/>
      <c r="Q697" s="2320"/>
      <c r="S697" s="2899"/>
    </row>
    <row r="698" spans="2:19" ht="18" customHeight="1" x14ac:dyDescent="0.25">
      <c r="B698" s="2365" t="str">
        <f>IF(OR(ISBLANK($L$74),ISBLANK(F698))=FALSE,"",IF(OR(ISBLANK(F698),ISBLANK(K698))=FALSE,"","u"))</f>
        <v>u</v>
      </c>
      <c r="C698" s="3260" t="s">
        <v>1560</v>
      </c>
      <c r="D698" s="3261"/>
      <c r="E698" s="3262"/>
      <c r="F698" s="688"/>
      <c r="G698" s="530">
        <f>IF(F698=$E$653,1,IF(F698=$E$654,2,IF(F698=$E$655,3,IF(F698=$E$656,4,IF(F698=$E$657,5,0)))))</f>
        <v>0</v>
      </c>
      <c r="H698" s="687"/>
      <c r="I698" s="3051"/>
      <c r="J698" s="3052"/>
      <c r="K698" s="688"/>
      <c r="L698" s="530">
        <f>IF(K698=$E$653,1,IF(K698=$E$654,2,IF(K698=$E$655,3,IF(K698=$E$656,4,IF(K698=$E$657,5,0)))))</f>
        <v>0</v>
      </c>
      <c r="M698" s="687"/>
      <c r="N698" s="3051"/>
      <c r="O698" s="3070"/>
      <c r="P698" s="3052"/>
      <c r="Q698" s="2320"/>
      <c r="S698" s="2899"/>
    </row>
    <row r="699" spans="2:19" ht="35.25" customHeight="1" x14ac:dyDescent="0.25">
      <c r="B699" s="2365"/>
      <c r="C699" s="3082" t="s">
        <v>1873</v>
      </c>
      <c r="D699" s="3083"/>
      <c r="E699" s="3084"/>
      <c r="F699" s="3053"/>
      <c r="G699" s="3054"/>
      <c r="H699" s="3054"/>
      <c r="I699" s="3054"/>
      <c r="J699" s="3054"/>
      <c r="K699" s="3053"/>
      <c r="L699" s="3054"/>
      <c r="M699" s="3054"/>
      <c r="N699" s="3054"/>
      <c r="O699" s="3054"/>
      <c r="P699" s="3055"/>
      <c r="Q699" s="2320"/>
      <c r="S699" s="2899"/>
    </row>
    <row r="700" spans="2:19" ht="22.5" customHeight="1" x14ac:dyDescent="0.25">
      <c r="B700" s="2328"/>
      <c r="C700" s="668"/>
      <c r="D700" s="350"/>
      <c r="E700" s="9" t="s">
        <v>150</v>
      </c>
      <c r="F700" s="20" t="str">
        <f>IF(H700=1,"1- Débutant",IF(H700=2,"2- Élémentaire",IF(H700=3,"3- Intermédiaire",IF(H700=4,"4- Avancé",IF(H700=5,"5- Expert","")))))</f>
        <v/>
      </c>
      <c r="G700" s="417" t="str">
        <f>IF(ISERR(G674+G678+G681+G684+G688+G692+G697)=TRUE,"",IF((G670=""),((G674+G678+G681+G684+G688+G692+G697)/80*100),(G670+G674+G678+G681+G684+G688+G692+G697)))</f>
        <v/>
      </c>
      <c r="H700" s="640">
        <f>ROUNDDOWN(AVERAGE(H670,H674,H678,H681,H684,H688,H692,H697),0)</f>
        <v>0</v>
      </c>
      <c r="I700" s="17"/>
      <c r="J700" s="17"/>
      <c r="K700" s="20" t="str">
        <f>IF(M700=1,"1- Débutant",IF(M700=2,"2- Élémentaire",IF(M700=3,"3- Intermédiaire",IF(M700=4,"4- Avancé",IF(M700=5,"5- Expert","")))))</f>
        <v/>
      </c>
      <c r="L700" s="417" t="str">
        <f>IF(ISERR(L674+L678+L681+L684+L688+L692+L697)=TRUE,"",IF((L670=""),((L674+L678+L681+L684+L688+L692+L697)/80*100),(L670+L674+L678+L681+L684+L688+L692+L697)))</f>
        <v/>
      </c>
      <c r="M700" s="640">
        <f>ROUNDDOWN(AVERAGE(M670,M674,M678,M681,M684,M688,M692,M697),0)</f>
        <v>0</v>
      </c>
      <c r="N700" s="17"/>
      <c r="O700" s="3078"/>
      <c r="P700" s="3079"/>
      <c r="Q700" s="2320"/>
      <c r="S700" s="2899"/>
    </row>
    <row r="701" spans="2:19" ht="23.25" customHeight="1" x14ac:dyDescent="0.25">
      <c r="B701" s="2328"/>
      <c r="C701" s="2319"/>
      <c r="D701" s="2359"/>
      <c r="E701" s="2359"/>
      <c r="F701" s="2359"/>
      <c r="G701" s="2359"/>
      <c r="H701" s="2359"/>
      <c r="I701" s="2360"/>
      <c r="J701" s="2361"/>
      <c r="K701" s="2361"/>
      <c r="L701" s="2361"/>
      <c r="M701" s="2361"/>
      <c r="N701" s="2361"/>
      <c r="O701" s="2361"/>
      <c r="P701" s="2361"/>
      <c r="Q701" s="2320"/>
      <c r="S701" s="2899"/>
    </row>
    <row r="702" spans="2:19" ht="18" customHeight="1" x14ac:dyDescent="0.25">
      <c r="B702" s="2328"/>
      <c r="C702" s="2362" t="s">
        <v>1573</v>
      </c>
      <c r="D702" s="2359"/>
      <c r="E702" s="2359"/>
      <c r="F702" s="2359"/>
      <c r="G702" s="2146"/>
      <c r="H702" s="3416" t="s">
        <v>1525</v>
      </c>
      <c r="I702" s="3416"/>
      <c r="J702" s="2146"/>
      <c r="K702" s="2146"/>
      <c r="L702" s="2361"/>
      <c r="M702" s="2361"/>
      <c r="N702" s="2361"/>
      <c r="O702" s="2361"/>
      <c r="P702" s="2361"/>
      <c r="Q702" s="2320"/>
      <c r="S702" s="2899"/>
    </row>
    <row r="703" spans="2:19" ht="19.5" customHeight="1" thickBot="1" x14ac:dyDescent="0.3">
      <c r="B703" s="2329"/>
      <c r="C703" s="2334"/>
      <c r="D703" s="2334"/>
      <c r="E703" s="2334"/>
      <c r="F703" s="2363"/>
      <c r="G703" s="2363"/>
      <c r="H703" s="2334"/>
      <c r="I703" s="2363"/>
      <c r="J703" s="2363"/>
      <c r="K703" s="2334"/>
      <c r="L703" s="2363"/>
      <c r="M703" s="2334"/>
      <c r="N703" s="2363"/>
      <c r="O703" s="2363"/>
      <c r="P703" s="2363"/>
      <c r="Q703" s="2335"/>
      <c r="S703" s="2904"/>
    </row>
    <row r="704" spans="2:19" ht="16.5" customHeight="1" thickBot="1" x14ac:dyDescent="0.3">
      <c r="S704" s="627"/>
    </row>
    <row r="705" spans="1:19" ht="22.5" customHeight="1" thickBot="1" x14ac:dyDescent="0.3">
      <c r="A705" s="1225"/>
      <c r="B705" s="2134" t="s">
        <v>1436</v>
      </c>
      <c r="C705" s="2134"/>
      <c r="D705" s="2134"/>
      <c r="E705" s="2134"/>
      <c r="F705" s="2134"/>
      <c r="G705" s="2134"/>
      <c r="H705" s="2134"/>
      <c r="I705" s="2134"/>
      <c r="J705" s="2134"/>
      <c r="K705" s="2134"/>
      <c r="L705" s="2339"/>
      <c r="M705" s="2339"/>
      <c r="N705" s="2339"/>
      <c r="O705" s="3435" t="s">
        <v>1641</v>
      </c>
      <c r="P705" s="3435"/>
      <c r="Q705" s="3435"/>
      <c r="S705" s="628" t="s">
        <v>1537</v>
      </c>
    </row>
    <row r="706" spans="1:19" ht="9.75" customHeight="1" thickBot="1" x14ac:dyDescent="0.3">
      <c r="S706" s="629"/>
    </row>
    <row r="707" spans="1:19" ht="8.25" customHeight="1" x14ac:dyDescent="0.25">
      <c r="B707" s="2340"/>
      <c r="C707" s="2341"/>
      <c r="D707" s="2341"/>
      <c r="E707" s="2342"/>
      <c r="F707" s="2343"/>
      <c r="G707" s="2343"/>
      <c r="H707" s="2343"/>
      <c r="I707" s="2343"/>
      <c r="J707" s="2343"/>
      <c r="K707" s="2343"/>
      <c r="L707" s="2343"/>
      <c r="M707" s="2343"/>
      <c r="N707" s="2343"/>
      <c r="O707" s="2343"/>
      <c r="P707" s="2343"/>
      <c r="Q707" s="2344"/>
      <c r="S707" s="2903"/>
    </row>
    <row r="708" spans="1:19" ht="18" customHeight="1" x14ac:dyDescent="0.25">
      <c r="B708" s="2345"/>
      <c r="C708" s="2346" t="s">
        <v>2072</v>
      </c>
      <c r="D708" s="2346"/>
      <c r="E708" s="2347"/>
      <c r="F708" s="2348"/>
      <c r="G708" s="2348"/>
      <c r="H708" s="2348"/>
      <c r="I708" s="2348"/>
      <c r="J708" s="2348"/>
      <c r="K708" s="2348"/>
      <c r="L708" s="2348"/>
      <c r="M708" s="2348"/>
      <c r="N708" s="2146"/>
      <c r="O708" s="2146"/>
      <c r="P708" s="2348"/>
      <c r="Q708" s="2349"/>
      <c r="S708" s="2901"/>
    </row>
    <row r="709" spans="1:19" ht="9.75" customHeight="1" x14ac:dyDescent="0.25">
      <c r="B709" s="2345"/>
      <c r="C709" s="2347"/>
      <c r="D709" s="2347"/>
      <c r="E709" s="2347"/>
      <c r="F709" s="2348"/>
      <c r="G709" s="2348"/>
      <c r="H709" s="2348"/>
      <c r="I709" s="2348"/>
      <c r="J709" s="2348"/>
      <c r="K709" s="2348"/>
      <c r="L709" s="2348"/>
      <c r="M709" s="2348"/>
      <c r="N709" s="2348"/>
      <c r="O709" s="2348"/>
      <c r="P709" s="2348"/>
      <c r="Q709" s="2349"/>
      <c r="S709" s="2901"/>
    </row>
    <row r="710" spans="1:19" ht="18" customHeight="1" x14ac:dyDescent="0.25">
      <c r="B710" s="2328"/>
      <c r="C710" s="2350" t="s">
        <v>2073</v>
      </c>
      <c r="D710" s="2351"/>
      <c r="E710" s="2319"/>
      <c r="F710" s="2319"/>
      <c r="G710" s="2319"/>
      <c r="H710" s="2319"/>
      <c r="I710" s="2319"/>
      <c r="J710" s="2319"/>
      <c r="K710" s="2319"/>
      <c r="L710" s="2319"/>
      <c r="M710" s="2319"/>
      <c r="N710" s="2319"/>
      <c r="O710" s="2319"/>
      <c r="P710" s="2319"/>
      <c r="Q710" s="2320"/>
      <c r="S710" s="2901"/>
    </row>
    <row r="711" spans="1:19" ht="19.5" customHeight="1" x14ac:dyDescent="0.25">
      <c r="B711" s="2328"/>
      <c r="C711" s="2352" t="s">
        <v>1633</v>
      </c>
      <c r="D711" s="2351"/>
      <c r="E711" s="2319"/>
      <c r="F711" s="2319"/>
      <c r="G711" s="2319"/>
      <c r="H711" s="2319"/>
      <c r="I711" s="2319"/>
      <c r="J711" s="2319"/>
      <c r="K711" s="2319"/>
      <c r="L711" s="2319"/>
      <c r="M711" s="2319"/>
      <c r="N711" s="2319"/>
      <c r="O711" s="2319"/>
      <c r="P711" s="2319"/>
      <c r="Q711" s="2320"/>
      <c r="S711" s="2901"/>
    </row>
    <row r="712" spans="1:19" ht="15.75" customHeight="1" x14ac:dyDescent="0.25">
      <c r="B712" s="2328"/>
      <c r="C712" s="2353" t="s">
        <v>1637</v>
      </c>
      <c r="D712" s="2351"/>
      <c r="E712" s="2319"/>
      <c r="F712" s="2319"/>
      <c r="G712" s="2319"/>
      <c r="H712" s="2319"/>
      <c r="I712" s="2319"/>
      <c r="J712" s="2319"/>
      <c r="K712" s="2319"/>
      <c r="L712" s="2319"/>
      <c r="M712" s="2319"/>
      <c r="N712" s="2319"/>
      <c r="O712" s="2319"/>
      <c r="P712" s="2319"/>
      <c r="Q712" s="2320"/>
      <c r="S712" s="2901"/>
    </row>
    <row r="713" spans="1:19" ht="9" customHeight="1" x14ac:dyDescent="0.25">
      <c r="B713" s="2328"/>
      <c r="C713" s="2354"/>
      <c r="D713" s="2351"/>
      <c r="E713" s="2319"/>
      <c r="F713" s="2319"/>
      <c r="G713" s="2319"/>
      <c r="H713" s="2319"/>
      <c r="I713" s="2319"/>
      <c r="J713" s="2319"/>
      <c r="K713" s="2319"/>
      <c r="L713" s="2319"/>
      <c r="M713" s="2319"/>
      <c r="N713" s="2319"/>
      <c r="O713" s="2319"/>
      <c r="P713" s="2319"/>
      <c r="Q713" s="2320"/>
      <c r="S713" s="2901"/>
    </row>
    <row r="714" spans="1:19" ht="18" customHeight="1" x14ac:dyDescent="0.25">
      <c r="B714" s="2328"/>
      <c r="C714" s="2350" t="s">
        <v>2074</v>
      </c>
      <c r="D714" s="2351"/>
      <c r="E714" s="2319"/>
      <c r="F714" s="2319"/>
      <c r="G714" s="2319"/>
      <c r="H714" s="2319"/>
      <c r="I714" s="2319"/>
      <c r="J714" s="2319"/>
      <c r="K714" s="2319"/>
      <c r="L714" s="2319"/>
      <c r="M714" s="2319"/>
      <c r="N714" s="2319"/>
      <c r="O714" s="2319"/>
      <c r="P714" s="2319"/>
      <c r="Q714" s="2320"/>
      <c r="S714" s="2901"/>
    </row>
    <row r="715" spans="1:19" ht="6" customHeight="1" x14ac:dyDescent="0.25">
      <c r="B715" s="2328"/>
      <c r="C715" s="2350"/>
      <c r="D715" s="2351"/>
      <c r="E715" s="2319"/>
      <c r="F715" s="2319"/>
      <c r="G715" s="2319"/>
      <c r="H715" s="2319"/>
      <c r="I715" s="2319"/>
      <c r="J715" s="2319"/>
      <c r="K715" s="2319"/>
      <c r="L715" s="2319"/>
      <c r="M715" s="2319"/>
      <c r="N715" s="2319"/>
      <c r="O715" s="2319"/>
      <c r="P715" s="2319"/>
      <c r="Q715" s="2320"/>
      <c r="S715" s="2901"/>
    </row>
    <row r="716" spans="1:19" ht="59.25" customHeight="1" x14ac:dyDescent="0.25">
      <c r="B716" s="2355" t="str">
        <f>IF(ISBLANK(C716)=FALSE,"","w")</f>
        <v>w</v>
      </c>
      <c r="C716" s="3056"/>
      <c r="D716" s="3057"/>
      <c r="E716" s="3057"/>
      <c r="F716" s="3057"/>
      <c r="G716" s="3057"/>
      <c r="H716" s="3057"/>
      <c r="I716" s="3057"/>
      <c r="J716" s="3057"/>
      <c r="K716" s="3057"/>
      <c r="L716" s="3057"/>
      <c r="M716" s="3057"/>
      <c r="N716" s="3057"/>
      <c r="O716" s="3058"/>
      <c r="P716" s="2319"/>
      <c r="Q716" s="2320"/>
      <c r="S716" s="2901"/>
    </row>
    <row r="717" spans="1:19" ht="18.75" customHeight="1" thickBot="1" x14ac:dyDescent="0.3">
      <c r="B717" s="2329"/>
      <c r="C717" s="2356"/>
      <c r="D717" s="2357"/>
      <c r="E717" s="2334"/>
      <c r="F717" s="2334"/>
      <c r="G717" s="2334"/>
      <c r="H717" s="2334"/>
      <c r="I717" s="2334"/>
      <c r="J717" s="2334"/>
      <c r="K717" s="2334"/>
      <c r="L717" s="2334"/>
      <c r="M717" s="2334"/>
      <c r="N717" s="2334"/>
      <c r="O717" s="2334"/>
      <c r="P717" s="2334"/>
      <c r="Q717" s="2335"/>
      <c r="S717" s="2901"/>
    </row>
    <row r="718" spans="1:19" ht="9.75" customHeight="1" thickBot="1" x14ac:dyDescent="0.3">
      <c r="S718" s="2901"/>
    </row>
    <row r="719" spans="1:19" ht="8.25" customHeight="1" x14ac:dyDescent="0.25">
      <c r="B719" s="2340"/>
      <c r="C719" s="2341"/>
      <c r="D719" s="2341"/>
      <c r="E719" s="2342"/>
      <c r="F719" s="2343"/>
      <c r="G719" s="2343"/>
      <c r="H719" s="2343"/>
      <c r="I719" s="2343"/>
      <c r="J719" s="2343"/>
      <c r="K719" s="2343"/>
      <c r="L719" s="2343"/>
      <c r="M719" s="2343"/>
      <c r="N719" s="2343"/>
      <c r="O719" s="2343"/>
      <c r="P719" s="2343"/>
      <c r="Q719" s="2344"/>
      <c r="S719" s="2901"/>
    </row>
    <row r="720" spans="1:19" ht="18" customHeight="1" x14ac:dyDescent="0.25">
      <c r="B720" s="2345"/>
      <c r="C720" s="2346" t="s">
        <v>1635</v>
      </c>
      <c r="D720" s="2346"/>
      <c r="E720" s="2347"/>
      <c r="F720" s="2348"/>
      <c r="G720" s="2348"/>
      <c r="H720" s="2348"/>
      <c r="I720" s="2348"/>
      <c r="J720" s="2348"/>
      <c r="K720" s="2348"/>
      <c r="L720" s="2348"/>
      <c r="M720" s="2348"/>
      <c r="N720" s="2146"/>
      <c r="O720" s="2146"/>
      <c r="P720" s="2348"/>
      <c r="Q720" s="2349"/>
      <c r="S720" s="2901"/>
    </row>
    <row r="721" spans="2:19" ht="9.75" customHeight="1" x14ac:dyDescent="0.25">
      <c r="B721" s="2345"/>
      <c r="C721" s="2347"/>
      <c r="D721" s="2347"/>
      <c r="E721" s="2347"/>
      <c r="F721" s="2348"/>
      <c r="G721" s="2348"/>
      <c r="H721" s="2348"/>
      <c r="I721" s="2348"/>
      <c r="J721" s="2348"/>
      <c r="K721" s="2348"/>
      <c r="L721" s="2348"/>
      <c r="M721" s="2348"/>
      <c r="N721" s="2348"/>
      <c r="O721" s="2348"/>
      <c r="P721" s="2348"/>
      <c r="Q721" s="2349"/>
      <c r="S721" s="2901"/>
    </row>
    <row r="722" spans="2:19" ht="18" customHeight="1" x14ac:dyDescent="0.25">
      <c r="B722" s="2328"/>
      <c r="C722" s="2350" t="s">
        <v>2075</v>
      </c>
      <c r="D722" s="2351"/>
      <c r="E722" s="2319"/>
      <c r="F722" s="2319"/>
      <c r="G722" s="2319"/>
      <c r="H722" s="2319"/>
      <c r="I722" s="2319"/>
      <c r="J722" s="2319"/>
      <c r="K722" s="2319"/>
      <c r="L722" s="2319"/>
      <c r="M722" s="2319"/>
      <c r="N722" s="2319"/>
      <c r="O722" s="2319"/>
      <c r="P722" s="2319"/>
      <c r="Q722" s="2320"/>
      <c r="S722" s="2901"/>
    </row>
    <row r="723" spans="2:19" ht="19.5" customHeight="1" x14ac:dyDescent="0.25">
      <c r="B723" s="2328"/>
      <c r="C723" s="2352" t="s">
        <v>2076</v>
      </c>
      <c r="D723" s="2351"/>
      <c r="E723" s="2319"/>
      <c r="F723" s="2319"/>
      <c r="G723" s="2319"/>
      <c r="H723" s="2319"/>
      <c r="I723" s="2319"/>
      <c r="J723" s="2319"/>
      <c r="K723" s="2319"/>
      <c r="L723" s="2319"/>
      <c r="M723" s="2319"/>
      <c r="N723" s="2319"/>
      <c r="O723" s="2319"/>
      <c r="P723" s="2319"/>
      <c r="Q723" s="2320"/>
      <c r="S723" s="2901"/>
    </row>
    <row r="724" spans="2:19" ht="15.75" customHeight="1" x14ac:dyDescent="0.25">
      <c r="B724" s="2328"/>
      <c r="C724" s="2353" t="s">
        <v>1638</v>
      </c>
      <c r="D724" s="2351"/>
      <c r="E724" s="2319"/>
      <c r="F724" s="2319"/>
      <c r="G724" s="2319"/>
      <c r="H724" s="2319"/>
      <c r="I724" s="2319"/>
      <c r="J724" s="2319"/>
      <c r="K724" s="2319"/>
      <c r="L724" s="2319"/>
      <c r="M724" s="2319"/>
      <c r="N724" s="2319"/>
      <c r="O724" s="2319"/>
      <c r="P724" s="2319"/>
      <c r="Q724" s="2320"/>
      <c r="S724" s="2901"/>
    </row>
    <row r="725" spans="2:19" ht="9" customHeight="1" x14ac:dyDescent="0.25">
      <c r="B725" s="2328"/>
      <c r="C725" s="2354"/>
      <c r="D725" s="2351"/>
      <c r="E725" s="2319"/>
      <c r="F725" s="2319"/>
      <c r="G725" s="2319"/>
      <c r="H725" s="2319"/>
      <c r="I725" s="2319"/>
      <c r="J725" s="2319"/>
      <c r="K725" s="2319"/>
      <c r="L725" s="2319"/>
      <c r="M725" s="2319"/>
      <c r="N725" s="2319"/>
      <c r="O725" s="2319"/>
      <c r="P725" s="2319"/>
      <c r="Q725" s="2320"/>
      <c r="S725" s="2901"/>
    </row>
    <row r="726" spans="2:19" ht="18" customHeight="1" x14ac:dyDescent="0.25">
      <c r="B726" s="2328"/>
      <c r="C726" s="2358" t="s">
        <v>2146</v>
      </c>
      <c r="D726" s="2351"/>
      <c r="E726" s="2319"/>
      <c r="F726" s="2319"/>
      <c r="G726" s="2319"/>
      <c r="H726" s="2319"/>
      <c r="I726" s="2319"/>
      <c r="J726" s="2319"/>
      <c r="K726" s="2319"/>
      <c r="L726" s="2319"/>
      <c r="M726" s="2319"/>
      <c r="N726" s="2319"/>
      <c r="O726" s="2319"/>
      <c r="P726" s="2319"/>
      <c r="Q726" s="2320"/>
      <c r="S726" s="2901"/>
    </row>
    <row r="727" spans="2:19" ht="6" customHeight="1" x14ac:dyDescent="0.25">
      <c r="B727" s="2328"/>
      <c r="C727" s="2350"/>
      <c r="D727" s="2351"/>
      <c r="E727" s="2319"/>
      <c r="F727" s="2319"/>
      <c r="G727" s="2319"/>
      <c r="H727" s="2319"/>
      <c r="I727" s="2319"/>
      <c r="J727" s="2319"/>
      <c r="K727" s="2319"/>
      <c r="L727" s="2319"/>
      <c r="M727" s="2319"/>
      <c r="N727" s="2319"/>
      <c r="O727" s="2319"/>
      <c r="P727" s="2319"/>
      <c r="Q727" s="2320"/>
      <c r="S727" s="2901"/>
    </row>
    <row r="728" spans="2:19" ht="29.25" customHeight="1" x14ac:dyDescent="0.25">
      <c r="B728" s="2355" t="str">
        <f>IF(ISBLANK(C728)=FALSE,"","w")</f>
        <v>w</v>
      </c>
      <c r="C728" s="3056"/>
      <c r="D728" s="3057"/>
      <c r="E728" s="3057"/>
      <c r="F728" s="3057"/>
      <c r="G728" s="3057"/>
      <c r="H728" s="3057"/>
      <c r="I728" s="3057"/>
      <c r="J728" s="3057"/>
      <c r="K728" s="3057"/>
      <c r="L728" s="3057"/>
      <c r="M728" s="3057"/>
      <c r="N728" s="3057"/>
      <c r="O728" s="3058"/>
      <c r="P728" s="2319"/>
      <c r="Q728" s="2320"/>
      <c r="S728" s="2901"/>
    </row>
    <row r="729" spans="2:19" ht="15.75" thickBot="1" x14ac:dyDescent="0.3">
      <c r="B729" s="2329"/>
      <c r="C729" s="2356"/>
      <c r="D729" s="2357"/>
      <c r="E729" s="2334"/>
      <c r="F729" s="2334"/>
      <c r="G729" s="2334"/>
      <c r="H729" s="2334"/>
      <c r="I729" s="2334"/>
      <c r="J729" s="2334"/>
      <c r="K729" s="2334"/>
      <c r="L729" s="2334"/>
      <c r="M729" s="2334"/>
      <c r="N729" s="2334"/>
      <c r="O729" s="2334"/>
      <c r="P729" s="2334"/>
      <c r="Q729" s="2335"/>
      <c r="S729" s="2902"/>
    </row>
  </sheetData>
  <sheetProtection password="C518" sheet="1" objects="1" scenarios="1"/>
  <mergeCells count="809">
    <mergeCell ref="O176:Q176"/>
    <mergeCell ref="O248:Q248"/>
    <mergeCell ref="O292:Q292"/>
    <mergeCell ref="O335:Q335"/>
    <mergeCell ref="O504:Q504"/>
    <mergeCell ref="O577:Q577"/>
    <mergeCell ref="O643:Q643"/>
    <mergeCell ref="O705:Q705"/>
    <mergeCell ref="S2:S3"/>
    <mergeCell ref="S5:S19"/>
    <mergeCell ref="S117:S124"/>
    <mergeCell ref="S134:S142"/>
    <mergeCell ref="M162:O162"/>
    <mergeCell ref="M161:O161"/>
    <mergeCell ref="S143:S155"/>
    <mergeCell ref="S167:S174"/>
    <mergeCell ref="S156:S166"/>
    <mergeCell ref="L202:O202"/>
    <mergeCell ref="L201:O201"/>
    <mergeCell ref="S250:S263"/>
    <mergeCell ref="C253:M253"/>
    <mergeCell ref="C258:G259"/>
    <mergeCell ref="H258:K259"/>
    <mergeCell ref="L258:O258"/>
    <mergeCell ref="H6:I6"/>
    <mergeCell ref="J6:K6"/>
    <mergeCell ref="L6:M6"/>
    <mergeCell ref="N6:O6"/>
    <mergeCell ref="M3:Q3"/>
    <mergeCell ref="J36:K36"/>
    <mergeCell ref="N36:O36"/>
    <mergeCell ref="S23:S42"/>
    <mergeCell ref="N38:O38"/>
    <mergeCell ref="O21:Q21"/>
    <mergeCell ref="D30:F30"/>
    <mergeCell ref="H30:K30"/>
    <mergeCell ref="M30:O30"/>
    <mergeCell ref="D40:E40"/>
    <mergeCell ref="F40:G40"/>
    <mergeCell ref="H40:I40"/>
    <mergeCell ref="J40:K40"/>
    <mergeCell ref="N40:O40"/>
    <mergeCell ref="C34:C36"/>
    <mergeCell ref="D35:E35"/>
    <mergeCell ref="F35:G35"/>
    <mergeCell ref="H35:I35"/>
    <mergeCell ref="J35:K35"/>
    <mergeCell ref="N35:O35"/>
    <mergeCell ref="D39:E39"/>
    <mergeCell ref="F39:G39"/>
    <mergeCell ref="H39:I39"/>
    <mergeCell ref="J39:K39"/>
    <mergeCell ref="N39:O39"/>
    <mergeCell ref="N37:O37"/>
    <mergeCell ref="D38:E38"/>
    <mergeCell ref="F38:G38"/>
    <mergeCell ref="H38:I38"/>
    <mergeCell ref="J38:K38"/>
    <mergeCell ref="D37:E37"/>
    <mergeCell ref="F37:G37"/>
    <mergeCell ref="H37:I37"/>
    <mergeCell ref="J37:K37"/>
    <mergeCell ref="D36:E36"/>
    <mergeCell ref="F36:G36"/>
    <mergeCell ref="H36:I36"/>
    <mergeCell ref="S78:S85"/>
    <mergeCell ref="C79:C85"/>
    <mergeCell ref="D80:G81"/>
    <mergeCell ref="H81:M81"/>
    <mergeCell ref="H82:M82"/>
    <mergeCell ref="F84:G84"/>
    <mergeCell ref="H84:M84"/>
    <mergeCell ref="C57:D57"/>
    <mergeCell ref="E57:F57"/>
    <mergeCell ref="E58:F58"/>
    <mergeCell ref="E59:F59"/>
    <mergeCell ref="E60:F60"/>
    <mergeCell ref="S66:S77"/>
    <mergeCell ref="C69:M69"/>
    <mergeCell ref="C74:D74"/>
    <mergeCell ref="S43:S62"/>
    <mergeCell ref="C55:D55"/>
    <mergeCell ref="E55:F55"/>
    <mergeCell ref="G55:H57"/>
    <mergeCell ref="I55:O60"/>
    <mergeCell ref="C72:K73"/>
    <mergeCell ref="L72:O72"/>
    <mergeCell ref="M73:O73"/>
    <mergeCell ref="L74:P76"/>
    <mergeCell ref="S95:S103"/>
    <mergeCell ref="J96:L96"/>
    <mergeCell ref="M96:O96"/>
    <mergeCell ref="H98:I99"/>
    <mergeCell ref="H102:I102"/>
    <mergeCell ref="J102:O102"/>
    <mergeCell ref="S86:S94"/>
    <mergeCell ref="J87:L87"/>
    <mergeCell ref="M87:O87"/>
    <mergeCell ref="H89:I90"/>
    <mergeCell ref="H93:I93"/>
    <mergeCell ref="J93:O93"/>
    <mergeCell ref="O64:Q64"/>
    <mergeCell ref="C118:C124"/>
    <mergeCell ref="D119:G120"/>
    <mergeCell ref="H120:M120"/>
    <mergeCell ref="H121:M121"/>
    <mergeCell ref="F123:G123"/>
    <mergeCell ref="H123:M123"/>
    <mergeCell ref="S104:S116"/>
    <mergeCell ref="J105:L105"/>
    <mergeCell ref="M105:O105"/>
    <mergeCell ref="E106:O106"/>
    <mergeCell ref="H108:I108"/>
    <mergeCell ref="J108:O108"/>
    <mergeCell ref="H110:I110"/>
    <mergeCell ref="J110:O110"/>
    <mergeCell ref="H114:I114"/>
    <mergeCell ref="J114:O114"/>
    <mergeCell ref="J135:L135"/>
    <mergeCell ref="M135:O135"/>
    <mergeCell ref="H137:I138"/>
    <mergeCell ref="H141:I141"/>
    <mergeCell ref="J141:O141"/>
    <mergeCell ref="S125:S133"/>
    <mergeCell ref="J126:L126"/>
    <mergeCell ref="M126:O126"/>
    <mergeCell ref="H128:I129"/>
    <mergeCell ref="H132:I132"/>
    <mergeCell ref="J132:O132"/>
    <mergeCell ref="J144:L144"/>
    <mergeCell ref="M144:O144"/>
    <mergeCell ref="E145:O145"/>
    <mergeCell ref="H147:I147"/>
    <mergeCell ref="J147:O147"/>
    <mergeCell ref="H149:I149"/>
    <mergeCell ref="J149:O149"/>
    <mergeCell ref="H153:I153"/>
    <mergeCell ref="J153:O153"/>
    <mergeCell ref="G164:H164"/>
    <mergeCell ref="M163:O163"/>
    <mergeCell ref="D160:E162"/>
    <mergeCell ref="G160:H160"/>
    <mergeCell ref="I160:J160"/>
    <mergeCell ref="K160:L160"/>
    <mergeCell ref="M160:O160"/>
    <mergeCell ref="G161:H161"/>
    <mergeCell ref="I161:J161"/>
    <mergeCell ref="K161:L161"/>
    <mergeCell ref="I164:J164"/>
    <mergeCell ref="K164:L164"/>
    <mergeCell ref="M164:O164"/>
    <mergeCell ref="I159:J159"/>
    <mergeCell ref="G162:H162"/>
    <mergeCell ref="I162:J162"/>
    <mergeCell ref="K162:L162"/>
    <mergeCell ref="S178:S191"/>
    <mergeCell ref="C181:M181"/>
    <mergeCell ref="C186:G187"/>
    <mergeCell ref="H186:K187"/>
    <mergeCell ref="L187:O188"/>
    <mergeCell ref="F189:G189"/>
    <mergeCell ref="H189:O189"/>
    <mergeCell ref="E169:H169"/>
    <mergeCell ref="J169:P169"/>
    <mergeCell ref="D171:H171"/>
    <mergeCell ref="J171:P171"/>
    <mergeCell ref="H173:I173"/>
    <mergeCell ref="D163:E165"/>
    <mergeCell ref="G163:H163"/>
    <mergeCell ref="I163:J163"/>
    <mergeCell ref="K163:L163"/>
    <mergeCell ref="G165:H165"/>
    <mergeCell ref="I165:J165"/>
    <mergeCell ref="K165:L165"/>
    <mergeCell ref="M165:O165"/>
    <mergeCell ref="D199:E199"/>
    <mergeCell ref="F199:G199"/>
    <mergeCell ref="C192:F192"/>
    <mergeCell ref="C195:P195"/>
    <mergeCell ref="C196:P196"/>
    <mergeCell ref="D198:E198"/>
    <mergeCell ref="F198:G198"/>
    <mergeCell ref="H198:I198"/>
    <mergeCell ref="J198:K198"/>
    <mergeCell ref="H199:I199"/>
    <mergeCell ref="J199:K199"/>
    <mergeCell ref="L199:O199"/>
    <mergeCell ref="D200:E200"/>
    <mergeCell ref="F200:G200"/>
    <mergeCell ref="H200:I200"/>
    <mergeCell ref="J200:K200"/>
    <mergeCell ref="L200:O200"/>
    <mergeCell ref="C212:F212"/>
    <mergeCell ref="S212:S219"/>
    <mergeCell ref="C215:P215"/>
    <mergeCell ref="C216:P216"/>
    <mergeCell ref="D219:E219"/>
    <mergeCell ref="I219:J219"/>
    <mergeCell ref="M219:O219"/>
    <mergeCell ref="D203:E203"/>
    <mergeCell ref="F203:G203"/>
    <mergeCell ref="H203:I203"/>
    <mergeCell ref="J203:K203"/>
    <mergeCell ref="L203:O203"/>
    <mergeCell ref="C205:E205"/>
    <mergeCell ref="F205:O205"/>
    <mergeCell ref="S192:S211"/>
    <mergeCell ref="D201:E201"/>
    <mergeCell ref="F201:G201"/>
    <mergeCell ref="H201:I201"/>
    <mergeCell ref="J201:K201"/>
    <mergeCell ref="D202:E202"/>
    <mergeCell ref="F202:G202"/>
    <mergeCell ref="H202:I202"/>
    <mergeCell ref="J202:K202"/>
    <mergeCell ref="D223:E223"/>
    <mergeCell ref="I223:J223"/>
    <mergeCell ref="M223:O223"/>
    <mergeCell ref="D224:E224"/>
    <mergeCell ref="I224:J224"/>
    <mergeCell ref="M224:O224"/>
    <mergeCell ref="D220:E220"/>
    <mergeCell ref="I220:J220"/>
    <mergeCell ref="M220:O220"/>
    <mergeCell ref="D221:E221"/>
    <mergeCell ref="I221:J221"/>
    <mergeCell ref="M221:O221"/>
    <mergeCell ref="D222:E222"/>
    <mergeCell ref="I222:J222"/>
    <mergeCell ref="M222:O222"/>
    <mergeCell ref="S230:S246"/>
    <mergeCell ref="C231:E231"/>
    <mergeCell ref="F231:O231"/>
    <mergeCell ref="E241:H241"/>
    <mergeCell ref="J241:P241"/>
    <mergeCell ref="D243:H243"/>
    <mergeCell ref="J243:P243"/>
    <mergeCell ref="S220:S229"/>
    <mergeCell ref="H245:I245"/>
    <mergeCell ref="D227:E227"/>
    <mergeCell ref="I227:J227"/>
    <mergeCell ref="M227:O227"/>
    <mergeCell ref="D228:E228"/>
    <mergeCell ref="I228:J228"/>
    <mergeCell ref="M228:O228"/>
    <mergeCell ref="D225:E225"/>
    <mergeCell ref="I225:J225"/>
    <mergeCell ref="M225:O225"/>
    <mergeCell ref="D226:E226"/>
    <mergeCell ref="I226:J226"/>
    <mergeCell ref="M226:O226"/>
    <mergeCell ref="D272:E272"/>
    <mergeCell ref="F272:H272"/>
    <mergeCell ref="I272:O272"/>
    <mergeCell ref="D273:E273"/>
    <mergeCell ref="F273:H273"/>
    <mergeCell ref="I273:O273"/>
    <mergeCell ref="D229:E229"/>
    <mergeCell ref="I229:J229"/>
    <mergeCell ref="M229:O229"/>
    <mergeCell ref="D270:E270"/>
    <mergeCell ref="F270:H270"/>
    <mergeCell ref="I270:O270"/>
    <mergeCell ref="D271:E271"/>
    <mergeCell ref="L259:O260"/>
    <mergeCell ref="F261:G261"/>
    <mergeCell ref="H261:O261"/>
    <mergeCell ref="F271:H271"/>
    <mergeCell ref="I271:O271"/>
    <mergeCell ref="S294:S307"/>
    <mergeCell ref="C297:M297"/>
    <mergeCell ref="C302:G303"/>
    <mergeCell ref="H302:K303"/>
    <mergeCell ref="L302:O302"/>
    <mergeCell ref="L303:O304"/>
    <mergeCell ref="F305:G305"/>
    <mergeCell ref="H305:O305"/>
    <mergeCell ref="F274:H274"/>
    <mergeCell ref="I274:O274"/>
    <mergeCell ref="C276:E277"/>
    <mergeCell ref="F276:O277"/>
    <mergeCell ref="S283:S290"/>
    <mergeCell ref="E285:H285"/>
    <mergeCell ref="J285:P285"/>
    <mergeCell ref="D287:H287"/>
    <mergeCell ref="J287:P287"/>
    <mergeCell ref="H289:I289"/>
    <mergeCell ref="S264:S282"/>
    <mergeCell ref="D268:E268"/>
    <mergeCell ref="F268:H268"/>
    <mergeCell ref="D269:E269"/>
    <mergeCell ref="F269:H269"/>
    <mergeCell ref="I269:O269"/>
    <mergeCell ref="F314:H314"/>
    <mergeCell ref="I314:O314"/>
    <mergeCell ref="D315:E315"/>
    <mergeCell ref="F315:H315"/>
    <mergeCell ref="I315:O315"/>
    <mergeCell ref="D316:E316"/>
    <mergeCell ref="F316:H316"/>
    <mergeCell ref="I316:O316"/>
    <mergeCell ref="S308:S325"/>
    <mergeCell ref="D311:E311"/>
    <mergeCell ref="F311:H311"/>
    <mergeCell ref="D312:E312"/>
    <mergeCell ref="F312:H312"/>
    <mergeCell ref="I312:O312"/>
    <mergeCell ref="D313:E313"/>
    <mergeCell ref="F313:H313"/>
    <mergeCell ref="I313:O313"/>
    <mergeCell ref="D314:E314"/>
    <mergeCell ref="F317:H317"/>
    <mergeCell ref="I317:O317"/>
    <mergeCell ref="C319:E320"/>
    <mergeCell ref="F319:O320"/>
    <mergeCell ref="S326:S333"/>
    <mergeCell ref="E328:H328"/>
    <mergeCell ref="J328:P328"/>
    <mergeCell ref="D330:H330"/>
    <mergeCell ref="J330:P330"/>
    <mergeCell ref="H332:I332"/>
    <mergeCell ref="S337:S347"/>
    <mergeCell ref="C340:M340"/>
    <mergeCell ref="S348:S357"/>
    <mergeCell ref="C349:C352"/>
    <mergeCell ref="F349:G349"/>
    <mergeCell ref="M349:N349"/>
    <mergeCell ref="F353:G353"/>
    <mergeCell ref="M353:N353"/>
    <mergeCell ref="G355:H355"/>
    <mergeCell ref="I355:O355"/>
    <mergeCell ref="S367:S373"/>
    <mergeCell ref="E369:H369"/>
    <mergeCell ref="J369:P369"/>
    <mergeCell ref="D371:H371"/>
    <mergeCell ref="J371:P371"/>
    <mergeCell ref="S374:S383"/>
    <mergeCell ref="C377:M377"/>
    <mergeCell ref="S358:S366"/>
    <mergeCell ref="C359:C361"/>
    <mergeCell ref="F359:G359"/>
    <mergeCell ref="M359:N359"/>
    <mergeCell ref="F363:G363"/>
    <mergeCell ref="M363:N363"/>
    <mergeCell ref="G365:H365"/>
    <mergeCell ref="I365:O365"/>
    <mergeCell ref="T409:T410"/>
    <mergeCell ref="U409:AD409"/>
    <mergeCell ref="AE409:AE410"/>
    <mergeCell ref="AF409:AF410"/>
    <mergeCell ref="AG409:AG410"/>
    <mergeCell ref="AH409:AH410"/>
    <mergeCell ref="S384:S406"/>
    <mergeCell ref="C405:G405"/>
    <mergeCell ref="J405:K405"/>
    <mergeCell ref="M405:N405"/>
    <mergeCell ref="C407:F407"/>
    <mergeCell ref="S407:S426"/>
    <mergeCell ref="C409:D410"/>
    <mergeCell ref="E409:N409"/>
    <mergeCell ref="O409:P410"/>
    <mergeCell ref="O411:P411"/>
    <mergeCell ref="C417:D417"/>
    <mergeCell ref="O417:P417"/>
    <mergeCell ref="C418:D418"/>
    <mergeCell ref="O418:P418"/>
    <mergeCell ref="O419:P419"/>
    <mergeCell ref="O420:P420"/>
    <mergeCell ref="O412:P412"/>
    <mergeCell ref="O413:P413"/>
    <mergeCell ref="O414:P414"/>
    <mergeCell ref="C415:D415"/>
    <mergeCell ref="O415:P415"/>
    <mergeCell ref="C416:D416"/>
    <mergeCell ref="O416:P416"/>
    <mergeCell ref="S427:S434"/>
    <mergeCell ref="C428:D428"/>
    <mergeCell ref="O428:P428"/>
    <mergeCell ref="O429:P429"/>
    <mergeCell ref="O430:P430"/>
    <mergeCell ref="O421:P421"/>
    <mergeCell ref="C422:D422"/>
    <mergeCell ref="O422:P422"/>
    <mergeCell ref="C423:D423"/>
    <mergeCell ref="O423:P423"/>
    <mergeCell ref="C424:D424"/>
    <mergeCell ref="O424:P424"/>
    <mergeCell ref="C431:D431"/>
    <mergeCell ref="O431:P431"/>
    <mergeCell ref="C432:D432"/>
    <mergeCell ref="O432:P432"/>
    <mergeCell ref="C433:D433"/>
    <mergeCell ref="O433:P433"/>
    <mergeCell ref="C425:D425"/>
    <mergeCell ref="O425:P425"/>
    <mergeCell ref="C426:D426"/>
    <mergeCell ref="E426:P426"/>
    <mergeCell ref="O427:P427"/>
    <mergeCell ref="C440:D440"/>
    <mergeCell ref="O440:P440"/>
    <mergeCell ref="C441:D441"/>
    <mergeCell ref="O441:P441"/>
    <mergeCell ref="O442:P442"/>
    <mergeCell ref="C443:D443"/>
    <mergeCell ref="O443:P443"/>
    <mergeCell ref="C434:D434"/>
    <mergeCell ref="E434:P434"/>
    <mergeCell ref="O435:P435"/>
    <mergeCell ref="O436:P436"/>
    <mergeCell ref="C437:D437"/>
    <mergeCell ref="O437:P437"/>
    <mergeCell ref="O438:P438"/>
    <mergeCell ref="C439:D439"/>
    <mergeCell ref="O439:P439"/>
    <mergeCell ref="S449:S450"/>
    <mergeCell ref="C452:F452"/>
    <mergeCell ref="S452:S471"/>
    <mergeCell ref="C454:D455"/>
    <mergeCell ref="E454:N454"/>
    <mergeCell ref="O454:P455"/>
    <mergeCell ref="O444:P444"/>
    <mergeCell ref="C445:D445"/>
    <mergeCell ref="O445:P445"/>
    <mergeCell ref="C446:D446"/>
    <mergeCell ref="O446:P446"/>
    <mergeCell ref="C447:D447"/>
    <mergeCell ref="O447:P447"/>
    <mergeCell ref="S435:S448"/>
    <mergeCell ref="O456:P456"/>
    <mergeCell ref="O457:P457"/>
    <mergeCell ref="C458:D458"/>
    <mergeCell ref="O458:P458"/>
    <mergeCell ref="O459:P459"/>
    <mergeCell ref="C460:D460"/>
    <mergeCell ref="O460:P460"/>
    <mergeCell ref="C448:D448"/>
    <mergeCell ref="E448:P448"/>
    <mergeCell ref="C449:D449"/>
    <mergeCell ref="O449:P449"/>
    <mergeCell ref="O464:P464"/>
    <mergeCell ref="C465:D465"/>
    <mergeCell ref="O465:P465"/>
    <mergeCell ref="O466:P466"/>
    <mergeCell ref="C467:D467"/>
    <mergeCell ref="O467:P467"/>
    <mergeCell ref="C461:D461"/>
    <mergeCell ref="O461:P461"/>
    <mergeCell ref="C462:D462"/>
    <mergeCell ref="O462:P462"/>
    <mergeCell ref="C463:D463"/>
    <mergeCell ref="O463:P463"/>
    <mergeCell ref="S472:S479"/>
    <mergeCell ref="C473:D473"/>
    <mergeCell ref="O473:P473"/>
    <mergeCell ref="C474:D474"/>
    <mergeCell ref="O474:P474"/>
    <mergeCell ref="O475:P475"/>
    <mergeCell ref="C476:D476"/>
    <mergeCell ref="C468:D468"/>
    <mergeCell ref="O468:P468"/>
    <mergeCell ref="C469:D469"/>
    <mergeCell ref="O469:P469"/>
    <mergeCell ref="C470:D470"/>
    <mergeCell ref="O470:P470"/>
    <mergeCell ref="O476:P476"/>
    <mergeCell ref="C477:D477"/>
    <mergeCell ref="O477:P477"/>
    <mergeCell ref="C478:D478"/>
    <mergeCell ref="O478:P478"/>
    <mergeCell ref="C479:D479"/>
    <mergeCell ref="E479:P479"/>
    <mergeCell ref="C471:D471"/>
    <mergeCell ref="E471:P471"/>
    <mergeCell ref="O472:P472"/>
    <mergeCell ref="O480:P480"/>
    <mergeCell ref="S480:S494"/>
    <mergeCell ref="O481:P481"/>
    <mergeCell ref="C482:D482"/>
    <mergeCell ref="O482:P482"/>
    <mergeCell ref="O483:P483"/>
    <mergeCell ref="C484:D484"/>
    <mergeCell ref="O484:P484"/>
    <mergeCell ref="C485:D485"/>
    <mergeCell ref="O485:P485"/>
    <mergeCell ref="C490:D490"/>
    <mergeCell ref="O490:P490"/>
    <mergeCell ref="C491:D491"/>
    <mergeCell ref="O491:P491"/>
    <mergeCell ref="C492:D492"/>
    <mergeCell ref="O492:P492"/>
    <mergeCell ref="C486:D486"/>
    <mergeCell ref="O486:P486"/>
    <mergeCell ref="O487:P487"/>
    <mergeCell ref="C488:D488"/>
    <mergeCell ref="O488:P488"/>
    <mergeCell ref="O489:P489"/>
    <mergeCell ref="C493:D493"/>
    <mergeCell ref="E493:P493"/>
    <mergeCell ref="C494:D494"/>
    <mergeCell ref="O494:P494"/>
    <mergeCell ref="S495:S502"/>
    <mergeCell ref="E497:H497"/>
    <mergeCell ref="J497:P497"/>
    <mergeCell ref="D499:H499"/>
    <mergeCell ref="J499:P499"/>
    <mergeCell ref="H501:I501"/>
    <mergeCell ref="O521:P521"/>
    <mergeCell ref="C522:D522"/>
    <mergeCell ref="O522:P522"/>
    <mergeCell ref="O523:P523"/>
    <mergeCell ref="C524:D524"/>
    <mergeCell ref="O524:P524"/>
    <mergeCell ref="S506:S514"/>
    <mergeCell ref="C509:M509"/>
    <mergeCell ref="C515:F515"/>
    <mergeCell ref="S515:S525"/>
    <mergeCell ref="C517:D518"/>
    <mergeCell ref="E517:N517"/>
    <mergeCell ref="O517:P518"/>
    <mergeCell ref="C520:D520"/>
    <mergeCell ref="O520:P520"/>
    <mergeCell ref="C521:D521"/>
    <mergeCell ref="S534:S541"/>
    <mergeCell ref="C535:D535"/>
    <mergeCell ref="O535:P535"/>
    <mergeCell ref="C536:D536"/>
    <mergeCell ref="O536:P536"/>
    <mergeCell ref="C525:D525"/>
    <mergeCell ref="E525:P525"/>
    <mergeCell ref="S526:S533"/>
    <mergeCell ref="C527:D527"/>
    <mergeCell ref="O527:P527"/>
    <mergeCell ref="O528:P528"/>
    <mergeCell ref="C529:D529"/>
    <mergeCell ref="O529:P529"/>
    <mergeCell ref="C530:D530"/>
    <mergeCell ref="O530:P530"/>
    <mergeCell ref="C537:D537"/>
    <mergeCell ref="O537:P537"/>
    <mergeCell ref="O538:P538"/>
    <mergeCell ref="C539:D539"/>
    <mergeCell ref="O539:P539"/>
    <mergeCell ref="C540:D540"/>
    <mergeCell ref="E540:P540"/>
    <mergeCell ref="O531:P531"/>
    <mergeCell ref="C532:D532"/>
    <mergeCell ref="O532:P532"/>
    <mergeCell ref="C533:D533"/>
    <mergeCell ref="E533:P533"/>
    <mergeCell ref="O549:P549"/>
    <mergeCell ref="O550:P550"/>
    <mergeCell ref="C551:D551"/>
    <mergeCell ref="O551:P551"/>
    <mergeCell ref="C552:D552"/>
    <mergeCell ref="E552:P552"/>
    <mergeCell ref="C542:F542"/>
    <mergeCell ref="S542:S552"/>
    <mergeCell ref="C544:D545"/>
    <mergeCell ref="E544:N544"/>
    <mergeCell ref="O544:P545"/>
    <mergeCell ref="C547:D547"/>
    <mergeCell ref="O547:P547"/>
    <mergeCell ref="C548:D548"/>
    <mergeCell ref="O548:P548"/>
    <mergeCell ref="C549:D549"/>
    <mergeCell ref="O559:P559"/>
    <mergeCell ref="C560:D560"/>
    <mergeCell ref="E560:P560"/>
    <mergeCell ref="S561:S567"/>
    <mergeCell ref="C562:D562"/>
    <mergeCell ref="O562:P562"/>
    <mergeCell ref="C563:D563"/>
    <mergeCell ref="O563:P563"/>
    <mergeCell ref="C564:D564"/>
    <mergeCell ref="O564:P564"/>
    <mergeCell ref="S553:S560"/>
    <mergeCell ref="C554:D554"/>
    <mergeCell ref="O554:P554"/>
    <mergeCell ref="O555:P555"/>
    <mergeCell ref="C556:D556"/>
    <mergeCell ref="O556:P556"/>
    <mergeCell ref="C557:D557"/>
    <mergeCell ref="O557:P557"/>
    <mergeCell ref="O558:P558"/>
    <mergeCell ref="C559:D559"/>
    <mergeCell ref="O565:P565"/>
    <mergeCell ref="C566:D566"/>
    <mergeCell ref="O566:P566"/>
    <mergeCell ref="C567:D567"/>
    <mergeCell ref="E567:P567"/>
    <mergeCell ref="S568:S575"/>
    <mergeCell ref="E570:H570"/>
    <mergeCell ref="J570:P570"/>
    <mergeCell ref="D572:H572"/>
    <mergeCell ref="J572:P572"/>
    <mergeCell ref="H574:I574"/>
    <mergeCell ref="S579:S599"/>
    <mergeCell ref="C582:M582"/>
    <mergeCell ref="C587:D587"/>
    <mergeCell ref="C588:D588"/>
    <mergeCell ref="F600:J600"/>
    <mergeCell ref="K600:O600"/>
    <mergeCell ref="S600:S611"/>
    <mergeCell ref="C602:E603"/>
    <mergeCell ref="F602:G602"/>
    <mergeCell ref="C605:E605"/>
    <mergeCell ref="I605:J605"/>
    <mergeCell ref="N605:P605"/>
    <mergeCell ref="C606:E606"/>
    <mergeCell ref="I606:J606"/>
    <mergeCell ref="N606:P606"/>
    <mergeCell ref="H602:J602"/>
    <mergeCell ref="K602:L602"/>
    <mergeCell ref="M602:O602"/>
    <mergeCell ref="I603:J603"/>
    <mergeCell ref="N603:P603"/>
    <mergeCell ref="O604:P604"/>
    <mergeCell ref="C609:E609"/>
    <mergeCell ref="I609:J609"/>
    <mergeCell ref="N609:P609"/>
    <mergeCell ref="C610:E610"/>
    <mergeCell ref="I610:J610"/>
    <mergeCell ref="N610:P610"/>
    <mergeCell ref="C607:E607"/>
    <mergeCell ref="I607:J607"/>
    <mergeCell ref="N607:P607"/>
    <mergeCell ref="C608:E608"/>
    <mergeCell ref="I608:J608"/>
    <mergeCell ref="N608:P608"/>
    <mergeCell ref="S616:S619"/>
    <mergeCell ref="C617:E617"/>
    <mergeCell ref="I617:J617"/>
    <mergeCell ref="N617:P617"/>
    <mergeCell ref="C618:E618"/>
    <mergeCell ref="C611:E611"/>
    <mergeCell ref="F611:J611"/>
    <mergeCell ref="K611:P611"/>
    <mergeCell ref="O612:P612"/>
    <mergeCell ref="S612:S615"/>
    <mergeCell ref="C613:E613"/>
    <mergeCell ref="I613:J613"/>
    <mergeCell ref="N613:P613"/>
    <mergeCell ref="C614:E614"/>
    <mergeCell ref="I614:J614"/>
    <mergeCell ref="I618:J618"/>
    <mergeCell ref="N618:P618"/>
    <mergeCell ref="C619:E619"/>
    <mergeCell ref="F619:J619"/>
    <mergeCell ref="K619:P619"/>
    <mergeCell ref="O620:P620"/>
    <mergeCell ref="N614:P614"/>
    <mergeCell ref="C615:E615"/>
    <mergeCell ref="F615:J615"/>
    <mergeCell ref="K615:P615"/>
    <mergeCell ref="O616:P616"/>
    <mergeCell ref="S620:S623"/>
    <mergeCell ref="C621:E621"/>
    <mergeCell ref="I621:J621"/>
    <mergeCell ref="N621:P621"/>
    <mergeCell ref="C622:E622"/>
    <mergeCell ref="I622:J622"/>
    <mergeCell ref="N622:P622"/>
    <mergeCell ref="C623:E623"/>
    <mergeCell ref="F623:J623"/>
    <mergeCell ref="K623:P623"/>
    <mergeCell ref="O624:P624"/>
    <mergeCell ref="S624:S628"/>
    <mergeCell ref="C625:E625"/>
    <mergeCell ref="I625:J625"/>
    <mergeCell ref="N625:P625"/>
    <mergeCell ref="C626:E626"/>
    <mergeCell ref="I626:J626"/>
    <mergeCell ref="N626:P626"/>
    <mergeCell ref="C627:E627"/>
    <mergeCell ref="I627:J627"/>
    <mergeCell ref="N627:P627"/>
    <mergeCell ref="C628:E628"/>
    <mergeCell ref="F628:J628"/>
    <mergeCell ref="K628:P628"/>
    <mergeCell ref="O629:P629"/>
    <mergeCell ref="C637:E637"/>
    <mergeCell ref="F637:J637"/>
    <mergeCell ref="K637:P637"/>
    <mergeCell ref="S629:S632"/>
    <mergeCell ref="C630:E630"/>
    <mergeCell ref="I630:J630"/>
    <mergeCell ref="N630:P630"/>
    <mergeCell ref="C631:E631"/>
    <mergeCell ref="I631:J631"/>
    <mergeCell ref="N631:P631"/>
    <mergeCell ref="C632:E632"/>
    <mergeCell ref="F632:J632"/>
    <mergeCell ref="K632:P632"/>
    <mergeCell ref="O638:P638"/>
    <mergeCell ref="S638:S641"/>
    <mergeCell ref="H640:I640"/>
    <mergeCell ref="S633:S637"/>
    <mergeCell ref="C634:E634"/>
    <mergeCell ref="I634:J634"/>
    <mergeCell ref="N634:P634"/>
    <mergeCell ref="C635:E635"/>
    <mergeCell ref="I635:J635"/>
    <mergeCell ref="N635:P635"/>
    <mergeCell ref="C636:E636"/>
    <mergeCell ref="I636:J636"/>
    <mergeCell ref="N636:P636"/>
    <mergeCell ref="O633:P633"/>
    <mergeCell ref="S645:S665"/>
    <mergeCell ref="C648:M648"/>
    <mergeCell ref="C653:D653"/>
    <mergeCell ref="C654:D654"/>
    <mergeCell ref="F666:J666"/>
    <mergeCell ref="K666:O666"/>
    <mergeCell ref="S666:S673"/>
    <mergeCell ref="C668:E669"/>
    <mergeCell ref="F668:G668"/>
    <mergeCell ref="H668:J668"/>
    <mergeCell ref="C672:E672"/>
    <mergeCell ref="I672:J672"/>
    <mergeCell ref="N672:P672"/>
    <mergeCell ref="C673:E673"/>
    <mergeCell ref="F673:J673"/>
    <mergeCell ref="K673:P673"/>
    <mergeCell ref="K668:L668"/>
    <mergeCell ref="M668:O668"/>
    <mergeCell ref="I669:J669"/>
    <mergeCell ref="N669:P669"/>
    <mergeCell ref="O670:P670"/>
    <mergeCell ref="C671:E671"/>
    <mergeCell ref="I671:J671"/>
    <mergeCell ref="N671:P671"/>
    <mergeCell ref="O674:P674"/>
    <mergeCell ref="S674:S677"/>
    <mergeCell ref="C675:E675"/>
    <mergeCell ref="I675:J675"/>
    <mergeCell ref="N675:P675"/>
    <mergeCell ref="C676:E676"/>
    <mergeCell ref="I676:J676"/>
    <mergeCell ref="N676:P676"/>
    <mergeCell ref="C677:E677"/>
    <mergeCell ref="F677:J677"/>
    <mergeCell ref="K677:P677"/>
    <mergeCell ref="O678:P678"/>
    <mergeCell ref="S678:S680"/>
    <mergeCell ref="C679:E679"/>
    <mergeCell ref="I679:J679"/>
    <mergeCell ref="N679:P679"/>
    <mergeCell ref="C680:E680"/>
    <mergeCell ref="F680:J680"/>
    <mergeCell ref="K680:P680"/>
    <mergeCell ref="O688:P688"/>
    <mergeCell ref="S688:S691"/>
    <mergeCell ref="C689:E689"/>
    <mergeCell ref="I689:J689"/>
    <mergeCell ref="N689:P689"/>
    <mergeCell ref="C690:E690"/>
    <mergeCell ref="O681:P681"/>
    <mergeCell ref="S681:S683"/>
    <mergeCell ref="C682:E682"/>
    <mergeCell ref="I682:J682"/>
    <mergeCell ref="N682:P682"/>
    <mergeCell ref="C683:E683"/>
    <mergeCell ref="F683:J683"/>
    <mergeCell ref="K683:P683"/>
    <mergeCell ref="O684:P684"/>
    <mergeCell ref="S684:S687"/>
    <mergeCell ref="C685:E685"/>
    <mergeCell ref="I685:J685"/>
    <mergeCell ref="N685:P685"/>
    <mergeCell ref="C686:E686"/>
    <mergeCell ref="I686:J686"/>
    <mergeCell ref="N686:P686"/>
    <mergeCell ref="C687:E687"/>
    <mergeCell ref="F687:J687"/>
    <mergeCell ref="K687:P687"/>
    <mergeCell ref="I690:J690"/>
    <mergeCell ref="N690:P690"/>
    <mergeCell ref="C691:E691"/>
    <mergeCell ref="K691:P691"/>
    <mergeCell ref="O692:P692"/>
    <mergeCell ref="O700:P700"/>
    <mergeCell ref="S700:S703"/>
    <mergeCell ref="H702:I702"/>
    <mergeCell ref="S707:S717"/>
    <mergeCell ref="C716:O716"/>
    <mergeCell ref="S692:S696"/>
    <mergeCell ref="C693:E693"/>
    <mergeCell ref="I693:J693"/>
    <mergeCell ref="N693:P693"/>
    <mergeCell ref="C694:E694"/>
    <mergeCell ref="I694:J694"/>
    <mergeCell ref="N694:P694"/>
    <mergeCell ref="C695:E695"/>
    <mergeCell ref="I695:J695"/>
    <mergeCell ref="N695:P695"/>
    <mergeCell ref="C696:E696"/>
    <mergeCell ref="F696:J696"/>
    <mergeCell ref="K696:P696"/>
    <mergeCell ref="F691:J691"/>
    <mergeCell ref="S718:S729"/>
    <mergeCell ref="C728:O728"/>
    <mergeCell ref="O697:P697"/>
    <mergeCell ref="S697:S699"/>
    <mergeCell ref="C698:E698"/>
    <mergeCell ref="I698:J698"/>
    <mergeCell ref="N698:P698"/>
    <mergeCell ref="C699:E699"/>
    <mergeCell ref="F699:J699"/>
    <mergeCell ref="K699:P699"/>
  </mergeCells>
  <conditionalFormatting sqref="C716 C728">
    <cfRule type="notContainsBlanks" dxfId="214" priority="16">
      <formula>LEN(TRIM(C716))&gt;0</formula>
    </cfRule>
  </conditionalFormatting>
  <conditionalFormatting sqref="D199:D201 F199:F201 H199:H201 J199:J201">
    <cfRule type="notContainsBlanks" dxfId="212" priority="18">
      <formula>LEN(TRIM(D199))&gt;0</formula>
    </cfRule>
  </conditionalFormatting>
  <conditionalFormatting sqref="E413:N414 E420:N421 E428:N430 E437:N438 E443:N444">
    <cfRule type="notContainsBlanks" dxfId="209" priority="20">
      <formula>LEN(TRIM(E413))&gt;0</formula>
    </cfRule>
  </conditionalFormatting>
  <conditionalFormatting sqref="E458:N459 E465:N466 E473:N475 E482:N483 E488:N489">
    <cfRule type="notContainsBlanks" dxfId="208" priority="19">
      <formula>LEN(TRIM(E458))&gt;0</formula>
    </cfRule>
  </conditionalFormatting>
  <conditionalFormatting sqref="E521:N522 E529:N530 E536:N537 E548:N549 E556:N557 E563:N564">
    <cfRule type="notContainsBlanks" dxfId="207" priority="17">
      <formula>LEN(TRIM(E521))&gt;0</formula>
    </cfRule>
  </conditionalFormatting>
  <conditionalFormatting sqref="F351 H351 K351 M351 O351 F361 H361 K361 M361 O361">
    <cfRule type="notContainsBlanks" dxfId="206" priority="21">
      <formula>LEN(TRIM(F351))&gt;0</formula>
    </cfRule>
  </conditionalFormatting>
  <conditionalFormatting sqref="F605:F610 K605:K610 F613:F614 K613:K614 F617:F618 K617:K618 F621:F622 K621:K622 F625:F627 K625:K627 F630:F631 K630:K631 F634:F636 K634:K636">
    <cfRule type="notContainsBlanks" dxfId="205" priority="14">
      <formula>LEN(TRIM(F605))&gt;0</formula>
    </cfRule>
  </conditionalFormatting>
  <conditionalFormatting sqref="F671:F672 K671:K672 F675:F676 K675:K676 F679 K679 F682 K682 F685:F686 K685:K686 F689:F690 K689:K690 F693:F695 K693:K695 F698 K698">
    <cfRule type="notContainsBlanks" dxfId="204" priority="15">
      <formula>LEN(TRIM(F671))&gt;0</formula>
    </cfRule>
  </conditionalFormatting>
  <conditionalFormatting sqref="G89 J89:N89 G91">
    <cfRule type="expression" dxfId="203" priority="27">
      <formula>OR($O$81=1,$O$81=3)</formula>
    </cfRule>
  </conditionalFormatting>
  <conditionalFormatting sqref="G98 J98:N98 G100">
    <cfRule type="expression" dxfId="202" priority="26">
      <formula>OR($O$81=1,$O$81=2)</formula>
    </cfRule>
  </conditionalFormatting>
  <conditionalFormatting sqref="G128 J128:N128 G130">
    <cfRule type="expression" dxfId="201" priority="25">
      <formula>OR($O$120=1,$O$120=3)</formula>
    </cfRule>
  </conditionalFormatting>
  <conditionalFormatting sqref="G137 J137:N137 G139">
    <cfRule type="expression" dxfId="200" priority="24">
      <formula>OR($O$120=1,$O$120=2)</formula>
    </cfRule>
  </conditionalFormatting>
  <conditionalFormatting sqref="H186 D220:J222 H258 F269:H273 H302 F312:H316">
    <cfRule type="notContainsBlanks" dxfId="199" priority="22">
      <formula>LEN(TRIM(D186))&gt;0</formula>
    </cfRule>
  </conditionalFormatting>
  <conditionalFormatting sqref="H81:M81 G89 J89:N89 G91 G98 J98:N98 G100 H120:M120 G128 J128:N128 G130 G137 J137:N137 G139 G157">
    <cfRule type="notContainsBlanks" dxfId="198" priority="23">
      <formula>LEN(TRIM(G81))&gt;0</formula>
    </cfRule>
  </conditionalFormatting>
  <conditionalFormatting sqref="I169 I171">
    <cfRule type="containsText" dxfId="197" priority="2" operator="containsText" text="À compléter">
      <formula>NOT(ISERROR(SEARCH("À compléter",I169)))</formula>
    </cfRule>
    <cfRule type="containsText" dxfId="196" priority="1" operator="containsText" text="Complété">
      <formula>NOT(ISERROR(SEARCH("Complété",I169)))</formula>
    </cfRule>
  </conditionalFormatting>
  <conditionalFormatting sqref="I241 I243">
    <cfRule type="containsText" dxfId="195" priority="3" operator="containsText" text="Complété">
      <formula>NOT(ISERROR(SEARCH("Complété",I241)))</formula>
    </cfRule>
    <cfRule type="containsText" dxfId="194" priority="4" operator="containsText" text="À compléter">
      <formula>NOT(ISERROR(SEARCH("À compléter",I241)))</formula>
    </cfRule>
  </conditionalFormatting>
  <conditionalFormatting sqref="I285 I287">
    <cfRule type="containsText" dxfId="193" priority="5" operator="containsText" text="Complété">
      <formula>NOT(ISERROR(SEARCH("Complété",I285)))</formula>
    </cfRule>
    <cfRule type="containsText" dxfId="192" priority="6" operator="containsText" text="À compléter">
      <formula>NOT(ISERROR(SEARCH("À compléter",I285)))</formula>
    </cfRule>
  </conditionalFormatting>
  <conditionalFormatting sqref="I328 I330">
    <cfRule type="containsText" dxfId="191" priority="7" operator="containsText" text="Complété">
      <formula>NOT(ISERROR(SEARCH("Complété",I328)))</formula>
    </cfRule>
    <cfRule type="containsText" dxfId="190" priority="8" operator="containsText" text="À compléter">
      <formula>NOT(ISERROR(SEARCH("À compléter",I328)))</formula>
    </cfRule>
  </conditionalFormatting>
  <conditionalFormatting sqref="I369 I371">
    <cfRule type="containsText" dxfId="189" priority="9" operator="containsText" text="Complété">
      <formula>NOT(ISERROR(SEARCH("Complété",I369)))</formula>
    </cfRule>
    <cfRule type="containsText" dxfId="188" priority="10" operator="containsText" text="À compléter">
      <formula>NOT(ISERROR(SEARCH("À compléter",I369)))</formula>
    </cfRule>
  </conditionalFormatting>
  <conditionalFormatting sqref="I497 I499">
    <cfRule type="containsText" dxfId="187" priority="11" operator="containsText" text="Complété">
      <formula>NOT(ISERROR(SEARCH("Complété",I497)))</formula>
    </cfRule>
    <cfRule type="containsText" dxfId="186" priority="12" operator="containsText" text="À compléter">
      <formula>NOT(ISERROR(SEARCH("À compléter",I497)))</formula>
    </cfRule>
  </conditionalFormatting>
  <conditionalFormatting sqref="I570 I572">
    <cfRule type="containsText" dxfId="185" priority="30" operator="containsText" text="Complété">
      <formula>NOT(ISERROR(SEARCH("Complété",I570)))</formula>
    </cfRule>
    <cfRule type="containsText" dxfId="184" priority="31" operator="containsText" text="À compléter">
      <formula>NOT(ISERROR(SEARCH("À compléter",I570)))</formula>
    </cfRule>
  </conditionalFormatting>
  <conditionalFormatting sqref="M73:O73">
    <cfRule type="notContainsBlanks" dxfId="183" priority="13">
      <formula>LEN(TRIM(M73))&gt;0</formula>
    </cfRule>
  </conditionalFormatting>
  <conditionalFormatting sqref="O24 O45 O67 O179 O251 O295 O338 O375 O507 O580 O646">
    <cfRule type="containsText" dxfId="182" priority="32" operator="containsText" text="Complété">
      <formula>NOT(ISERROR(SEARCH("Complété",O24)))</formula>
    </cfRule>
    <cfRule type="containsText" dxfId="181" priority="33" operator="containsText" text="À compléter">
      <formula>NOT(ISERROR(SEARCH("À compléter",O24)))</formula>
    </cfRule>
  </conditionalFormatting>
  <dataValidations count="1">
    <dataValidation allowBlank="1" showInputMessage="1" showErrorMessage="1" promptTitle="Explications: " prompt="Indiquer le total des coûts additionnels à planifier sur la ligne rose. Ce coût peut être un montant global ou l'addition des coûts inscrits sur les lignes jaunes facultatives, qui permettent de détailler ces coûts additionnels (plus de détails dans AIDE)" sqref="D414 D438 D421 D430 D444 D459 D466 D475 D483 D489" xr:uid="{00000000-0002-0000-0A00-000000000000}"/>
  </dataValidations>
  <hyperlinks>
    <hyperlink ref="C16" location="'FORMULAIRE PGA Eaux pluviales '!A577" display="Partie 7A" xr:uid="{00000000-0004-0000-0A00-000000000000}"/>
    <hyperlink ref="C8" location="'FORMULAIRE PGA Eaux pluviales '!A21" display="Partie 1" xr:uid="{00000000-0004-0000-0A00-000001000000}"/>
    <hyperlink ref="C9" location="'FORMULAIRE PGA Eaux pluviales '!A64" display="Partie 2" xr:uid="{00000000-0004-0000-0A00-000002000000}"/>
    <hyperlink ref="C10" location="'FORMULAIRE PGA Eaux pluviales '!A176" display="Partie 3" xr:uid="{00000000-0004-0000-0A00-000003000000}"/>
    <hyperlink ref="C12" location="'FORMULAIRE PGA Eaux pluviales '!A292" display="Partie 4B" xr:uid="{00000000-0004-0000-0A00-000004000000}"/>
    <hyperlink ref="H173:I173" location="'SOMMAIRE PGA Eaux pluviales'!B6" display="Voir le sommaire du portrait des actifs" xr:uid="{00000000-0004-0000-0A00-000005000000}"/>
    <hyperlink ref="H245:I245" location="'SOMMAIRE PGA Eaux pluviales'!B29" display="Voir le sommaire niveaux de service" xr:uid="{00000000-0004-0000-0A00-000006000000}"/>
    <hyperlink ref="C13" location="'FORMULAIRE PGA Eaux pluviales '!A335" display="Partie 5A" xr:uid="{00000000-0004-0000-0A00-000007000000}"/>
    <hyperlink ref="C15" location="'FORMULAIRE PGA Eaux pluviales '!A504" display="Partie 6" xr:uid="{00000000-0004-0000-0A00-000008000000}"/>
    <hyperlink ref="C11" location="'FORMULAIRE PGA Eaux pluviales '!A248" display="Partie 4A" xr:uid="{00000000-0004-0000-0A00-000009000000}"/>
    <hyperlink ref="C14" location="'FORMULAIRE PGA Eaux pluviales '!A375" display="Partie 5B" xr:uid="{00000000-0004-0000-0A00-00000A000000}"/>
    <hyperlink ref="C17" location="'FORMULAIRE PGA Eaux pluviales '!A643" display="Partie 7B" xr:uid="{00000000-0004-0000-0A00-00000B000000}"/>
    <hyperlink ref="H332:I332" location="'SOMMAIRE PGA Eaux pluviales'!AQ46" display="Voir le sommaire de la demande à venir" xr:uid="{00000000-0004-0000-0A00-00000C000000}"/>
    <hyperlink ref="H289:I289" location="'SOMMAIRE PGA Eaux pluviales'!C46" display="Voir le sommaire pour les risques" xr:uid="{00000000-0004-0000-0A00-00000D000000}"/>
    <hyperlink ref="H501:I501" location="'SOMMAIRE PGA Eaux pluviales'!B54" display="Voir le sommaire des prévisions" xr:uid="{00000000-0004-0000-0A00-00000E000000}"/>
    <hyperlink ref="H574:I574" location="'SOMMAIRE PGA Eaux pluviales'!B95" display="Voir le sommaire du financement" xr:uid="{00000000-0004-0000-0A00-00000F000000}"/>
    <hyperlink ref="H640:I640" location="'SOMMAIRE PGA Eaux pluviales'!AQ111" display="Voir le sommaire du niveau de confiance" xr:uid="{00000000-0004-0000-0A00-000010000000}"/>
    <hyperlink ref="H702:I702" location="'SOMMAIRE PGA Eaux pluviales'!C111" display="Voir le sommaire du niveau de progression" xr:uid="{00000000-0004-0000-0A00-000011000000}"/>
    <hyperlink ref="J169:P169" location="'FORMULAIRE PGA Eaux pluviales '!A604" display="Aller à la partie 7 pour déterminer maintenant le niveau de confiance de votre municipalité pour cette partie du PGA" xr:uid="{00000000-0004-0000-0A00-000012000000}"/>
    <hyperlink ref="J171:P171" location="'FORMULAIRE PGA Eaux pluviales '!A670" display="Aller à la partie 7 pour déterminer maintenant le niveau de progression de votre municipalité pour cette partie du PGA" xr:uid="{00000000-0004-0000-0A00-000013000000}"/>
    <hyperlink ref="J241:P241" location="'FORMULAIRE PGA Eaux pluviales '!A612" display="Aller à la partie 7 pour déterminer maintenant le niveau de confiance de votre municipalité pour cette partie du PGA" xr:uid="{00000000-0004-0000-0A00-000014000000}"/>
    <hyperlink ref="J243:P243" location="'FORMULAIRE PGA Eaux pluviales '!A674" display="Aller à la partie 7 pour déterminer maintenant le niveau de progression de votre municipalité pour cette partie du PGA" xr:uid="{00000000-0004-0000-0A00-000015000000}"/>
    <hyperlink ref="J328:P328" location="'FORMULAIRE PGA Eaux pluviales '!A620" display="Aller à la partie 7 pour déterminer maintenant le niveau de confiance de votre municipalité pour cette partie du PGA" xr:uid="{00000000-0004-0000-0A00-000016000000}"/>
    <hyperlink ref="J330:P330" location="'FORMULAIRE PGA Eaux pluviales '!A681" display="Aller à la partie 7 pour déterminer maintenant le niveau de progression de votre municipalité pour cette partie du PGA" xr:uid="{00000000-0004-0000-0A00-000017000000}"/>
    <hyperlink ref="J285:P285" location="'FORMULAIRE PGA Eaux pluviales '!A616" display="Aller à la partie 7 pour déterminer maintenant le niveau de confiance de votre municipalité pour cette partie du PGA" xr:uid="{00000000-0004-0000-0A00-000018000000}"/>
    <hyperlink ref="J287:P287" location="'FORMULAIRE PGA Eaux pluviales '!A678" display="Aller à la partie 7 pour déterminer maintenant le niveau de progression de votre municipalité pour cette partie du PGA" xr:uid="{00000000-0004-0000-0A00-000019000000}"/>
    <hyperlink ref="J369:P369" location="'FORMULAIRE PGA Eaux pluviales '!A624" display="Aller à la partie 7 pour déterminer maintenant le niveau de confiance de votre municipalité pour cette partie du PGA" xr:uid="{00000000-0004-0000-0A00-00001A000000}"/>
    <hyperlink ref="J371:P371" location="'FORMULAIRE PGA Eaux pluviales '!A684" display="Aller à la partie 7 pour déterminer maintenant le niveau de progression de votre municipalité pour cette partie du PGA" xr:uid="{00000000-0004-0000-0A00-00001B000000}"/>
    <hyperlink ref="J497:P497" location="'FORMULAIRE PGA Eaux pluviales '!A624" display="Aller à la partie 7 pour déterminer maintenant le niveau de confiance de votre municipalité pour cette partie du PGA" xr:uid="{00000000-0004-0000-0A00-00001C000000}"/>
    <hyperlink ref="J499:P499" location="'FORMULAIRE PGA Eaux pluviales '!A684" display="Aller à la partie 7 pour déterminer maintenant le niveau de progression de votre municipalité pour cette partie du PGA" xr:uid="{00000000-0004-0000-0A00-00001D000000}"/>
    <hyperlink ref="J570:P570" location="'FORMULAIRE PGA Eaux pluviales '!A633" display="Aller à la partie 7 pour déterminer maintenant le niveau de confiance de votre municipalité pour cette partie du PGA" xr:uid="{00000000-0004-0000-0A00-00001E000000}"/>
    <hyperlink ref="J572:P572" location="'FORMULAIRE PGA Eaux pluviales '!A692" display="Aller à la partie 7 pour déterminer maintenant le niveau de progression de votre municipalité pour cette partie du PGA" xr:uid="{00000000-0004-0000-0A00-00001F000000}"/>
    <hyperlink ref="C612" location="'FORMULAIRE PGA Eaux pluviales '!A176" display="NIVEAUX DE SERVICE" xr:uid="{00000000-0004-0000-0A00-000020000000}"/>
    <hyperlink ref="C620" location="'FORMULAIRE PGA Eaux pluviales '!A292" display="DEMANDE À VENIR" xr:uid="{00000000-0004-0000-0A00-000021000000}"/>
    <hyperlink ref="C616" location="'FORMULAIRE PGA Eaux pluviales '!A248" display="GESTION DES RISQUES" xr:uid="{00000000-0004-0000-0A00-000022000000}"/>
    <hyperlink ref="C624" location="'FORMULAIRE PGA Eaux pluviales '!A375" display="CYCLE DE VIE - IMMOBILISATIONS" xr:uid="{00000000-0004-0000-0A00-000023000000}"/>
    <hyperlink ref="C629" location="'FORMULAIRE PGA Eaux pluviales '!A375" display="CYCLE DE VIE - FONCTIONNEMENT" xr:uid="{00000000-0004-0000-0A00-000024000000}"/>
    <hyperlink ref="C633" location="'FORMULAIRE PGA Eaux pluviales '!A504" display="RÉSUMÉ FINANCIER" xr:uid="{00000000-0004-0000-0A00-000025000000}"/>
    <hyperlink ref="C670" location="'FORMULAIRE PGA Eaux pluviales '!A64" display="PORTRAIT DES ACTIFS" xr:uid="{00000000-0004-0000-0A00-000026000000}"/>
    <hyperlink ref="C674" location="'FORMULAIRE PGA Eaux pluviales '!A176" display="NIVEAUX DE SERVICES" xr:uid="{00000000-0004-0000-0A00-000027000000}"/>
    <hyperlink ref="C681" location="'FORMULAIRE PGA Eaux pluviales '!A292" display="DEMANDE À VENIR" xr:uid="{00000000-0004-0000-0A00-000028000000}"/>
    <hyperlink ref="C678" location="'FORMULAIRE PGA Eaux pluviales '!A248" display="GESTION DES RISQUES" xr:uid="{00000000-0004-0000-0A00-000029000000}"/>
    <hyperlink ref="C684" location="'FORMULAIRE PGA Eaux pluviales '!A375" display="CYCLE DE VIE - IMMOBILISATIONS" xr:uid="{00000000-0004-0000-0A00-00002A000000}"/>
    <hyperlink ref="C688" location="'FORMULAIRE PGA Eaux pluviales '!A375" display="CYCLE DE VIE - FONCTIONNEMENT" xr:uid="{00000000-0004-0000-0A00-00002B000000}"/>
    <hyperlink ref="C692" location="'FORMULAIRE PGA Eaux pluviales '!A504" display="RÉSUMÉ FINANCIER" xr:uid="{00000000-0004-0000-0A00-00002C000000}"/>
    <hyperlink ref="C697" location="'FORMULAIRE PGA Eaux pluviales '!A577" display="AMÉLIORATION ET SUIVI" xr:uid="{00000000-0004-0000-0A00-00002D000000}"/>
    <hyperlink ref="C18" location="'FORMULAIRE PGA Eaux pluviales '!A705" display="Partie 8" xr:uid="{00000000-0004-0000-0A00-00002E000000}"/>
    <hyperlink ref="C604" location="'FORMULAIRE PGA Eaux pluviales '!A64" display="PORTRAIT DES ACTIFS" xr:uid="{00000000-0004-0000-0A00-00002F000000}"/>
    <hyperlink ref="O21:Q21" location="AIDE!A21" display="AIDE" xr:uid="{00000000-0004-0000-0A00-000030000000}"/>
    <hyperlink ref="O64:Q64" location="AIDE!A47" display="AIDE" xr:uid="{00000000-0004-0000-0A00-000031000000}"/>
    <hyperlink ref="O176:Q176" location="AIDE!A87" display="AIDE" xr:uid="{00000000-0004-0000-0A00-000032000000}"/>
    <hyperlink ref="O248:Q248" location="AIDE!A137" display="AIDE" xr:uid="{00000000-0004-0000-0A00-000033000000}"/>
    <hyperlink ref="O292:Q292" location="AIDE!A137" display="AIDE" xr:uid="{00000000-0004-0000-0A00-000034000000}"/>
    <hyperlink ref="O335:Q335" location="AIDE!A173" display="AIDE" xr:uid="{00000000-0004-0000-0A00-000035000000}"/>
    <hyperlink ref="O504:Q504" location="AIDE!A216" display="AIDE" xr:uid="{00000000-0004-0000-0A00-000036000000}"/>
    <hyperlink ref="O577:Q577" location="AIDE!A236" display="AIDE" xr:uid="{00000000-0004-0000-0A00-000037000000}"/>
    <hyperlink ref="O643:Q643" location="AIDE!A236" display="AIDE" xr:uid="{00000000-0004-0000-0A00-000038000000}"/>
    <hyperlink ref="O705:Q705" location="AIDE!A267" display="AIDE" xr:uid="{00000000-0004-0000-0A00-000039000000}"/>
  </hyperlinks>
  <pageMargins left="0.82677165354330717" right="0.62992125984251968" top="0.47244094488188981" bottom="0.47244094488188981" header="0.31496062992125984" footer="0.31496062992125984"/>
  <pageSetup scale="54" fitToHeight="0" orientation="landscape" r:id="rId1"/>
  <headerFooter>
    <oddFooter>&amp;L&amp;K08-042Version 1.0    © CERIU, 2023&amp;R&amp;K08-040FORMULAIRE PGA Eaux pluviales
Page &amp;P / &amp;N</oddFooter>
  </headerFooter>
  <rowBreaks count="17" manualBreakCount="17">
    <brk id="63" max="16383" man="1"/>
    <brk id="116" max="16383" man="1"/>
    <brk id="175" max="16383" man="1"/>
    <brk id="211" max="16383" man="1"/>
    <brk id="247" max="16383" man="1"/>
    <brk id="291" max="16383" man="1"/>
    <brk id="334" max="16383" man="1"/>
    <brk id="373" max="16383" man="1"/>
    <brk id="405" max="16383" man="1"/>
    <brk id="450" max="17" man="1"/>
    <brk id="503" max="16383" man="1"/>
    <brk id="541" max="16383" man="1"/>
    <brk id="576" max="16383" man="1"/>
    <brk id="598" max="16383" man="1"/>
    <brk id="642" max="16383" man="1"/>
    <brk id="664" max="16383" man="1"/>
    <brk id="704" max="16383" man="1"/>
  </rowBreaks>
  <colBreaks count="1" manualBreakCount="1">
    <brk id="1" max="729" man="1"/>
  </colBreaks>
  <extLst>
    <ext xmlns:x14="http://schemas.microsoft.com/office/spreadsheetml/2009/9/main" uri="{78C0D931-6437-407d-A8EE-F0AAD7539E65}">
      <x14:conditionalFormattings>
        <x14:conditionalFormatting xmlns:xm="http://schemas.microsoft.com/office/excel/2006/main">
          <x14:cfRule type="notContainsBlanks" priority="29" id="{B2200959-0782-4618-8052-9291E48EDF6C}">
            <xm:f>LEN(TRIM(IDENTIFICATION!D31))&gt;0</xm:f>
            <x14:dxf>
              <fill>
                <patternFill>
                  <bgColor theme="9" tint="0.59996337778862885"/>
                </patternFill>
              </fill>
            </x14:dxf>
          </x14:cfRule>
          <xm:sqref>D30 M30</xm:sqref>
        </x14:conditionalFormatting>
        <x14:conditionalFormatting xmlns:xm="http://schemas.microsoft.com/office/excel/2006/main">
          <x14:cfRule type="notContainsBlanks" priority="34" id="{41B5A3E2-6D4A-487B-8AD0-EDD7C870165B}">
            <xm:f>LEN(TRIM(IDENTIFICATION!E49))&gt;0</xm:f>
            <x14:dxf>
              <fill>
                <patternFill>
                  <bgColor theme="9" tint="0.59996337778862885"/>
                </patternFill>
              </fill>
            </x14:dxf>
          </x14:cfRule>
          <xm:sqref>E51 E53</xm:sqref>
        </x14:conditionalFormatting>
        <x14:conditionalFormatting xmlns:xm="http://schemas.microsoft.com/office/excel/2006/main">
          <x14:cfRule type="notContainsBlanks" priority="28" id="{0D246F80-DB56-4636-A817-C4A0AEF4AEC0}">
            <xm:f>LEN(TRIM(IDENTIFICATION!F55))&gt;0</xm:f>
            <x14:dxf>
              <fill>
                <patternFill>
                  <bgColor theme="9" tint="0.59996337778862885"/>
                </patternFill>
              </fill>
            </x14:dxf>
          </x14:cfRule>
          <xm:sqref>E55 E57:E60</xm:sqref>
        </x14:conditionalFormatting>
      </x14:conditionalFormattings>
    </ext>
    <ext xmlns:x14="http://schemas.microsoft.com/office/spreadsheetml/2009/9/main" uri="{CCE6A557-97BC-4b89-ADB6-D9C93CAAB3DF}">
      <x14:dataValidations xmlns:xm="http://schemas.microsoft.com/office/excel/2006/main" count="20">
        <x14:dataValidation type="list" allowBlank="1" showInputMessage="1" showErrorMessage="1" xr:uid="{00000000-0002-0000-0A00-000001000000}">
          <x14:formula1>
            <xm:f>'MENU DÉROULANT'!$D$110:$D$114</xm:f>
          </x14:formula1>
          <xm:sqref>F613:F614 K613:K614 F617:F618 K617:K618 F621:F622 K621:K622 F625:F627 F630:F631 K625:K627 K630:K631 F634:F636 K634:K636</xm:sqref>
        </x14:dataValidation>
        <x14:dataValidation type="list" allowBlank="1" showInputMessage="1" showErrorMessage="1" xr:uid="{00000000-0002-0000-0A00-000002000000}">
          <x14:formula1>
            <xm:f>'MENU DÉROULANT'!$E$110:$E$115</xm:f>
          </x14:formula1>
          <xm:sqref>F671:F672 K671:K672</xm:sqref>
        </x14:dataValidation>
        <x14:dataValidation type="list" allowBlank="1" showInputMessage="1" showErrorMessage="1" xr:uid="{00000000-0002-0000-0A00-000003000000}">
          <x14:formula1>
            <xm:f>'MENU DÉROULANT'!$E$73:$E$76</xm:f>
          </x14:formula1>
          <xm:sqref>H220:H229</xm:sqref>
        </x14:dataValidation>
        <x14:dataValidation type="list" allowBlank="1" showInputMessage="1" showErrorMessage="1" xr:uid="{00000000-0002-0000-0A00-000004000000}">
          <x14:formula1>
            <xm:f>'MENU DÉROULANT'!$C$85:$C$88</xm:f>
          </x14:formula1>
          <xm:sqref>F269:H274</xm:sqref>
        </x14:dataValidation>
        <x14:dataValidation type="list" allowBlank="1" showInputMessage="1" showErrorMessage="1" xr:uid="{00000000-0002-0000-0A00-000005000000}">
          <x14:formula1>
            <xm:f>'MENU DÉROULANT'!$C$110:$C$113</xm:f>
          </x14:formula1>
          <xm:sqref>H605:H610 M605:M610 H613:H614 M613:M614 H617:H618 M617:M618 H621:H622 M621:M622 H625:H627 M625:M627 H630:H631 M630:M631 H634:H636 M634:M636 H671:H672 M671:M672 H675:H676 M675:M676 H679 M679 H682 M682 H685:H686 M685:M686 H689:H690 M689:M690 H693:H695 M693:M695 H698 M698</xm:sqref>
        </x14:dataValidation>
        <x14:dataValidation type="list" allowBlank="1" showInputMessage="1" showErrorMessage="1" xr:uid="{00000000-0002-0000-0A00-000006000000}">
          <x14:formula1>
            <xm:f>'MENU DÉROULANT'!$F$73:$F$76</xm:f>
          </x14:formula1>
          <xm:sqref>I220:J229</xm:sqref>
        </x14:dataValidation>
        <x14:dataValidation type="list" allowBlank="1" showInputMessage="1" showErrorMessage="1" xr:uid="{00000000-0002-0000-0A00-000007000000}">
          <x14:formula1>
            <xm:f>'MENU DÉROULANT'!$C$73:$C$77</xm:f>
          </x14:formula1>
          <xm:sqref>F220:F229</xm:sqref>
        </x14:dataValidation>
        <x14:dataValidation type="list" allowBlank="1" showInputMessage="1" showErrorMessage="1" xr:uid="{00000000-0002-0000-0A00-000008000000}">
          <x14:formula1>
            <xm:f>'MENU DÉROULANT'!$D$73:$D$74</xm:f>
          </x14:formula1>
          <xm:sqref>G220:G229</xm:sqref>
        </x14:dataValidation>
        <x14:dataValidation type="list" allowBlank="1" showInputMessage="1" showErrorMessage="1" xr:uid="{00000000-0002-0000-0A00-000009000000}">
          <x14:formula1>
            <xm:f>'MENU DÉROULANT'!$C$60:$C$61</xm:f>
          </x14:formula1>
          <xm:sqref>G157</xm:sqref>
        </x14:dataValidation>
        <x14:dataValidation type="list" allowBlank="1" showInputMessage="1" showErrorMessage="1" xr:uid="{00000000-0002-0000-0A00-00000A000000}">
          <x14:formula1>
            <xm:f>'MENU DÉROULANT'!$D$110:$D$115</xm:f>
          </x14:formula1>
          <xm:sqref>F605:F610 K605:K610</xm:sqref>
        </x14:dataValidation>
        <x14:dataValidation type="list" allowBlank="1" showInputMessage="1" showErrorMessage="1" xr:uid="{00000000-0002-0000-0A00-00000B000000}">
          <x14:formula1>
            <xm:f>'MENU DÉROULANT'!$F$54:$F$58</xm:f>
          </x14:formula1>
          <xm:sqref>H120:M120</xm:sqref>
        </x14:dataValidation>
        <x14:dataValidation type="list" allowBlank="1" showInputMessage="1" showErrorMessage="1" xr:uid="{00000000-0002-0000-0A00-00000C000000}">
          <x14:formula1>
            <xm:f>'MENU DÉROULANT'!$C$68:$C$70</xm:f>
          </x14:formula1>
          <xm:sqref>H186:K187</xm:sqref>
        </x14:dataValidation>
        <x14:dataValidation type="list" allowBlank="1" showInputMessage="1" showErrorMessage="1" xr:uid="{00000000-0002-0000-0A00-00000D000000}">
          <x14:formula1>
            <xm:f>'MENU DÉROULANT'!$C$81:$C$83</xm:f>
          </x14:formula1>
          <xm:sqref>H258:K259</xm:sqref>
        </x14:dataValidation>
        <x14:dataValidation type="list" allowBlank="1" showInputMessage="1" showErrorMessage="1" xr:uid="{00000000-0002-0000-0A00-00000E000000}">
          <x14:formula1>
            <xm:f>'MENU DÉROULANT'!$C$96:$C$100</xm:f>
          </x14:formula1>
          <xm:sqref>F312:H317</xm:sqref>
        </x14:dataValidation>
        <x14:dataValidation type="list" allowBlank="1" showInputMessage="1" showErrorMessage="1" xr:uid="{00000000-0002-0000-0A00-00000F000000}">
          <x14:formula1>
            <xm:f>'MENU DÉROULANT'!$C$92:$C$94</xm:f>
          </x14:formula1>
          <xm:sqref>H302:K303</xm:sqref>
        </x14:dataValidation>
        <x14:dataValidation type="list" allowBlank="1" showInputMessage="1" showErrorMessage="1" xr:uid="{00000000-0002-0000-0A00-000010000000}">
          <x14:formula1>
            <xm:f>'MENU DÉROULANT'!$G$76:$G$77</xm:f>
          </x14:formula1>
          <xm:sqref>H199:I203</xm:sqref>
        </x14:dataValidation>
        <x14:dataValidation type="list" allowBlank="1" showInputMessage="1" showErrorMessage="1" xr:uid="{00000000-0002-0000-0A00-000011000000}">
          <x14:formula1>
            <xm:f>'MENU DÉROULANT'!$E$110:$E$114</xm:f>
          </x14:formula1>
          <xm:sqref>F675:F676 K675:K676 F679 K679 F682 K682 F685:F686 K685:K686 F689:F690 K689:K690 F693:F695 K693:K695 F698 K698</xm:sqref>
        </x14:dataValidation>
        <x14:dataValidation type="list" allowBlank="1" showInputMessage="1" showErrorMessage="1" xr:uid="{00000000-0002-0000-0A00-000012000000}">
          <x14:formula1>
            <xm:f>'MENU DÉROULANT'!$C$54:$C$58</xm:f>
          </x14:formula1>
          <xm:sqref>H81:M81</xm:sqref>
        </x14:dataValidation>
        <x14:dataValidation type="list" allowBlank="1" showInputMessage="1" showErrorMessage="1" xr:uid="{00000000-0002-0000-0A00-000013000000}">
          <x14:formula1>
            <xm:f>'MENU DÉROULANT'!$F$60:$F$64</xm:f>
          </x14:formula1>
          <xm:sqref>K160:L165</xm:sqref>
        </x14:dataValidation>
        <x14:dataValidation type="list" allowBlank="1" showInputMessage="1" showErrorMessage="1" xr:uid="{00000000-0002-0000-0A00-000014000000}">
          <x14:formula1>
            <xm:f>'MENU DÉROULANT'!$C$63:$C$64</xm:f>
          </x14:formula1>
          <xm:sqref>M73:O73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24988A"/>
    <pageSetUpPr fitToPage="1"/>
  </sheetPr>
  <dimension ref="A1:AF407"/>
  <sheetViews>
    <sheetView workbookViewId="0"/>
  </sheetViews>
  <sheetFormatPr baseColWidth="10" defaultRowHeight="15" x14ac:dyDescent="0.25"/>
  <cols>
    <col min="1" max="1" width="3.7109375" style="55" customWidth="1"/>
    <col min="2" max="2" width="20.42578125" style="28" customWidth="1"/>
    <col min="3" max="3" width="1.5703125" style="28" customWidth="1"/>
    <col min="4" max="4" width="25.5703125" style="28" customWidth="1"/>
    <col min="5" max="5" width="13.42578125" style="28" customWidth="1"/>
    <col min="6" max="15" width="11.7109375" style="28" customWidth="1"/>
    <col min="16" max="16" width="74.28515625" style="28" customWidth="1"/>
    <col min="17" max="17" width="28.42578125" style="28" customWidth="1"/>
    <col min="18" max="18" width="1.28515625" style="28" customWidth="1"/>
    <col min="19" max="30" width="7.7109375" style="28" customWidth="1"/>
    <col min="31" max="31" width="2" style="28" customWidth="1"/>
    <col min="32" max="16384" width="11.42578125" style="28"/>
  </cols>
  <sheetData>
    <row r="1" spans="2:32" s="55" customFormat="1" ht="9" customHeight="1" thickBot="1" x14ac:dyDescent="0.3"/>
    <row r="2" spans="2:32" s="55" customFormat="1" ht="32.25" customHeight="1" x14ac:dyDescent="0.25">
      <c r="B2" s="1279" t="s">
        <v>2011</v>
      </c>
      <c r="C2" s="1280"/>
      <c r="D2" s="1281"/>
      <c r="E2" s="1281"/>
      <c r="F2" s="1281"/>
      <c r="G2" s="1281"/>
      <c r="H2" s="1281"/>
      <c r="I2" s="1281"/>
      <c r="J2" s="1281"/>
      <c r="K2" s="1281"/>
      <c r="L2" s="1281"/>
      <c r="M2" s="1281"/>
      <c r="N2" s="1281"/>
      <c r="O2" s="1281"/>
      <c r="P2" s="1281"/>
      <c r="Q2" s="1282"/>
      <c r="R2" s="1282"/>
      <c r="S2" s="1282"/>
      <c r="T2" s="1282"/>
      <c r="U2" s="1282"/>
      <c r="V2" s="1282"/>
      <c r="W2" s="1282"/>
      <c r="X2" s="1282"/>
      <c r="Y2" s="1282"/>
      <c r="Z2" s="1282"/>
      <c r="AA2" s="1282"/>
      <c r="AB2" s="1282"/>
      <c r="AC2" s="1282"/>
      <c r="AD2" s="1282"/>
      <c r="AE2" s="1282"/>
      <c r="AF2" s="1282"/>
    </row>
    <row r="3" spans="2:32" s="55" customFormat="1" ht="57.75" customHeight="1" x14ac:dyDescent="0.25">
      <c r="P3" s="2582" t="s">
        <v>2149</v>
      </c>
    </row>
    <row r="4" spans="2:32" ht="31.5" customHeight="1" x14ac:dyDescent="0.35">
      <c r="B4" s="1283" t="s">
        <v>248</v>
      </c>
      <c r="C4" s="1283"/>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row>
    <row r="6" spans="2:32" ht="26.25" customHeight="1" x14ac:dyDescent="0.3">
      <c r="B6" s="1285" t="s">
        <v>164</v>
      </c>
      <c r="C6" s="1285"/>
      <c r="D6" s="1285"/>
      <c r="E6" s="1285"/>
      <c r="F6" s="1285"/>
      <c r="G6" s="1285"/>
      <c r="H6" s="1285"/>
      <c r="I6" s="1285"/>
      <c r="J6" s="1285"/>
      <c r="K6" s="1285"/>
      <c r="L6" s="1285"/>
      <c r="M6" s="1285"/>
      <c r="N6" s="1285"/>
      <c r="O6" s="1285"/>
      <c r="P6" s="1285"/>
      <c r="Q6" s="1285"/>
      <c r="R6" s="1285"/>
      <c r="S6" s="1285"/>
      <c r="T6" s="1285"/>
      <c r="U6" s="1285"/>
      <c r="V6" s="1285"/>
      <c r="W6" s="1285"/>
      <c r="X6" s="1285"/>
      <c r="Y6" s="1285"/>
      <c r="Z6" s="1285"/>
      <c r="AA6" s="1285"/>
      <c r="AB6" s="1285"/>
      <c r="AC6" s="1285"/>
      <c r="AD6" s="1285"/>
      <c r="AE6" s="1285"/>
      <c r="AF6" s="1285"/>
    </row>
    <row r="7" spans="2:32" ht="21" x14ac:dyDescent="0.35">
      <c r="B7" s="1767"/>
      <c r="C7" s="1767"/>
    </row>
    <row r="8" spans="2:32" x14ac:dyDescent="0.25">
      <c r="D8" s="1286" t="s">
        <v>160</v>
      </c>
      <c r="E8" s="1287"/>
      <c r="G8" s="1288" t="str">
        <f>IF(ISBLANK('FORMULAIRE PGA Eaux pluviales '!H30)=TRUE,"##",'FORMULAIRE PGA Eaux pluviales '!H30)</f>
        <v/>
      </c>
      <c r="H8" s="1289"/>
      <c r="I8" s="1289"/>
      <c r="J8" s="1289"/>
      <c r="K8" s="1287"/>
    </row>
    <row r="9" spans="2:32" x14ac:dyDescent="0.25">
      <c r="D9" s="1286" t="s">
        <v>159</v>
      </c>
      <c r="E9" s="1287"/>
      <c r="G9" s="1288" t="str">
        <f>IF(ISBLANK('FORMULAIRE PGA Eaux pluviales '!D30)=TRUE,"##",'FORMULAIRE PGA Eaux pluviales '!D30)</f>
        <v/>
      </c>
      <c r="H9" s="1289"/>
      <c r="I9" s="1289"/>
      <c r="J9" s="1289"/>
      <c r="K9" s="1287"/>
    </row>
    <row r="10" spans="2:32" x14ac:dyDescent="0.25">
      <c r="D10" s="1286" t="s">
        <v>158</v>
      </c>
      <c r="E10" s="1287"/>
      <c r="G10" s="1288" t="str">
        <f>IF(ISBLANK('FORMULAIRE PGA Eaux pluviales '!M30)=TRUE,"##",'FORMULAIRE PGA Eaux pluviales '!M30)</f>
        <v/>
      </c>
      <c r="H10" s="1289"/>
      <c r="I10" s="1289"/>
      <c r="J10" s="1289"/>
      <c r="K10" s="1287"/>
    </row>
    <row r="11" spans="2:32" x14ac:dyDescent="0.25">
      <c r="D11" s="1250" t="s">
        <v>285</v>
      </c>
      <c r="E11" s="1768"/>
      <c r="G11" s="1290" t="str">
        <f>IF(ISBLANK('FORMULAIRE PGA Eaux pluviales '!E51)=TRUE,"##",'FORMULAIRE PGA Eaux pluviales '!E51)</f>
        <v/>
      </c>
      <c r="H11" s="1289"/>
      <c r="I11" s="1289"/>
      <c r="J11" s="1289"/>
      <c r="K11" s="1287"/>
      <c r="L11" s="104"/>
    </row>
    <row r="12" spans="2:32" x14ac:dyDescent="0.25">
      <c r="D12" s="1769"/>
      <c r="E12" s="1770"/>
      <c r="G12" s="1291" t="s">
        <v>1794</v>
      </c>
      <c r="H12" s="1292" t="str">
        <f>IF(ISBLANK('FORMULAIRE PGA Eaux pluviales '!E53)=TRUE,"##",'FORMULAIRE PGA Eaux pluviales '!E53)</f>
        <v/>
      </c>
      <c r="I12" s="1286" t="s">
        <v>1793</v>
      </c>
      <c r="J12" s="1289"/>
      <c r="K12" s="1287"/>
      <c r="L12" s="104"/>
      <c r="M12" s="919"/>
      <c r="N12" s="919"/>
    </row>
    <row r="13" spans="2:32" x14ac:dyDescent="0.25">
      <c r="D13" s="1286" t="s">
        <v>1795</v>
      </c>
      <c r="E13" s="1287"/>
      <c r="G13" s="1293" t="str">
        <f>IF(ISBLANK('FORMULAIRE PGA Eaux pluviales '!E55)=TRUE,"##",'FORMULAIRE PGA Eaux pluviales '!E55)</f>
        <v/>
      </c>
      <c r="H13" s="1289"/>
      <c r="I13" s="1289"/>
      <c r="J13" s="1289"/>
      <c r="K13" s="1287"/>
      <c r="L13" s="104"/>
    </row>
    <row r="16" spans="2:32" ht="31.5" customHeight="1" x14ac:dyDescent="0.35">
      <c r="B16" s="1283" t="s">
        <v>249</v>
      </c>
      <c r="C16" s="1283"/>
      <c r="D16" s="1284"/>
      <c r="E16" s="1284"/>
      <c r="F16" s="1284"/>
      <c r="G16" s="1284"/>
      <c r="H16" s="1284"/>
      <c r="I16" s="1284"/>
      <c r="J16" s="1284"/>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84"/>
    </row>
    <row r="18" spans="1:32" ht="22.5" customHeight="1" x14ac:dyDescent="0.3">
      <c r="B18" s="1285" t="s">
        <v>167</v>
      </c>
      <c r="C18" s="1285"/>
      <c r="D18" s="1285"/>
      <c r="E18" s="1285"/>
      <c r="F18" s="1285"/>
      <c r="G18" s="1285"/>
      <c r="H18" s="1285"/>
      <c r="I18" s="1285"/>
      <c r="J18" s="1285"/>
      <c r="K18" s="1285"/>
      <c r="L18" s="1285"/>
      <c r="M18" s="1285"/>
      <c r="N18" s="1285"/>
      <c r="O18" s="1285"/>
      <c r="P18" s="1285"/>
      <c r="Q18" s="1285"/>
      <c r="R18" s="1285"/>
      <c r="S18" s="1285"/>
      <c r="T18" s="1285"/>
      <c r="U18" s="1285"/>
      <c r="V18" s="1285"/>
      <c r="W18" s="1285"/>
      <c r="X18" s="1285"/>
      <c r="Y18" s="1285"/>
      <c r="Z18" s="1285"/>
      <c r="AA18" s="1285"/>
      <c r="AB18" s="1285"/>
      <c r="AC18" s="1285"/>
      <c r="AD18" s="1285"/>
      <c r="AE18" s="1285"/>
      <c r="AF18" s="1285"/>
    </row>
    <row r="19" spans="1:32" ht="22.5" customHeight="1" x14ac:dyDescent="0.3">
      <c r="B19" s="1294"/>
      <c r="C19" s="1294"/>
      <c r="D19" s="1294"/>
      <c r="E19" s="1294"/>
      <c r="F19" s="1294"/>
      <c r="G19" s="1294"/>
      <c r="H19" s="1294"/>
      <c r="I19" s="1294"/>
      <c r="J19" s="1294"/>
      <c r="M19" s="1294"/>
      <c r="N19" s="1294"/>
      <c r="O19" s="1294"/>
      <c r="P19" s="1294"/>
      <c r="Q19" s="1294"/>
      <c r="R19" s="1294"/>
      <c r="S19" s="1294"/>
      <c r="T19" s="1294"/>
      <c r="U19" s="1294"/>
    </row>
    <row r="20" spans="1:32" s="72" customFormat="1" ht="43.5" customHeight="1" x14ac:dyDescent="0.25">
      <c r="A20" s="82"/>
      <c r="B20" s="1295"/>
      <c r="C20" s="1296"/>
      <c r="D20" s="1297"/>
      <c r="E20" s="1298" t="s">
        <v>71</v>
      </c>
      <c r="F20" s="1299" t="s">
        <v>127</v>
      </c>
      <c r="G20" s="1300" t="s">
        <v>1805</v>
      </c>
      <c r="H20" s="1297"/>
      <c r="I20" s="1299" t="s">
        <v>1806</v>
      </c>
      <c r="J20" s="1301" t="s">
        <v>2157</v>
      </c>
      <c r="K20" s="82"/>
      <c r="L20" s="82"/>
      <c r="M20" s="82"/>
      <c r="N20" s="82"/>
      <c r="O20" s="82"/>
    </row>
    <row r="21" spans="1:32" x14ac:dyDescent="0.25">
      <c r="B21" s="1302"/>
      <c r="C21" s="1303"/>
      <c r="D21" s="1304" t="s">
        <v>2035</v>
      </c>
      <c r="E21" s="1305">
        <f>'FORMULAIRE PGA Eaux pluviales '!G91</f>
        <v>0</v>
      </c>
      <c r="F21" s="1306" t="str">
        <f>IF(G21=0,"Aucun",G21)</f>
        <v>Aucun</v>
      </c>
      <c r="G21" s="1307">
        <f>'FORMULAIRE PGA Eaux pluviales '!G89</f>
        <v>0</v>
      </c>
      <c r="H21" s="1308"/>
      <c r="I21" s="1309" t="e">
        <f t="shared" ref="I21:I26" si="0">E21/$E$28</f>
        <v>#DIV/0!</v>
      </c>
      <c r="J21" s="369">
        <f>ROUNDDOWN(AVERAGE('FORMULAIRE PGA Eaux pluviales '!G605,'FORMULAIRE PGA Eaux pluviales '!G607),0)</f>
        <v>0</v>
      </c>
      <c r="K21" s="3443" t="s">
        <v>1528</v>
      </c>
      <c r="L21" s="1310" t="str">
        <f>D21</f>
        <v>Collecte / Linéaire</v>
      </c>
      <c r="M21" s="55"/>
      <c r="N21" s="1311"/>
      <c r="O21" s="1311"/>
      <c r="P21" s="3279"/>
      <c r="Q21" s="1310"/>
      <c r="R21" s="1310"/>
      <c r="S21" s="1310"/>
      <c r="T21" s="1310"/>
    </row>
    <row r="22" spans="1:32" ht="19.5" customHeight="1" x14ac:dyDescent="0.25">
      <c r="B22" s="1312"/>
      <c r="C22" s="1313"/>
      <c r="D22" s="1314" t="s">
        <v>2036</v>
      </c>
      <c r="E22" s="1315">
        <f>'FORMULAIRE PGA Eaux pluviales '!G100</f>
        <v>0</v>
      </c>
      <c r="F22" s="1306" t="str">
        <f>IF(G22=0,"Aucun",G22)</f>
        <v>Aucun</v>
      </c>
      <c r="G22" s="1317">
        <f>'FORMULAIRE PGA Eaux pluviales '!G98</f>
        <v>0</v>
      </c>
      <c r="H22" s="1308"/>
      <c r="I22" s="1318" t="e">
        <f t="shared" si="0"/>
        <v>#DIV/0!</v>
      </c>
      <c r="J22" s="1319">
        <f>ROUNDDOWN(AVERAGE('FORMULAIRE PGA Eaux pluviales '!G606,'FORMULAIRE PGA Eaux pluviales '!G608),0)</f>
        <v>0</v>
      </c>
      <c r="K22" s="3443"/>
      <c r="L22" s="3288" t="str">
        <f>F21</f>
        <v>Aucun</v>
      </c>
      <c r="M22" s="3288"/>
      <c r="N22" s="3288"/>
      <c r="O22" s="1320"/>
      <c r="P22" s="3279"/>
    </row>
    <row r="23" spans="1:32" x14ac:dyDescent="0.25">
      <c r="B23" s="1321"/>
      <c r="C23" s="1322"/>
      <c r="D23" s="1323" t="s">
        <v>2037</v>
      </c>
      <c r="E23" s="1324">
        <f>'FORMULAIRE PGA Eaux pluviales '!G112</f>
        <v>0</v>
      </c>
      <c r="F23" s="1325" t="str">
        <f>IF(AND(G23=0,H23=0),"Aucun",CONCATENATE(G23," km; ",H23," ouvrages"))</f>
        <v>Aucun</v>
      </c>
      <c r="G23" s="1335">
        <f>'FORMULAIRE PGA Eaux pluviales '!G108</f>
        <v>0</v>
      </c>
      <c r="H23" s="1336">
        <f>'FORMULAIRE PGA Eaux pluviales '!G110</f>
        <v>0</v>
      </c>
      <c r="I23" s="1337" t="e">
        <f t="shared" si="0"/>
        <v>#DIV/0!</v>
      </c>
      <c r="J23" s="2601"/>
      <c r="K23" s="3444" t="s">
        <v>1528</v>
      </c>
      <c r="L23" s="1310" t="str">
        <f>D22</f>
        <v>Collecte / Ponctuel</v>
      </c>
      <c r="M23" s="55"/>
      <c r="N23" s="1320"/>
      <c r="O23" s="1320"/>
      <c r="P23" s="3279"/>
    </row>
    <row r="24" spans="1:32" ht="19.5" customHeight="1" x14ac:dyDescent="0.25">
      <c r="B24" s="1302"/>
      <c r="C24" s="1303"/>
      <c r="D24" s="1326" t="s">
        <v>2038</v>
      </c>
      <c r="E24" s="1305">
        <f>'FORMULAIRE PGA Eaux pluviales '!G130</f>
        <v>0</v>
      </c>
      <c r="F24" s="1306" t="str">
        <f>IF('FORMULAIRE PGA Eaux pluviales '!M73='MENU DÉROULANT'!C63,"(Non applicable)",IF(G24=0,"Aucun",G24))</f>
        <v>Aucun</v>
      </c>
      <c r="G24" s="1307">
        <f>'FORMULAIRE PGA Eaux pluviales '!G128</f>
        <v>0</v>
      </c>
      <c r="H24" s="1308"/>
      <c r="I24" s="1309" t="e">
        <f t="shared" si="0"/>
        <v>#DIV/0!</v>
      </c>
      <c r="J24" s="369">
        <f>ROUNDDOWN(AVERAGE('FORMULAIRE PGA Eaux pluviales '!L605,'FORMULAIRE PGA Eaux pluviales '!L607),0)</f>
        <v>0</v>
      </c>
      <c r="K24" s="3444"/>
      <c r="L24" s="3287" t="str">
        <f>F22</f>
        <v>Aucun</v>
      </c>
      <c r="M24" s="3287"/>
      <c r="N24" s="3287"/>
      <c r="O24" s="1311"/>
    </row>
    <row r="25" spans="1:32" x14ac:dyDescent="0.25">
      <c r="B25" s="1327"/>
      <c r="C25" s="1328"/>
      <c r="D25" s="1329" t="s">
        <v>2039</v>
      </c>
      <c r="E25" s="1330">
        <f>'FORMULAIRE PGA Eaux pluviales '!G139</f>
        <v>0</v>
      </c>
      <c r="F25" s="1331" t="str">
        <f>IF('FORMULAIRE PGA Eaux pluviales '!M73='MENU DÉROULANT'!C63,"(Non applicable)",IF(G25=0,"Aucun",G25))</f>
        <v>Aucun</v>
      </c>
      <c r="G25" s="1317">
        <f>'FORMULAIRE PGA Eaux pluviales '!G137</f>
        <v>0</v>
      </c>
      <c r="H25" s="1332"/>
      <c r="I25" s="1318" t="e">
        <f t="shared" si="0"/>
        <v>#DIV/0!</v>
      </c>
      <c r="J25" s="1319">
        <f>ROUNDDOWN(AVERAGE('FORMULAIRE PGA Eaux pluviales '!L606,'FORMULAIRE PGA Eaux pluviales '!L608),0)</f>
        <v>0</v>
      </c>
      <c r="K25" s="3442" t="s">
        <v>1528</v>
      </c>
      <c r="L25" s="1310" t="str">
        <f>D24</f>
        <v>Traitement / Linéaire</v>
      </c>
      <c r="M25" s="55"/>
      <c r="N25" s="1320"/>
      <c r="O25" s="1320"/>
    </row>
    <row r="26" spans="1:32" ht="19.5" customHeight="1" x14ac:dyDescent="0.25">
      <c r="B26" s="1333"/>
      <c r="C26" s="517"/>
      <c r="D26" s="1323" t="s">
        <v>2040</v>
      </c>
      <c r="E26" s="1334">
        <f>'FORMULAIRE PGA Eaux pluviales '!G151</f>
        <v>0</v>
      </c>
      <c r="F26" s="1325" t="str">
        <f>IF('FORMULAIRE PGA Eaux pluviales '!M73='MENU DÉROULANT'!C63,"(Non applicable)",IF(AND(G26=0,H26=0),"Aucun",CONCATENATE(G26," km; ",H26," ouvrages")))</f>
        <v>Aucun</v>
      </c>
      <c r="G26" s="1335">
        <f>'FORMULAIRE PGA Eaux pluviales '!G147</f>
        <v>0</v>
      </c>
      <c r="H26" s="1336">
        <f>'FORMULAIRE PGA Eaux pluviales '!G149</f>
        <v>0</v>
      </c>
      <c r="I26" s="1337" t="e">
        <f t="shared" si="0"/>
        <v>#DIV/0!</v>
      </c>
      <c r="J26" s="2601"/>
      <c r="K26" s="3442"/>
      <c r="L26" s="3288" t="str">
        <f>F24</f>
        <v>Aucun</v>
      </c>
      <c r="M26" s="3288"/>
      <c r="N26" s="3288"/>
      <c r="O26" s="1320"/>
    </row>
    <row r="27" spans="1:32" ht="15" customHeight="1" x14ac:dyDescent="0.25">
      <c r="D27" s="1338"/>
      <c r="E27" s="1339"/>
      <c r="F27" s="1340"/>
      <c r="G27" s="1341"/>
      <c r="H27" s="1342"/>
      <c r="J27" s="1343" t="s">
        <v>163</v>
      </c>
      <c r="K27" s="3439" t="s">
        <v>1528</v>
      </c>
      <c r="L27" s="1310" t="str">
        <f>D25</f>
        <v>Traitement / Ponctuel</v>
      </c>
      <c r="M27" s="1320"/>
      <c r="N27" s="1320"/>
      <c r="O27" s="1320"/>
      <c r="P27" s="1428" t="s">
        <v>183</v>
      </c>
    </row>
    <row r="28" spans="1:32" ht="19.5" customHeight="1" x14ac:dyDescent="0.25">
      <c r="D28" s="1338" t="s">
        <v>1790</v>
      </c>
      <c r="E28" s="3266">
        <f>SUM(E21:E26)</f>
        <v>0</v>
      </c>
      <c r="F28" s="3266"/>
      <c r="G28" s="1341"/>
      <c r="H28" s="1342"/>
      <c r="I28" s="298" t="s">
        <v>2022</v>
      </c>
      <c r="J28" s="369">
        <f>IF(I33=1,0,IF(I33=2,J21,IF(I33=3,J22,ROUNDDOWN(AVERAGE(J21:J22),0))))</f>
        <v>0</v>
      </c>
      <c r="K28" s="3439"/>
      <c r="L28" s="3287" t="str">
        <f>F25</f>
        <v>Aucun</v>
      </c>
      <c r="M28" s="3287"/>
      <c r="N28" s="3287"/>
      <c r="O28" s="1320"/>
      <c r="P28" s="1429" t="s">
        <v>2168</v>
      </c>
    </row>
    <row r="29" spans="1:32" ht="15" customHeight="1" x14ac:dyDescent="0.25">
      <c r="D29" s="1338"/>
      <c r="E29" s="3266"/>
      <c r="F29" s="3266"/>
      <c r="G29" s="1341"/>
      <c r="H29" s="1342"/>
      <c r="I29" s="298" t="s">
        <v>2023</v>
      </c>
      <c r="J29" s="1344">
        <f>IF(I41=1,0,IF(I41=2,J24,IF(I41=3,J25,ROUNDDOWN(AVERAGE(J24:J25),0))))</f>
        <v>0</v>
      </c>
      <c r="K29" s="3440" t="s">
        <v>1528</v>
      </c>
      <c r="L29" s="1310" t="str">
        <f>D26</f>
        <v>Traitement / Autres actifs</v>
      </c>
      <c r="M29" s="1320"/>
      <c r="N29" s="1320"/>
      <c r="O29" s="1320"/>
      <c r="P29" s="2624" t="s">
        <v>2170</v>
      </c>
    </row>
    <row r="30" spans="1:32" ht="19.5" customHeight="1" x14ac:dyDescent="0.25">
      <c r="B30" s="1346" t="s">
        <v>1786</v>
      </c>
      <c r="C30" s="1346"/>
      <c r="D30" s="1347" t="s">
        <v>286</v>
      </c>
      <c r="E30" s="1348"/>
      <c r="F30" s="1342"/>
      <c r="G30" s="1341"/>
      <c r="H30" s="1342"/>
      <c r="J30" s="1344">
        <f>IF(OR(K36=1,I41=1),J28,IF(I33=1,J29,ROUNDDOWN(AVERAGE(J28:J29),0)))</f>
        <v>0</v>
      </c>
      <c r="K30" s="3440"/>
      <c r="L30" s="3287" t="str">
        <f>F26</f>
        <v>Aucun</v>
      </c>
      <c r="M30" s="3287"/>
      <c r="N30" s="3287"/>
      <c r="O30" s="1320"/>
      <c r="P30" s="1429" t="s">
        <v>2169</v>
      </c>
    </row>
    <row r="31" spans="1:32" x14ac:dyDescent="0.25">
      <c r="J31" s="1345"/>
      <c r="K31" s="3441" t="s">
        <v>1528</v>
      </c>
      <c r="L31" s="1310" t="str">
        <f>D23</f>
        <v>Collecte / Autres actifs</v>
      </c>
      <c r="M31" s="1320"/>
      <c r="N31" s="1320"/>
      <c r="O31" s="1320"/>
      <c r="P31" s="1429"/>
    </row>
    <row r="32" spans="1:32" ht="15.75" customHeight="1" x14ac:dyDescent="0.25">
      <c r="B32" s="2588" t="s">
        <v>1796</v>
      </c>
      <c r="C32" s="2589"/>
      <c r="D32" s="2589"/>
      <c r="E32" s="2590"/>
      <c r="F32" s="2591"/>
      <c r="G32" s="2592"/>
      <c r="H32" s="2591"/>
      <c r="I32" s="2589"/>
      <c r="J32" s="1345"/>
      <c r="K32" s="3441"/>
      <c r="L32" s="3287" t="str">
        <f>F23</f>
        <v>Aucun</v>
      </c>
      <c r="M32" s="3287"/>
      <c r="N32" s="3287"/>
      <c r="O32" s="1320"/>
    </row>
    <row r="33" spans="2:18" ht="19.5" customHeight="1" x14ac:dyDescent="0.35">
      <c r="B33" s="2593" t="s">
        <v>2041</v>
      </c>
      <c r="C33" s="2593"/>
      <c r="D33" s="2594">
        <f>'FORMULAIRE PGA Eaux pluviales '!H81</f>
        <v>0</v>
      </c>
      <c r="E33" s="2595"/>
      <c r="F33" s="2596"/>
      <c r="G33" s="2597"/>
      <c r="H33" s="2596"/>
      <c r="I33" s="2594">
        <f>IF('FORMULAIRE PGA Eaux pluviales '!O81="",0,'FORMULAIRE PGA Eaux pluviales '!O81)</f>
        <v>0</v>
      </c>
      <c r="J33" s="1345"/>
      <c r="K33" s="1349"/>
      <c r="L33" s="55"/>
      <c r="M33" s="55"/>
      <c r="N33" s="55"/>
      <c r="O33" s="1320"/>
    </row>
    <row r="34" spans="2:18" ht="15" customHeight="1" x14ac:dyDescent="0.25">
      <c r="B34" s="2589"/>
      <c r="C34" s="2589"/>
      <c r="D34" s="2598" t="s">
        <v>2159</v>
      </c>
      <c r="E34" s="3274" t="str">
        <f>IF(I33=1,"Aucun actif lié au sous-service Collecte dans la municipalité.","")</f>
        <v/>
      </c>
      <c r="F34" s="3274"/>
      <c r="G34" s="3274"/>
      <c r="H34" s="3274"/>
      <c r="I34" s="2589"/>
      <c r="M34" s="1345"/>
      <c r="N34" s="1345"/>
      <c r="O34" s="1320"/>
    </row>
    <row r="35" spans="2:18" x14ac:dyDescent="0.25">
      <c r="B35" s="2599"/>
      <c r="C35" s="2599"/>
      <c r="D35" s="2598"/>
      <c r="E35" s="3274"/>
      <c r="F35" s="3274"/>
      <c r="G35" s="3274"/>
      <c r="H35" s="3274"/>
      <c r="I35" s="2589"/>
      <c r="K35" s="2588" t="s">
        <v>2158</v>
      </c>
      <c r="L35" s="2589"/>
      <c r="M35" s="2602"/>
      <c r="N35" s="2602"/>
      <c r="O35" s="2602"/>
      <c r="P35" s="2589"/>
    </row>
    <row r="36" spans="2:18" ht="15" customHeight="1" x14ac:dyDescent="0.25">
      <c r="B36" s="2589"/>
      <c r="C36" s="2589"/>
      <c r="D36" s="2598" t="s">
        <v>1800</v>
      </c>
      <c r="E36" s="3274" t="str">
        <f>IF(I33=2,"(Aucun actif ponctuel pour Collecte)","")</f>
        <v/>
      </c>
      <c r="F36" s="3274"/>
      <c r="G36" s="3274"/>
      <c r="H36" s="3274"/>
      <c r="I36" s="2589"/>
      <c r="K36" s="2603">
        <f>IF(L36='MENU DÉROULANT'!C63,1,IF(L36='MENU DÉROULANT'!C64,2,0))</f>
        <v>0</v>
      </c>
      <c r="L36" s="2589">
        <f>'FORMULAIRE PGA Eaux pluviales '!M73</f>
        <v>0</v>
      </c>
      <c r="M36" s="2602"/>
      <c r="N36" s="2602"/>
      <c r="O36" s="2602"/>
      <c r="P36" s="2589"/>
    </row>
    <row r="37" spans="2:18" x14ac:dyDescent="0.25">
      <c r="B37" s="2599"/>
      <c r="C37" s="2599"/>
      <c r="D37" s="2589"/>
      <c r="E37" s="3274"/>
      <c r="F37" s="3274"/>
      <c r="G37" s="3274"/>
      <c r="H37" s="3274"/>
      <c r="I37" s="2589"/>
      <c r="M37" s="1345"/>
      <c r="N37" s="1345"/>
      <c r="O37" s="1320"/>
    </row>
    <row r="38" spans="2:18" ht="15" customHeight="1" x14ac:dyDescent="0.25">
      <c r="B38" s="2589"/>
      <c r="C38" s="2589"/>
      <c r="D38" s="2598" t="s">
        <v>1799</v>
      </c>
      <c r="E38" s="3274" t="str">
        <f>IF(I33=3,"(Aucun actif linéaire pour Collecte)","")</f>
        <v/>
      </c>
      <c r="F38" s="3274"/>
      <c r="G38" s="3274"/>
      <c r="H38" s="3274"/>
      <c r="I38" s="2589"/>
      <c r="M38" s="1345"/>
      <c r="N38" s="1345"/>
      <c r="O38" s="1320"/>
    </row>
    <row r="39" spans="2:18" x14ac:dyDescent="0.25">
      <c r="B39" s="2599"/>
      <c r="C39" s="2599"/>
      <c r="D39" s="2598"/>
      <c r="E39" s="3274"/>
      <c r="F39" s="3274"/>
      <c r="G39" s="3274"/>
      <c r="H39" s="3274"/>
      <c r="I39" s="2589"/>
      <c r="M39" s="1345"/>
      <c r="N39" s="1345"/>
      <c r="O39" s="1320"/>
    </row>
    <row r="40" spans="2:18" x14ac:dyDescent="0.25">
      <c r="B40" s="2599"/>
      <c r="C40" s="2599"/>
      <c r="D40" s="2598"/>
      <c r="E40" s="2600"/>
      <c r="F40" s="2600"/>
      <c r="G40" s="2600"/>
      <c r="H40" s="2600"/>
      <c r="I40" s="2589"/>
      <c r="M40" s="1345"/>
      <c r="N40" s="1345"/>
      <c r="O40" s="1320"/>
    </row>
    <row r="41" spans="2:18" ht="19.5" customHeight="1" x14ac:dyDescent="0.25">
      <c r="B41" s="2593" t="s">
        <v>2042</v>
      </c>
      <c r="C41" s="2593"/>
      <c r="D41" s="2594">
        <f>'FORMULAIRE PGA Eaux pluviales '!H120</f>
        <v>0</v>
      </c>
      <c r="E41" s="2590"/>
      <c r="F41" s="2591"/>
      <c r="G41" s="2592"/>
      <c r="H41" s="2591"/>
      <c r="I41" s="2594">
        <f>IF('FORMULAIRE PGA Eaux pluviales '!O120="",0,'FORMULAIRE PGA Eaux pluviales '!O120)</f>
        <v>0</v>
      </c>
      <c r="J41" s="1345"/>
      <c r="M41" s="1345"/>
      <c r="N41" s="1345"/>
      <c r="O41" s="1320"/>
    </row>
    <row r="42" spans="2:18" x14ac:dyDescent="0.25">
      <c r="B42" s="2599"/>
      <c r="C42" s="2599"/>
      <c r="D42" s="2598" t="s">
        <v>2160</v>
      </c>
      <c r="E42" s="3274" t="str">
        <f>IF(I41=1,"Aucun actif lié au sous-service Traitement dans la municipalité.","")</f>
        <v/>
      </c>
      <c r="F42" s="3274"/>
      <c r="G42" s="3274"/>
      <c r="H42" s="3274"/>
      <c r="I42" s="2589"/>
      <c r="J42" s="1345"/>
      <c r="M42" s="1345"/>
      <c r="N42" s="1345"/>
      <c r="O42" s="1320"/>
    </row>
    <row r="43" spans="2:18" x14ac:dyDescent="0.25">
      <c r="B43" s="2599"/>
      <c r="C43" s="2599"/>
      <c r="D43" s="2598"/>
      <c r="E43" s="3274"/>
      <c r="F43" s="3274"/>
      <c r="G43" s="3274"/>
      <c r="H43" s="3274"/>
      <c r="I43" s="2589"/>
      <c r="J43" s="1345"/>
      <c r="M43" s="1345"/>
      <c r="N43" s="1345"/>
      <c r="O43" s="1320"/>
    </row>
    <row r="44" spans="2:18" x14ac:dyDescent="0.25">
      <c r="B44" s="2599"/>
      <c r="C44" s="2599"/>
      <c r="D44" s="2598" t="s">
        <v>1800</v>
      </c>
      <c r="E44" s="3274" t="str">
        <f>IF(I41=2,"(Aucun actif ponctuel pour Traitement)","")</f>
        <v/>
      </c>
      <c r="F44" s="3274"/>
      <c r="G44" s="3274"/>
      <c r="H44" s="3274"/>
      <c r="I44" s="2589"/>
      <c r="J44" s="1345"/>
      <c r="M44" s="1345"/>
      <c r="N44" s="1345"/>
      <c r="O44" s="1320"/>
    </row>
    <row r="45" spans="2:18" x14ac:dyDescent="0.25">
      <c r="B45" s="2599"/>
      <c r="C45" s="2599"/>
      <c r="D45" s="2589"/>
      <c r="E45" s="3274"/>
      <c r="F45" s="3274"/>
      <c r="G45" s="3274"/>
      <c r="H45" s="3274"/>
      <c r="I45" s="2589"/>
      <c r="J45" s="1345"/>
      <c r="M45" s="1345"/>
      <c r="N45" s="1345"/>
      <c r="O45" s="1320"/>
    </row>
    <row r="46" spans="2:18" x14ac:dyDescent="0.25">
      <c r="B46" s="2599"/>
      <c r="C46" s="2599"/>
      <c r="D46" s="2598" t="s">
        <v>1799</v>
      </c>
      <c r="E46" s="3274" t="str">
        <f>IF(I41=3,"(Aucun actif linéaire pour Traitement)","")</f>
        <v/>
      </c>
      <c r="F46" s="3274"/>
      <c r="G46" s="3274"/>
      <c r="H46" s="3274"/>
      <c r="I46" s="2589"/>
      <c r="J46" s="1345"/>
      <c r="M46" s="1345"/>
      <c r="N46" s="1345"/>
      <c r="O46" s="1320"/>
    </row>
    <row r="47" spans="2:18" x14ac:dyDescent="0.25">
      <c r="B47" s="2589"/>
      <c r="C47" s="2589"/>
      <c r="D47" s="2598"/>
      <c r="E47" s="3274"/>
      <c r="F47" s="3274"/>
      <c r="G47" s="3274"/>
      <c r="H47" s="3274"/>
      <c r="I47" s="2589"/>
      <c r="J47" s="1345"/>
      <c r="O47" s="1320"/>
      <c r="P47" s="55"/>
      <c r="Q47" s="55"/>
      <c r="R47" s="55"/>
    </row>
    <row r="48" spans="2:18" ht="279" customHeight="1" x14ac:dyDescent="0.25">
      <c r="P48" s="55"/>
      <c r="Q48" s="55"/>
      <c r="R48" s="55"/>
    </row>
    <row r="49" spans="1:32" ht="36" customHeight="1" x14ac:dyDescent="0.25">
      <c r="E49" s="3438" t="s">
        <v>1789</v>
      </c>
      <c r="F49" s="3438"/>
    </row>
    <row r="50" spans="1:32" ht="27.75" customHeight="1" x14ac:dyDescent="0.25">
      <c r="D50" s="1936" t="str">
        <f>IF('FORMULAIRE PGA Eaux pluviales '!G157="oui","Certains actifs de la municipalité inclus ci-dessus, sont en mode partagé, soit:","Aucun des actifs inclus ci-dessus n'est en mode partagé")</f>
        <v>Aucun des actifs inclus ci-dessus n'est en mode partagé</v>
      </c>
      <c r="E50" s="1937"/>
      <c r="F50" s="1937"/>
      <c r="G50" s="1937"/>
      <c r="H50" s="1937"/>
      <c r="I50" s="1937"/>
      <c r="J50" s="1938"/>
      <c r="K50" s="1939"/>
      <c r="L50" s="1939"/>
      <c r="M50" s="1940"/>
      <c r="N50" s="1356"/>
    </row>
    <row r="51" spans="1:32" ht="22.5" customHeight="1" x14ac:dyDescent="0.25">
      <c r="D51" s="1938"/>
      <c r="E51" s="1941" t="s">
        <v>2022</v>
      </c>
      <c r="F51" s="1941"/>
      <c r="G51" s="1941"/>
      <c r="H51" s="2556" t="str">
        <f>IF(('FORMULAIRE PGA Eaux pluviales '!$H$120='MENU DÉROULANT'!$C$54),"(Aucun actif)","")</f>
        <v/>
      </c>
      <c r="I51" s="1941" t="s">
        <v>2023</v>
      </c>
      <c r="J51" s="2554" t="str">
        <f>IF('FORMULAIRE PGA Eaux pluviales '!M73='MENU DÉROULANT'!C63,"(Non applicable)","")</f>
        <v/>
      </c>
      <c r="K51" s="1941"/>
      <c r="L51" s="2556" t="str">
        <f>IF(('FORMULAIRE PGA Eaux pluviales '!$H$81='MENU DÉROULANT'!$F$54),"(Aucun actif)","")</f>
        <v/>
      </c>
      <c r="M51" s="1940"/>
      <c r="N51" s="1356"/>
    </row>
    <row r="52" spans="1:32" ht="18" customHeight="1" x14ac:dyDescent="0.25">
      <c r="D52" s="1942" t="s">
        <v>269</v>
      </c>
      <c r="E52" s="3269" t="str">
        <f>IF(ISBLANK('FORMULAIRE PGA Eaux pluviales '!G160)=TRUE,"",CONCATENATE('FORMULAIRE PGA Eaux pluviales '!G160,"; ",'FORMULAIRE PGA Eaux pluviales '!K160))</f>
        <v/>
      </c>
      <c r="F52" s="3269"/>
      <c r="G52" s="3269"/>
      <c r="H52" s="3269"/>
      <c r="I52" s="3269" t="str">
        <f>IF(ISBLANK('FORMULAIRE PGA Eaux pluviales '!G163)=TRUE,"",CONCATENATE('FORMULAIRE PGA Eaux pluviales '!G163,"; ",'FORMULAIRE PGA Eaux pluviales '!K163))</f>
        <v/>
      </c>
      <c r="J52" s="3269"/>
      <c r="K52" s="3269"/>
      <c r="L52" s="3269"/>
      <c r="M52" s="1940"/>
      <c r="N52" s="1356"/>
    </row>
    <row r="53" spans="1:32" ht="18" customHeight="1" x14ac:dyDescent="0.25">
      <c r="D53" s="1942" t="s">
        <v>270</v>
      </c>
      <c r="E53" s="3269" t="str">
        <f>IF(ISBLANK('FORMULAIRE PGA Eaux pluviales '!G161)=TRUE,"",CONCATENATE('FORMULAIRE PGA Eaux pluviales '!G161,"; ",'FORMULAIRE PGA Eaux pluviales '!K161))</f>
        <v/>
      </c>
      <c r="F53" s="3269"/>
      <c r="G53" s="3269"/>
      <c r="H53" s="3269"/>
      <c r="I53" s="3269" t="str">
        <f>IF(ISBLANK('FORMULAIRE PGA Eaux pluviales '!G164)=TRUE,"",CONCATENATE('FORMULAIRE PGA Eaux pluviales '!G164,"; ",'FORMULAIRE PGA Eaux pluviales '!K164))</f>
        <v/>
      </c>
      <c r="J53" s="3269"/>
      <c r="K53" s="3269"/>
      <c r="L53" s="3269"/>
      <c r="M53" s="1940"/>
      <c r="N53" s="1356"/>
    </row>
    <row r="54" spans="1:32" ht="18" customHeight="1" x14ac:dyDescent="0.25">
      <c r="D54" s="1942" t="s">
        <v>191</v>
      </c>
      <c r="E54" s="3269" t="str">
        <f>IF(ISBLANK('FORMULAIRE PGA Eaux pluviales '!G162)=TRUE,"",CONCATENATE('FORMULAIRE PGA Eaux pluviales '!G162,"; ",'FORMULAIRE PGA Eaux pluviales '!K162))</f>
        <v/>
      </c>
      <c r="F54" s="3269"/>
      <c r="G54" s="3269"/>
      <c r="H54" s="3269"/>
      <c r="I54" s="3269" t="str">
        <f>IF(ISBLANK('FORMULAIRE PGA Eaux pluviales '!G165)=TRUE,"",CONCATENATE('FORMULAIRE PGA Eaux pluviales '!G165,"; ",'FORMULAIRE PGA Eaux pluviales '!K165))</f>
        <v/>
      </c>
      <c r="J54" s="3269"/>
      <c r="K54" s="3269"/>
      <c r="L54" s="3269"/>
      <c r="M54" s="1940"/>
      <c r="N54" s="1356"/>
    </row>
    <row r="55" spans="1:32" x14ac:dyDescent="0.25">
      <c r="D55" s="1943"/>
      <c r="E55" s="1943"/>
      <c r="F55" s="1943"/>
      <c r="G55" s="1943"/>
      <c r="H55" s="1943"/>
      <c r="I55" s="1943"/>
      <c r="J55" s="1943"/>
      <c r="K55" s="1943"/>
      <c r="L55" s="1943"/>
      <c r="M55" s="1943"/>
    </row>
    <row r="58" spans="1:32" ht="22.5" customHeight="1" x14ac:dyDescent="0.3">
      <c r="B58" s="1285" t="s">
        <v>168</v>
      </c>
      <c r="C58" s="1285"/>
      <c r="D58" s="1285"/>
      <c r="E58" s="1285"/>
      <c r="F58" s="1285"/>
      <c r="G58" s="1285"/>
      <c r="H58" s="1285"/>
      <c r="I58" s="1285"/>
      <c r="J58" s="1285"/>
      <c r="K58" s="1285"/>
      <c r="L58" s="1285"/>
      <c r="M58" s="1285"/>
      <c r="N58" s="1285"/>
      <c r="O58" s="1285"/>
      <c r="P58" s="1285"/>
      <c r="Q58" s="1285"/>
      <c r="R58" s="1285"/>
      <c r="S58" s="1285"/>
      <c r="T58" s="1285"/>
      <c r="U58" s="1285"/>
      <c r="V58" s="1285"/>
      <c r="W58" s="1285"/>
      <c r="X58" s="1285"/>
      <c r="Y58" s="1285"/>
      <c r="Z58" s="1285"/>
      <c r="AA58" s="1285"/>
      <c r="AB58" s="1285"/>
      <c r="AC58" s="1285"/>
      <c r="AD58" s="1285"/>
      <c r="AE58" s="1285"/>
      <c r="AF58" s="1285"/>
    </row>
    <row r="59" spans="1:32" ht="18.75" x14ac:dyDescent="0.3">
      <c r="B59" s="1294"/>
      <c r="C59" s="1294"/>
      <c r="D59" s="1294"/>
      <c r="E59" s="1294"/>
      <c r="F59" s="1294"/>
      <c r="G59" s="1294"/>
      <c r="H59" s="1294"/>
      <c r="I59" s="1294"/>
      <c r="J59" s="1294"/>
      <c r="K59" s="1294"/>
      <c r="L59" s="1294"/>
      <c r="M59" s="1294"/>
      <c r="N59" s="1294"/>
      <c r="O59" s="1294"/>
      <c r="P59" s="1294"/>
    </row>
    <row r="60" spans="1:32" ht="24" x14ac:dyDescent="0.25">
      <c r="B60" s="517"/>
      <c r="C60" s="517"/>
      <c r="D60" s="517"/>
      <c r="E60" s="2613" t="s">
        <v>46</v>
      </c>
      <c r="F60" s="2614" t="s">
        <v>47</v>
      </c>
      <c r="G60" s="2614" t="s">
        <v>48</v>
      </c>
      <c r="H60" s="2614" t="s">
        <v>49</v>
      </c>
      <c r="I60" s="2614" t="s">
        <v>50</v>
      </c>
      <c r="J60" s="2614" t="s">
        <v>35</v>
      </c>
      <c r="K60" s="2615" t="s">
        <v>176</v>
      </c>
      <c r="L60" s="2614" t="s">
        <v>161</v>
      </c>
      <c r="M60" s="2614" t="s">
        <v>2161</v>
      </c>
      <c r="N60" s="2614" t="s">
        <v>2162</v>
      </c>
    </row>
    <row r="61" spans="1:32" s="314" customFormat="1" ht="105.75" customHeight="1" x14ac:dyDescent="0.25">
      <c r="A61" s="684"/>
      <c r="B61" s="380" t="s">
        <v>2022</v>
      </c>
      <c r="C61" s="380"/>
      <c r="D61" s="380" t="s">
        <v>69</v>
      </c>
      <c r="E61" s="2609">
        <f>'FORMULAIRE PGA Eaux pluviales '!J89</f>
        <v>0</v>
      </c>
      <c r="F61" s="1360">
        <f>'FORMULAIRE PGA Eaux pluviales '!K89</f>
        <v>0</v>
      </c>
      <c r="G61" s="1360">
        <f>'FORMULAIRE PGA Eaux pluviales '!L89</f>
        <v>0</v>
      </c>
      <c r="H61" s="1360">
        <f>'FORMULAIRE PGA Eaux pluviales '!M89</f>
        <v>0</v>
      </c>
      <c r="I61" s="1360">
        <f>'FORMULAIRE PGA Eaux pluviales '!N89</f>
        <v>0</v>
      </c>
      <c r="J61" s="1360">
        <f>'FORMULAIRE PGA Eaux pluviales '!O89</f>
        <v>1</v>
      </c>
      <c r="K61" s="2611">
        <f>SUM(E61:J61)</f>
        <v>1</v>
      </c>
      <c r="L61" s="314">
        <f>'FORMULAIRE PGA Eaux pluviales '!G609</f>
        <v>0</v>
      </c>
      <c r="M61" s="3292">
        <f>IF(I33=1,0,IF(I33=2,L61,IF(I33=3,L62,ROUNDDOWN(AVERAGE(L61:L62),0))))</f>
        <v>0</v>
      </c>
      <c r="N61" s="3292">
        <f>IF(OR(K36=1,I41=1),M61,IF(I33=1,M63,ROUNDDOWN(AVERAGE(M61:M64),0)))</f>
        <v>0</v>
      </c>
    </row>
    <row r="62" spans="1:32" s="314" customFormat="1" ht="105.75" customHeight="1" x14ac:dyDescent="0.25">
      <c r="A62" s="684"/>
      <c r="B62" s="2606" t="s">
        <v>2022</v>
      </c>
      <c r="C62" s="2606"/>
      <c r="D62" s="2606" t="s">
        <v>77</v>
      </c>
      <c r="E62" s="2610">
        <f>'FORMULAIRE PGA Eaux pluviales '!J98</f>
        <v>0</v>
      </c>
      <c r="F62" s="2607">
        <f>'FORMULAIRE PGA Eaux pluviales '!K98</f>
        <v>0</v>
      </c>
      <c r="G62" s="2607">
        <f>'FORMULAIRE PGA Eaux pluviales '!L98</f>
        <v>0</v>
      </c>
      <c r="H62" s="2607">
        <f>'FORMULAIRE PGA Eaux pluviales '!M98</f>
        <v>0</v>
      </c>
      <c r="I62" s="2607">
        <f>'FORMULAIRE PGA Eaux pluviales '!N98</f>
        <v>0</v>
      </c>
      <c r="J62" s="2607">
        <f>'FORMULAIRE PGA Eaux pluviales '!O98</f>
        <v>1</v>
      </c>
      <c r="K62" s="2612">
        <f>SUM(E62:J62)</f>
        <v>1</v>
      </c>
      <c r="L62" s="2608">
        <f>'FORMULAIRE PGA Eaux pluviales '!G610</f>
        <v>0</v>
      </c>
      <c r="M62" s="3294"/>
      <c r="N62" s="3293"/>
    </row>
    <row r="63" spans="1:32" s="314" customFormat="1" ht="105.75" customHeight="1" x14ac:dyDescent="0.25">
      <c r="A63" s="684"/>
      <c r="B63" s="380" t="s">
        <v>2023</v>
      </c>
      <c r="C63" s="380"/>
      <c r="D63" s="380" t="s">
        <v>69</v>
      </c>
      <c r="E63" s="2609">
        <f>'FORMULAIRE PGA Eaux pluviales '!J128</f>
        <v>0</v>
      </c>
      <c r="F63" s="1360">
        <f>'FORMULAIRE PGA Eaux pluviales '!K128</f>
        <v>0</v>
      </c>
      <c r="G63" s="1360">
        <f>'FORMULAIRE PGA Eaux pluviales '!L128</f>
        <v>0</v>
      </c>
      <c r="H63" s="1360">
        <f>'FORMULAIRE PGA Eaux pluviales '!M128</f>
        <v>0</v>
      </c>
      <c r="I63" s="1360">
        <f>'FORMULAIRE PGA Eaux pluviales '!N128</f>
        <v>0</v>
      </c>
      <c r="J63" s="1360">
        <f>'FORMULAIRE PGA Eaux pluviales '!O128</f>
        <v>1</v>
      </c>
      <c r="K63" s="2611">
        <f>SUM(E63:J63)</f>
        <v>1</v>
      </c>
      <c r="L63" s="314">
        <f>'FORMULAIRE PGA Eaux pluviales '!L609</f>
        <v>0</v>
      </c>
      <c r="M63" s="3292">
        <f>IF(I41=1,0,IF(I41=2,L63,IF(I41=3,L64,ROUNDDOWN(AVERAGE(L63:L64),0))))</f>
        <v>0</v>
      </c>
      <c r="N63" s="3293"/>
    </row>
    <row r="64" spans="1:32" s="314" customFormat="1" ht="105.75" customHeight="1" x14ac:dyDescent="0.25">
      <c r="A64" s="684"/>
      <c r="B64" s="2606" t="s">
        <v>2023</v>
      </c>
      <c r="C64" s="2606"/>
      <c r="D64" s="2606" t="s">
        <v>77</v>
      </c>
      <c r="E64" s="2610">
        <f>'FORMULAIRE PGA Eaux pluviales '!J137</f>
        <v>0</v>
      </c>
      <c r="F64" s="2607">
        <f>'FORMULAIRE PGA Eaux pluviales '!K137</f>
        <v>0</v>
      </c>
      <c r="G64" s="2607">
        <f>'FORMULAIRE PGA Eaux pluviales '!L137</f>
        <v>0</v>
      </c>
      <c r="H64" s="2607">
        <f>'FORMULAIRE PGA Eaux pluviales '!M137</f>
        <v>0</v>
      </c>
      <c r="I64" s="2607">
        <f>'FORMULAIRE PGA Eaux pluviales '!N137</f>
        <v>0</v>
      </c>
      <c r="J64" s="2607">
        <f>'FORMULAIRE PGA Eaux pluviales '!O137</f>
        <v>1</v>
      </c>
      <c r="K64" s="2612">
        <f>SUM(E64:J64)</f>
        <v>1</v>
      </c>
      <c r="L64" s="2608">
        <f>'FORMULAIRE PGA Eaux pluviales '!L610</f>
        <v>0</v>
      </c>
      <c r="M64" s="3294"/>
      <c r="N64" s="3294"/>
    </row>
    <row r="65" spans="1:32" s="314" customFormat="1" ht="17.25" customHeight="1" x14ac:dyDescent="0.25">
      <c r="A65" s="684"/>
      <c r="B65" s="380"/>
      <c r="C65" s="380"/>
      <c r="D65" s="380"/>
      <c r="E65" s="1360"/>
      <c r="F65" s="1360"/>
      <c r="G65" s="1360"/>
      <c r="H65" s="1360"/>
      <c r="I65" s="1360"/>
      <c r="J65" s="1360"/>
      <c r="K65" s="1361"/>
    </row>
    <row r="67" spans="1:32" ht="31.5" customHeight="1" x14ac:dyDescent="0.35">
      <c r="B67" s="1283" t="s">
        <v>250</v>
      </c>
      <c r="C67" s="1283"/>
      <c r="D67" s="1284"/>
      <c r="E67" s="1284"/>
      <c r="F67" s="1284"/>
      <c r="G67" s="1284"/>
      <c r="H67" s="1284"/>
      <c r="I67" s="1284"/>
      <c r="J67" s="1284"/>
      <c r="K67" s="1284"/>
      <c r="L67" s="1284"/>
      <c r="M67" s="1284"/>
      <c r="N67" s="1284"/>
      <c r="O67" s="1284"/>
      <c r="P67" s="1284"/>
      <c r="Q67" s="1284"/>
      <c r="R67" s="1284"/>
      <c r="S67" s="1284"/>
      <c r="T67" s="1284"/>
      <c r="U67" s="1284"/>
      <c r="V67" s="1284"/>
      <c r="W67" s="1284"/>
      <c r="X67" s="1284"/>
      <c r="Y67" s="1284"/>
      <c r="Z67" s="1284"/>
      <c r="AA67" s="1284"/>
      <c r="AB67" s="1284"/>
      <c r="AC67" s="1284"/>
      <c r="AD67" s="1284"/>
      <c r="AE67" s="1284"/>
      <c r="AF67" s="1284"/>
    </row>
    <row r="69" spans="1:32" ht="22.5" customHeight="1" x14ac:dyDescent="0.3">
      <c r="B69" s="1285" t="s">
        <v>226</v>
      </c>
      <c r="C69" s="1285"/>
      <c r="D69" s="1285"/>
      <c r="E69" s="1285"/>
      <c r="F69" s="1285"/>
      <c r="G69" s="1285"/>
      <c r="H69" s="1285"/>
      <c r="I69" s="1285"/>
      <c r="J69" s="1285"/>
      <c r="K69" s="1285"/>
      <c r="L69" s="1285"/>
      <c r="M69" s="1285"/>
      <c r="N69" s="1285"/>
      <c r="O69" s="1285"/>
      <c r="P69" s="1285"/>
      <c r="Q69" s="1285"/>
      <c r="R69" s="1285"/>
      <c r="S69" s="1285"/>
      <c r="T69" s="1285"/>
      <c r="U69" s="1285"/>
      <c r="V69" s="1285"/>
      <c r="W69" s="1285"/>
      <c r="X69" s="1285"/>
      <c r="Y69" s="1285"/>
      <c r="Z69" s="1285"/>
      <c r="AA69" s="1285"/>
      <c r="AB69" s="1285"/>
      <c r="AC69" s="1285"/>
      <c r="AD69" s="1285"/>
      <c r="AE69" s="1285"/>
      <c r="AF69" s="1285"/>
    </row>
    <row r="70" spans="1:32" ht="18.75" x14ac:dyDescent="0.3">
      <c r="B70" s="1294"/>
      <c r="C70" s="1294"/>
      <c r="D70" s="1294"/>
      <c r="E70" s="1294"/>
      <c r="F70" s="1294"/>
      <c r="G70" s="1294"/>
      <c r="H70" s="1294"/>
      <c r="I70" s="1294"/>
      <c r="J70" s="1294"/>
      <c r="K70" s="1294"/>
      <c r="L70" s="1294"/>
      <c r="M70" s="1294"/>
      <c r="N70" s="1294"/>
      <c r="O70" s="1294"/>
      <c r="P70" s="1294"/>
      <c r="Q70" s="1294"/>
      <c r="R70" s="1294"/>
      <c r="S70" s="1294"/>
      <c r="T70" s="1294"/>
      <c r="U70" s="1294"/>
      <c r="V70" s="1294"/>
      <c r="W70" s="1294"/>
      <c r="X70" s="1294"/>
      <c r="Y70" s="1294"/>
      <c r="Z70" s="1294"/>
      <c r="AA70" s="1294"/>
      <c r="AB70" s="1294"/>
      <c r="AC70" s="1294"/>
      <c r="AD70" s="1294"/>
      <c r="AE70" s="1294"/>
      <c r="AF70" s="1294"/>
    </row>
    <row r="71" spans="1:32" ht="25.5" customHeight="1" x14ac:dyDescent="0.3">
      <c r="B71" s="1294"/>
      <c r="C71" s="1294"/>
      <c r="D71" s="1362" t="s">
        <v>1811</v>
      </c>
      <c r="E71" s="1294"/>
      <c r="F71" s="1294"/>
      <c r="I71" s="1294"/>
      <c r="L71" s="1294"/>
      <c r="N71" s="1363" t="s">
        <v>161</v>
      </c>
      <c r="O71" s="1364">
        <f>IF(OR(I41=1,K36=1),'FORMULAIRE PGA Eaux pluviales '!G613,IF(I33=1,'FORMULAIRE PGA Eaux pluviales '!L613,ROUNDDOWN(AVERAGE('FORMULAIRE PGA Eaux pluviales '!G613,'FORMULAIRE PGA Eaux pluviales '!L613),0)))</f>
        <v>0</v>
      </c>
      <c r="P71" s="1294"/>
      <c r="Q71" s="1294"/>
      <c r="R71" s="1294"/>
      <c r="S71" s="1294"/>
      <c r="T71" s="1294"/>
      <c r="U71" s="1294"/>
      <c r="V71" s="1294"/>
      <c r="W71" s="1294"/>
      <c r="X71" s="1294"/>
      <c r="Y71" s="1294"/>
      <c r="Z71" s="1294"/>
      <c r="AA71" s="1294"/>
      <c r="AB71" s="1294"/>
      <c r="AC71" s="1294"/>
      <c r="AD71" s="1294"/>
      <c r="AE71" s="1294"/>
      <c r="AF71" s="1294"/>
    </row>
    <row r="72" spans="1:32" ht="18.75" x14ac:dyDescent="0.3">
      <c r="B72" s="1294"/>
      <c r="C72" s="1294"/>
      <c r="D72" s="1294"/>
      <c r="E72" s="1294"/>
      <c r="F72" s="1294"/>
      <c r="G72" s="1294"/>
      <c r="H72" s="1294"/>
      <c r="I72" s="1294"/>
      <c r="J72" s="1294"/>
      <c r="K72" s="1294"/>
      <c r="L72" s="1294"/>
      <c r="O72" s="1294"/>
      <c r="P72" s="1294"/>
      <c r="Q72" s="1294"/>
      <c r="R72" s="1294"/>
      <c r="S72" s="1294"/>
      <c r="T72" s="1294"/>
      <c r="U72" s="1294"/>
      <c r="V72" s="1294"/>
      <c r="W72" s="1294"/>
      <c r="X72" s="1294"/>
      <c r="Y72" s="1294"/>
      <c r="Z72" s="1294"/>
      <c r="AA72" s="1294"/>
      <c r="AB72" s="1294"/>
      <c r="AC72" s="1294"/>
      <c r="AD72" s="1294"/>
      <c r="AE72" s="1294"/>
      <c r="AF72" s="1294"/>
    </row>
    <row r="73" spans="1:32" ht="18.75" x14ac:dyDescent="0.3">
      <c r="B73" s="1294"/>
      <c r="C73" s="1294"/>
      <c r="D73" s="1294"/>
      <c r="E73" s="1294"/>
      <c r="F73" s="1294"/>
      <c r="G73" s="1294"/>
      <c r="H73" s="1294"/>
      <c r="I73" s="1294"/>
      <c r="J73" s="1294"/>
      <c r="K73" s="1294"/>
      <c r="L73" s="1294"/>
      <c r="M73" s="1294"/>
      <c r="N73" s="1294"/>
      <c r="O73" s="1294"/>
      <c r="P73" s="1294"/>
      <c r="Q73" s="1294"/>
      <c r="R73" s="1294"/>
      <c r="S73" s="1294"/>
      <c r="T73" s="1294"/>
      <c r="U73" s="1294"/>
      <c r="V73" s="1294"/>
      <c r="W73" s="1294"/>
      <c r="X73" s="1294"/>
      <c r="Y73" s="1294"/>
      <c r="Z73" s="1294"/>
      <c r="AA73" s="1294"/>
      <c r="AB73" s="1294"/>
      <c r="AC73" s="1294"/>
      <c r="AD73" s="1294"/>
      <c r="AE73" s="1294"/>
      <c r="AF73" s="1294"/>
    </row>
    <row r="74" spans="1:32" ht="22.5" customHeight="1" x14ac:dyDescent="0.3">
      <c r="B74" s="1285" t="s">
        <v>230</v>
      </c>
      <c r="C74" s="1285"/>
      <c r="D74" s="1285"/>
      <c r="E74" s="1285"/>
      <c r="F74" s="1285"/>
      <c r="G74" s="1285"/>
      <c r="H74" s="1285"/>
      <c r="I74" s="1285"/>
      <c r="J74" s="1285"/>
      <c r="K74" s="1285"/>
      <c r="L74" s="1285"/>
      <c r="M74" s="1285"/>
      <c r="N74" s="1285"/>
      <c r="O74" s="1285"/>
      <c r="P74" s="1285"/>
      <c r="Q74" s="1285"/>
      <c r="R74" s="1285"/>
      <c r="S74" s="1285"/>
      <c r="T74" s="1285"/>
      <c r="U74" s="1285"/>
      <c r="V74" s="1285"/>
      <c r="W74" s="1285"/>
      <c r="X74" s="1285"/>
      <c r="Y74" s="1285"/>
      <c r="Z74" s="1285"/>
      <c r="AA74" s="1285"/>
      <c r="AB74" s="1285"/>
      <c r="AC74" s="1285"/>
      <c r="AD74" s="1285"/>
      <c r="AE74" s="1285"/>
      <c r="AF74" s="1285"/>
    </row>
    <row r="75" spans="1:32" ht="18.75" x14ac:dyDescent="0.3">
      <c r="B75" s="1294"/>
      <c r="C75" s="1294"/>
      <c r="D75" s="1294"/>
      <c r="E75" s="1294"/>
      <c r="F75" s="1294"/>
      <c r="G75" s="1294"/>
      <c r="H75" s="1294"/>
      <c r="I75" s="1294"/>
      <c r="J75" s="1294"/>
      <c r="K75" s="1294"/>
      <c r="L75" s="1294"/>
      <c r="M75" s="1294"/>
      <c r="N75" s="1294"/>
      <c r="O75" s="1294"/>
      <c r="P75" s="1294"/>
      <c r="Q75" s="1294"/>
      <c r="R75" s="1294"/>
      <c r="S75" s="1294"/>
      <c r="T75" s="1294"/>
      <c r="U75" s="1294"/>
      <c r="V75" s="1294"/>
      <c r="W75" s="1294"/>
      <c r="X75" s="1294"/>
      <c r="Y75" s="1294"/>
      <c r="Z75" s="1294"/>
      <c r="AA75" s="1294"/>
      <c r="AB75" s="1294"/>
      <c r="AC75" s="1294"/>
      <c r="AD75" s="1294"/>
      <c r="AE75" s="1294"/>
      <c r="AF75" s="1294"/>
    </row>
    <row r="76" spans="1:32" ht="25.5" customHeight="1" x14ac:dyDescent="0.25">
      <c r="D76" s="1365" t="s">
        <v>223</v>
      </c>
      <c r="E76" s="1365" t="s">
        <v>1514</v>
      </c>
      <c r="F76" s="1365" t="s">
        <v>1515</v>
      </c>
      <c r="G76" s="1366"/>
      <c r="H76" s="314"/>
      <c r="I76" s="1367"/>
      <c r="J76" s="1368" t="str">
        <f>'MENU DÉROULANT'!D73</f>
        <v>Technique</v>
      </c>
      <c r="K76" s="1369" t="str">
        <f>'MENU DÉROULANT'!D74</f>
        <v>Citoyen</v>
      </c>
      <c r="L76" s="325"/>
      <c r="N76" s="1363" t="s">
        <v>161</v>
      </c>
      <c r="O76" s="1364">
        <f>O71</f>
        <v>0</v>
      </c>
    </row>
    <row r="77" spans="1:32" ht="18" customHeight="1" x14ac:dyDescent="0.25">
      <c r="B77" s="298"/>
      <c r="C77" s="298"/>
      <c r="D77" s="1127">
        <f>'FORMULAIRE PGA Eaux pluviales '!D220</f>
        <v>0</v>
      </c>
      <c r="E77" s="1127">
        <f>'FORMULAIRE PGA Eaux pluviales '!F220</f>
        <v>0</v>
      </c>
      <c r="F77" s="1127">
        <f>'FORMULAIRE PGA Eaux pluviales '!G220</f>
        <v>0</v>
      </c>
      <c r="G77" s="28">
        <v>1</v>
      </c>
      <c r="H77" s="1370"/>
      <c r="I77" s="1371" t="str">
        <f>'MENU DÉROULANT'!C73</f>
        <v>Fonction</v>
      </c>
      <c r="J77" s="1372">
        <f>SUMIFS($G$77:$G$86,$E$77:$E$86,I77,$F$77:$F$86,$J$76)</f>
        <v>0</v>
      </c>
      <c r="K77" s="1373">
        <f>SUMIFS($G$77:$G$86,$E$77:$E$86,I77,$F$77:$F$86,$K$76)</f>
        <v>0</v>
      </c>
      <c r="L77" s="325"/>
      <c r="M77" s="325"/>
      <c r="N77" s="152"/>
    </row>
    <row r="78" spans="1:32" ht="18" customHeight="1" x14ac:dyDescent="0.25">
      <c r="B78" s="298"/>
      <c r="C78" s="298"/>
      <c r="D78" s="1127">
        <f>'FORMULAIRE PGA Eaux pluviales '!D221</f>
        <v>0</v>
      </c>
      <c r="E78" s="1127">
        <f>'FORMULAIRE PGA Eaux pluviales '!F221</f>
        <v>0</v>
      </c>
      <c r="F78" s="1127">
        <f>'FORMULAIRE PGA Eaux pluviales '!G221</f>
        <v>0</v>
      </c>
      <c r="G78" s="28">
        <v>1</v>
      </c>
      <c r="H78" s="1370"/>
      <c r="I78" s="1371" t="str">
        <f>'MENU DÉROULANT'!C74</f>
        <v>Qualité</v>
      </c>
      <c r="J78" s="1374">
        <f>SUMIFS($G$77:$G$86,$E$77:$E$86,I78,$F$77:$F$86,$J$76)</f>
        <v>0</v>
      </c>
      <c r="K78" s="1375">
        <f>SUMIFS($G$77:$G$86,$E$77:$E$86,I78,$F$77:$F$86,$K$76)</f>
        <v>0</v>
      </c>
      <c r="L78" s="325"/>
      <c r="M78" s="325"/>
    </row>
    <row r="79" spans="1:32" ht="18" customHeight="1" x14ac:dyDescent="0.25">
      <c r="B79" s="298"/>
      <c r="C79" s="298"/>
      <c r="D79" s="1127">
        <f>'FORMULAIRE PGA Eaux pluviales '!D222</f>
        <v>0</v>
      </c>
      <c r="E79" s="1127">
        <f>'FORMULAIRE PGA Eaux pluviales '!F222</f>
        <v>0</v>
      </c>
      <c r="F79" s="1127">
        <f>'FORMULAIRE PGA Eaux pluviales '!G222</f>
        <v>0</v>
      </c>
      <c r="G79" s="28">
        <v>1</v>
      </c>
      <c r="H79" s="1370"/>
      <c r="I79" s="1371" t="str">
        <f>'MENU DÉROULANT'!C75</f>
        <v>État</v>
      </c>
      <c r="J79" s="1374">
        <f>SUMIFS($G$77:$G$86,$E$77:$E$86,I79,$F$77:$F$86,$J$76)</f>
        <v>0</v>
      </c>
      <c r="K79" s="1375">
        <f>SUMIFS($G$77:$G$86,$E$77:$E$86,I79,$F$77:$F$86,$K$76)</f>
        <v>0</v>
      </c>
      <c r="L79" s="325"/>
      <c r="M79" s="325"/>
      <c r="N79" s="152"/>
    </row>
    <row r="80" spans="1:32" ht="18" customHeight="1" x14ac:dyDescent="0.25">
      <c r="B80" s="298"/>
      <c r="C80" s="298"/>
      <c r="D80" s="1127">
        <f>'FORMULAIRE PGA Eaux pluviales '!D223</f>
        <v>0</v>
      </c>
      <c r="E80" s="1127">
        <f>'FORMULAIRE PGA Eaux pluviales '!F223</f>
        <v>0</v>
      </c>
      <c r="F80" s="1127">
        <f>'FORMULAIRE PGA Eaux pluviales '!G223</f>
        <v>0</v>
      </c>
      <c r="G80" s="28">
        <v>1</v>
      </c>
      <c r="H80" s="1370"/>
      <c r="I80" s="1371" t="str">
        <f>'MENU DÉROULANT'!C76</f>
        <v>Capacité</v>
      </c>
      <c r="J80" s="1374">
        <f>SUMIFS($G$77:$G$86,$E$77:$E$86,I80,$F$77:$F$86,$J$76)</f>
        <v>0</v>
      </c>
      <c r="K80" s="1375">
        <f>SUMIFS($G$77:$G$86,$E$77:$E$86,I80,$F$77:$F$86,$K$76)</f>
        <v>0</v>
      </c>
      <c r="L80" s="325"/>
      <c r="M80" s="325"/>
      <c r="N80" s="152"/>
    </row>
    <row r="81" spans="2:32" ht="18" customHeight="1" x14ac:dyDescent="0.25">
      <c r="B81" s="298"/>
      <c r="C81" s="298"/>
      <c r="D81" s="1127">
        <f>'FORMULAIRE PGA Eaux pluviales '!D224</f>
        <v>0</v>
      </c>
      <c r="E81" s="1127">
        <f>'FORMULAIRE PGA Eaux pluviales '!F224</f>
        <v>0</v>
      </c>
      <c r="F81" s="1127">
        <f>'FORMULAIRE PGA Eaux pluviales '!G224</f>
        <v>0</v>
      </c>
      <c r="G81" s="28">
        <v>1</v>
      </c>
      <c r="H81" s="1370"/>
      <c r="I81" s="1376" t="str">
        <f>'MENU DÉROULANT'!C77</f>
        <v>Autre</v>
      </c>
      <c r="J81" s="1377">
        <f>SUMIFS($G$77:$G$86,$E$77:$E$86,I81,$F$77:$F$86,$J$76)</f>
        <v>0</v>
      </c>
      <c r="K81" s="1378">
        <f>SUMIFS($G$77:$G$86,$E$77:$E$86,I81,$F$77:$F$86,$K$76)</f>
        <v>0</v>
      </c>
      <c r="L81" s="325"/>
      <c r="M81" s="325"/>
      <c r="N81" s="152"/>
    </row>
    <row r="82" spans="2:32" ht="18" customHeight="1" x14ac:dyDescent="0.25">
      <c r="D82" s="1127">
        <f>'FORMULAIRE PGA Eaux pluviales '!D225</f>
        <v>0</v>
      </c>
      <c r="E82" s="1127">
        <f>'FORMULAIRE PGA Eaux pluviales '!F225</f>
        <v>0</v>
      </c>
      <c r="F82" s="1127">
        <f>'FORMULAIRE PGA Eaux pluviales '!G225</f>
        <v>0</v>
      </c>
      <c r="G82" s="28">
        <v>1</v>
      </c>
      <c r="H82" s="1370"/>
      <c r="I82" s="1370"/>
      <c r="K82" s="1127"/>
      <c r="L82" s="325"/>
      <c r="M82" s="325"/>
    </row>
    <row r="83" spans="2:32" ht="18" customHeight="1" x14ac:dyDescent="0.25">
      <c r="D83" s="1127">
        <f>'FORMULAIRE PGA Eaux pluviales '!D226</f>
        <v>0</v>
      </c>
      <c r="E83" s="1127">
        <f>'FORMULAIRE PGA Eaux pluviales '!F226</f>
        <v>0</v>
      </c>
      <c r="F83" s="1127">
        <f>'FORMULAIRE PGA Eaux pluviales '!G226</f>
        <v>0</v>
      </c>
      <c r="G83" s="28">
        <v>1</v>
      </c>
      <c r="H83" s="1370"/>
      <c r="I83" s="1370"/>
      <c r="J83" s="325"/>
      <c r="K83" s="1127"/>
      <c r="L83" s="325"/>
      <c r="M83" s="1379"/>
      <c r="N83" s="325"/>
    </row>
    <row r="84" spans="2:32" ht="18" customHeight="1" x14ac:dyDescent="0.25">
      <c r="D84" s="1127">
        <f>'FORMULAIRE PGA Eaux pluviales '!D227</f>
        <v>0</v>
      </c>
      <c r="E84" s="1127">
        <f>'FORMULAIRE PGA Eaux pluviales '!F227</f>
        <v>0</v>
      </c>
      <c r="F84" s="1127">
        <f>'FORMULAIRE PGA Eaux pluviales '!G227</f>
        <v>0</v>
      </c>
      <c r="G84" s="28">
        <v>1</v>
      </c>
      <c r="H84" s="1370"/>
      <c r="I84" s="1370"/>
      <c r="J84" s="325"/>
      <c r="K84" s="1127"/>
      <c r="L84" s="325"/>
      <c r="M84" s="1379"/>
      <c r="N84" s="325"/>
    </row>
    <row r="85" spans="2:32" ht="18" customHeight="1" x14ac:dyDescent="0.25">
      <c r="D85" s="1127">
        <f>'FORMULAIRE PGA Eaux pluviales '!D228</f>
        <v>0</v>
      </c>
      <c r="E85" s="1127">
        <f>'FORMULAIRE PGA Eaux pluviales '!F228</f>
        <v>0</v>
      </c>
      <c r="F85" s="1127">
        <f>'FORMULAIRE PGA Eaux pluviales '!G228</f>
        <v>0</v>
      </c>
      <c r="G85" s="28">
        <v>1</v>
      </c>
      <c r="H85" s="1370"/>
      <c r="I85" s="1370"/>
      <c r="J85" s="325"/>
      <c r="K85" s="1127"/>
      <c r="L85" s="325"/>
      <c r="M85" s="1379"/>
      <c r="N85" s="325"/>
    </row>
    <row r="86" spans="2:32" ht="18" customHeight="1" x14ac:dyDescent="0.25">
      <c r="D86" s="1127">
        <f>'FORMULAIRE PGA Eaux pluviales '!D229</f>
        <v>0</v>
      </c>
      <c r="E86" s="1127">
        <f>'FORMULAIRE PGA Eaux pluviales '!F229</f>
        <v>0</v>
      </c>
      <c r="F86" s="1127">
        <f>'FORMULAIRE PGA Eaux pluviales '!G229</f>
        <v>0</v>
      </c>
      <c r="G86" s="28">
        <v>1</v>
      </c>
      <c r="H86" s="1370"/>
      <c r="I86" s="1370"/>
      <c r="J86" s="325"/>
      <c r="K86" s="1127"/>
      <c r="L86" s="325"/>
      <c r="M86" s="1379"/>
      <c r="N86" s="325"/>
    </row>
    <row r="87" spans="2:32" ht="18" customHeight="1" x14ac:dyDescent="0.25">
      <c r="D87" s="1127"/>
      <c r="E87" s="1127"/>
      <c r="F87" s="1127"/>
      <c r="H87" s="1370"/>
      <c r="I87" s="1370"/>
      <c r="J87" s="325"/>
      <c r="K87" s="1127"/>
      <c r="L87" s="325"/>
      <c r="M87" s="1379"/>
      <c r="N87" s="325"/>
    </row>
    <row r="88" spans="2:32" x14ac:dyDescent="0.25">
      <c r="M88" s="1127"/>
    </row>
    <row r="89" spans="2:32" ht="22.5" customHeight="1" x14ac:dyDescent="0.3">
      <c r="B89" s="1285" t="s">
        <v>1810</v>
      </c>
      <c r="C89" s="1285"/>
      <c r="D89" s="1285"/>
      <c r="E89" s="1285"/>
      <c r="F89" s="1285"/>
      <c r="G89" s="1285"/>
      <c r="H89" s="1285"/>
      <c r="I89" s="1285"/>
      <c r="J89" s="1285"/>
      <c r="K89" s="1285"/>
      <c r="L89" s="1285"/>
      <c r="M89" s="1285"/>
      <c r="N89" s="1285"/>
      <c r="O89" s="1285"/>
      <c r="P89" s="1285"/>
      <c r="Q89" s="1285"/>
      <c r="R89" s="1285"/>
      <c r="S89" s="1285"/>
      <c r="T89" s="1285"/>
      <c r="U89" s="1285"/>
      <c r="V89" s="1285"/>
      <c r="W89" s="1285"/>
      <c r="X89" s="1285"/>
      <c r="Y89" s="1285"/>
      <c r="Z89" s="1285"/>
      <c r="AA89" s="1285"/>
      <c r="AB89" s="1285"/>
      <c r="AC89" s="1285"/>
      <c r="AD89" s="1285"/>
      <c r="AE89" s="1285"/>
      <c r="AF89" s="1285"/>
    </row>
    <row r="91" spans="2:32" ht="25.5" customHeight="1" x14ac:dyDescent="0.25">
      <c r="D91" s="2178" t="s">
        <v>223</v>
      </c>
      <c r="E91" s="1380" t="s">
        <v>1516</v>
      </c>
      <c r="F91" s="1380" t="s">
        <v>1517</v>
      </c>
      <c r="G91" s="72"/>
      <c r="H91" s="1380"/>
      <c r="I91" s="3290" t="s">
        <v>1516</v>
      </c>
      <c r="J91" s="3291"/>
      <c r="K91" s="3290" t="s">
        <v>1517</v>
      </c>
      <c r="L91" s="3291"/>
      <c r="N91" s="1363" t="s">
        <v>161</v>
      </c>
      <c r="O91" s="1364">
        <f>O71</f>
        <v>0</v>
      </c>
    </row>
    <row r="92" spans="2:32" x14ac:dyDescent="0.25">
      <c r="D92" s="298">
        <f>'FORMULAIRE PGA Eaux pluviales '!D220</f>
        <v>0</v>
      </c>
      <c r="E92" s="325">
        <f>'FORMULAIRE PGA Eaux pluviales '!H220</f>
        <v>0</v>
      </c>
      <c r="F92" s="325">
        <f>'FORMULAIRE PGA Eaux pluviales '!I220</f>
        <v>0</v>
      </c>
      <c r="I92" s="1381" t="str">
        <f>IF(E92=$G$99,"h",IF(E92=$G$100,"g",IF((E92=$G$101),"i","")))</f>
        <v/>
      </c>
      <c r="J92" s="1308" t="str">
        <f>IF(E92=$G$102,"Inconnu","")</f>
        <v/>
      </c>
      <c r="K92" s="1382" t="str">
        <f>IF(F92=$J$99,5,IF(F92=$J$100,0,IF((F92=$J$101),6,"")))</f>
        <v/>
      </c>
      <c r="L92" s="1383" t="str">
        <f>IF(F92=$J$102,"Aucun","")</f>
        <v/>
      </c>
    </row>
    <row r="93" spans="2:32" x14ac:dyDescent="0.25">
      <c r="D93" s="298">
        <f>'FORMULAIRE PGA Eaux pluviales '!D221</f>
        <v>0</v>
      </c>
      <c r="E93" s="325">
        <f>'FORMULAIRE PGA Eaux pluviales '!H221</f>
        <v>0</v>
      </c>
      <c r="F93" s="325">
        <f>'FORMULAIRE PGA Eaux pluviales '!I221</f>
        <v>0</v>
      </c>
      <c r="I93" s="1381" t="str">
        <f>IF(E93=$G$99,"h",IF(E93=$G$100,"g",IF((E93=$G$101),"i","")))</f>
        <v/>
      </c>
      <c r="J93" s="1308" t="str">
        <f>IF(E93=$G$102,"Inconnu","")</f>
        <v/>
      </c>
      <c r="K93" s="1382" t="str">
        <f>IF(F93=$J$99,5,IF(F93=$J$100,0,IF((F93=$J$101),6,"")))</f>
        <v/>
      </c>
      <c r="L93" s="1383" t="str">
        <f>IF(F93=$J$102,"Aucun","")</f>
        <v/>
      </c>
    </row>
    <row r="94" spans="2:32" x14ac:dyDescent="0.25">
      <c r="D94" s="298">
        <f>'FORMULAIRE PGA Eaux pluviales '!D222</f>
        <v>0</v>
      </c>
      <c r="E94" s="325">
        <f>'FORMULAIRE PGA Eaux pluviales '!H222</f>
        <v>0</v>
      </c>
      <c r="F94" s="325">
        <f>'FORMULAIRE PGA Eaux pluviales '!I222</f>
        <v>0</v>
      </c>
      <c r="I94" s="1384" t="str">
        <f>IF(E94=$G$99,"h",IF(E94=$G$100,"g",IF((E94=$G$101),"i","")))</f>
        <v/>
      </c>
      <c r="J94" s="1385" t="str">
        <f>IF(E94=$G$102,"Inconnu","")</f>
        <v/>
      </c>
      <c r="K94" s="1386" t="str">
        <f>IF(F94=$J$99,5,IF(F94=$J$100,0,IF((F94=$J$101),6,"")))</f>
        <v/>
      </c>
      <c r="L94" s="1387" t="str">
        <f>IF(F94=$J$102,"Aucun","")</f>
        <v/>
      </c>
    </row>
    <row r="95" spans="2:32" x14ac:dyDescent="0.25">
      <c r="I95" s="1388" t="str">
        <f t="shared" ref="I95:I96" si="1">IF(E95=$G$99,"h",IF(E95=$G$100,"g",IF((E95=$G$101),"i","")))</f>
        <v/>
      </c>
      <c r="J95" s="1389" t="str">
        <f t="shared" ref="J95:J96" si="2">IF(E95=$G$102,"Inconnu","")</f>
        <v/>
      </c>
      <c r="K95" s="1388" t="str">
        <f>IF(F95=$J$99,5,IF(F95=$J$100,0,IF((F95=$J$101),6,"")))</f>
        <v/>
      </c>
      <c r="L95" s="1390" t="str">
        <f t="shared" ref="L95:L96" si="3">IF(F95=$J$102,"Aucun","")</f>
        <v/>
      </c>
    </row>
    <row r="96" spans="2:32" x14ac:dyDescent="0.25">
      <c r="I96" s="1384" t="str">
        <f t="shared" si="1"/>
        <v/>
      </c>
      <c r="J96" s="1385" t="str">
        <f t="shared" si="2"/>
        <v/>
      </c>
      <c r="K96" s="1384" t="str">
        <f>IF(F96=$J$99,5,IF(F96=$J$100,0,IF((F96=$J$101),6,"")))</f>
        <v/>
      </c>
      <c r="L96" s="1387" t="str">
        <f t="shared" si="3"/>
        <v/>
      </c>
    </row>
    <row r="97" spans="2:32" x14ac:dyDescent="0.25">
      <c r="I97" s="1379"/>
      <c r="K97" s="1379"/>
    </row>
    <row r="98" spans="2:32" ht="15.75" x14ac:dyDescent="0.25">
      <c r="F98" s="1391"/>
      <c r="G98" s="1392" t="s">
        <v>1808</v>
      </c>
      <c r="H98" s="1393"/>
      <c r="I98" s="1391"/>
      <c r="J98" s="1392" t="s">
        <v>1809</v>
      </c>
      <c r="K98" s="1379"/>
    </row>
    <row r="99" spans="2:32" x14ac:dyDescent="0.25">
      <c r="G99" s="1379" t="str">
        <f>'MENU DÉROULANT'!E73</f>
        <v>Amélioration</v>
      </c>
      <c r="H99" s="325"/>
      <c r="J99" s="1379" t="str">
        <f>'MENU DÉROULANT'!F73</f>
        <v>Augmenter la performance</v>
      </c>
      <c r="K99" s="1379"/>
    </row>
    <row r="100" spans="2:32" x14ac:dyDescent="0.25">
      <c r="G100" s="1379" t="str">
        <f>'MENU DÉROULANT'!E74</f>
        <v>Stabilité</v>
      </c>
      <c r="H100" s="325"/>
      <c r="J100" s="1379" t="str">
        <f>'MENU DÉROULANT'!F74</f>
        <v>Maintenir la performance</v>
      </c>
      <c r="K100" s="1379"/>
    </row>
    <row r="101" spans="2:32" x14ac:dyDescent="0.25">
      <c r="G101" s="1379" t="str">
        <f>'MENU DÉROULANT'!E75</f>
        <v>Détérioration</v>
      </c>
      <c r="H101" s="325"/>
      <c r="J101" s="1379" t="str">
        <f>'MENU DÉROULANT'!F75</f>
        <v>Diminuer la performance</v>
      </c>
      <c r="K101" s="1379"/>
    </row>
    <row r="102" spans="2:32" x14ac:dyDescent="0.25">
      <c r="G102" s="1379" t="str">
        <f>'MENU DÉROULANT'!E76</f>
        <v>Inconnu</v>
      </c>
      <c r="J102" s="1379" t="str">
        <f>'MENU DÉROULANT'!F76</f>
        <v>Aucun objectif pour le moment</v>
      </c>
      <c r="K102" s="325"/>
    </row>
    <row r="103" spans="2:32" x14ac:dyDescent="0.25">
      <c r="G103" s="1379"/>
      <c r="J103" s="1379"/>
      <c r="K103" s="325"/>
    </row>
    <row r="104" spans="2:32" x14ac:dyDescent="0.25">
      <c r="I104" s="325"/>
      <c r="K104" s="325"/>
    </row>
    <row r="105" spans="2:32" ht="31.5" customHeight="1" x14ac:dyDescent="0.35">
      <c r="B105" s="1283" t="s">
        <v>2339</v>
      </c>
      <c r="C105" s="1283"/>
      <c r="D105" s="1284"/>
      <c r="E105" s="1284"/>
      <c r="F105" s="1284"/>
      <c r="G105" s="1284"/>
      <c r="H105" s="1284"/>
      <c r="I105" s="1284"/>
      <c r="J105" s="1284"/>
      <c r="K105" s="1284"/>
      <c r="L105" s="1284"/>
      <c r="M105" s="1284"/>
      <c r="N105" s="1284"/>
      <c r="O105" s="1284"/>
      <c r="P105" s="1284"/>
      <c r="Q105" s="1284"/>
      <c r="R105" s="1284"/>
      <c r="S105" s="1284"/>
      <c r="T105" s="1284"/>
      <c r="U105" s="1284"/>
      <c r="V105" s="1284"/>
      <c r="W105" s="1284"/>
      <c r="X105" s="1284"/>
      <c r="Y105" s="1284"/>
      <c r="Z105" s="1284"/>
      <c r="AA105" s="1284"/>
      <c r="AB105" s="1284"/>
      <c r="AC105" s="1284"/>
      <c r="AD105" s="1284"/>
      <c r="AE105" s="1284"/>
      <c r="AF105" s="1284"/>
    </row>
    <row r="107" spans="2:32" ht="22.5" customHeight="1" x14ac:dyDescent="0.3">
      <c r="B107" s="1285" t="s">
        <v>195</v>
      </c>
      <c r="C107" s="1285"/>
      <c r="D107" s="1285"/>
      <c r="E107" s="1285"/>
      <c r="F107" s="1285"/>
      <c r="G107" s="1285"/>
      <c r="H107" s="1285"/>
      <c r="I107" s="1285"/>
      <c r="J107" s="1285"/>
      <c r="K107" s="1285"/>
      <c r="L107" s="1285"/>
      <c r="M107" s="1285"/>
      <c r="N107" s="1285"/>
      <c r="O107" s="1285"/>
      <c r="P107" s="1285"/>
      <c r="Q107" s="1285"/>
      <c r="R107" s="1285"/>
      <c r="S107" s="1285"/>
      <c r="T107" s="1285"/>
      <c r="U107" s="1285"/>
      <c r="V107" s="1285"/>
      <c r="W107" s="1285"/>
      <c r="X107" s="1285"/>
      <c r="Y107" s="1285"/>
      <c r="Z107" s="1285"/>
      <c r="AA107" s="1285"/>
      <c r="AB107" s="1285"/>
      <c r="AC107" s="1285"/>
      <c r="AD107" s="1285"/>
      <c r="AE107" s="1285"/>
      <c r="AF107" s="1285"/>
    </row>
    <row r="109" spans="2:32" ht="18.75" x14ac:dyDescent="0.3">
      <c r="D109" s="1394" t="str">
        <f>'FORMULAIRE PGA Eaux pluviales '!D311</f>
        <v>Catégories de changements</v>
      </c>
    </row>
    <row r="110" spans="2:32" x14ac:dyDescent="0.25">
      <c r="D110" s="1379" t="str">
        <f>'FORMULAIRE PGA Eaux pluviales '!D312</f>
        <v>Démographiques</v>
      </c>
      <c r="E110" s="1395">
        <f>'FORMULAIRE PGA Eaux pluviales '!F312</f>
        <v>0</v>
      </c>
      <c r="I110" s="28">
        <f t="shared" ref="I110:I115" si="4">IF(E110=$L$114,4,IF(E110=$L$113,3,IF(E110=$L$112,2,IF(E110=$L$111,1,0))))</f>
        <v>0</v>
      </c>
      <c r="K110" s="28" t="s">
        <v>166</v>
      </c>
      <c r="L110" s="1396" t="str">
        <f>'MENU DÉROULANT'!C96</f>
        <v>Aucun changement n'est anticipé.</v>
      </c>
    </row>
    <row r="111" spans="2:32" x14ac:dyDescent="0.25">
      <c r="D111" s="1379" t="str">
        <f>'FORMULAIRE PGA Eaux pluviales '!D313</f>
        <v>Climatiques</v>
      </c>
      <c r="E111" s="1395">
        <f>'FORMULAIRE PGA Eaux pluviales '!F313</f>
        <v>0</v>
      </c>
      <c r="I111" s="28">
        <f t="shared" si="4"/>
        <v>0</v>
      </c>
      <c r="L111" s="1396" t="str">
        <f>'MENU DÉROULANT'!C97</f>
        <v>Des changements sont anticipés à court terme (1-4 ans).</v>
      </c>
    </row>
    <row r="112" spans="2:32" x14ac:dyDescent="0.25">
      <c r="D112" s="1379" t="str">
        <f>'FORMULAIRE PGA Eaux pluviales '!D314</f>
        <v>Cadre légal et règlementaire</v>
      </c>
      <c r="E112" s="1395">
        <f>'FORMULAIRE PGA Eaux pluviales '!F314</f>
        <v>0</v>
      </c>
      <c r="I112" s="28">
        <f t="shared" si="4"/>
        <v>0</v>
      </c>
      <c r="L112" s="1396" t="str">
        <f>'MENU DÉROULANT'!C98</f>
        <v>Des changements sont anticipés à moyen terme (5-7 ans).</v>
      </c>
    </row>
    <row r="113" spans="4:31" x14ac:dyDescent="0.25">
      <c r="D113" s="1379" t="str">
        <f>'FORMULAIRE PGA Eaux pluviales '!D315</f>
        <v>Économiques</v>
      </c>
      <c r="E113" s="1395">
        <f>'FORMULAIRE PGA Eaux pluviales '!F315</f>
        <v>0</v>
      </c>
      <c r="I113" s="28">
        <f t="shared" si="4"/>
        <v>0</v>
      </c>
      <c r="L113" s="1396" t="str">
        <f>'MENU DÉROULANT'!C99</f>
        <v>Des changements sont à prévoir à long terme (8-10 ans).</v>
      </c>
    </row>
    <row r="114" spans="4:31" x14ac:dyDescent="0.25">
      <c r="D114" s="1379" t="str">
        <f>'FORMULAIRE PGA Eaux pluviales '!D316</f>
        <v>Technologiques</v>
      </c>
      <c r="E114" s="1395">
        <f>'FORMULAIRE PGA Eaux pluviales '!F316</f>
        <v>0</v>
      </c>
      <c r="I114" s="28">
        <f t="shared" si="4"/>
        <v>0</v>
      </c>
      <c r="L114" s="1396" t="str">
        <f>'MENU DÉROULANT'!C100</f>
        <v>Des changements sont à prévoir continuellement sur 10 ans.</v>
      </c>
    </row>
    <row r="115" spans="4:31" x14ac:dyDescent="0.25">
      <c r="D115" s="1379" t="str">
        <f>CONCATENATE(K115,L115)</f>
        <v xml:space="preserve">Autre </v>
      </c>
      <c r="E115" s="1395">
        <f>'FORMULAIRE PGA Eaux pluviales '!F317</f>
        <v>0</v>
      </c>
      <c r="I115" s="28">
        <f t="shared" si="4"/>
        <v>0</v>
      </c>
      <c r="K115" s="1397" t="s">
        <v>225</v>
      </c>
      <c r="L115" s="3277" t="str">
        <f>IF('FORMULAIRE PGA Eaux pluviales '!E317=0,"",CONCATENATE("(",'FORMULAIRE PGA Eaux pluviales '!E317,")"))</f>
        <v/>
      </c>
      <c r="M115" s="3277"/>
      <c r="N115" s="3277"/>
    </row>
    <row r="117" spans="4:31" ht="24.75" customHeight="1" x14ac:dyDescent="0.25">
      <c r="D117" s="1398"/>
      <c r="K117" s="1399" t="s">
        <v>1791</v>
      </c>
      <c r="L117" s="1400">
        <f>IF(OR(I41=1,K36=1),'FORMULAIRE PGA Eaux pluviales '!G621,IF(I33=1,'FORMULAIRE PGA Eaux pluviales '!L621,ROUNDDOWN(AVERAGE('FORMULAIRE PGA Eaux pluviales '!G621,'FORMULAIRE PGA Eaux pluviales '!L621),0)))</f>
        <v>0</v>
      </c>
    </row>
    <row r="118" spans="4:31" ht="9" customHeight="1" x14ac:dyDescent="0.25">
      <c r="Q118" s="88"/>
      <c r="R118" s="88"/>
      <c r="S118" s="55"/>
      <c r="T118" s="55"/>
      <c r="U118" s="55"/>
      <c r="V118" s="55"/>
      <c r="W118" s="55"/>
      <c r="X118" s="55"/>
      <c r="Y118" s="55"/>
      <c r="Z118" s="55"/>
      <c r="AA118" s="55"/>
      <c r="AB118" s="55"/>
      <c r="AC118" s="55"/>
      <c r="AD118" s="55"/>
      <c r="AE118" s="55"/>
    </row>
    <row r="119" spans="4:31" ht="8.25" customHeight="1" x14ac:dyDescent="0.25">
      <c r="Q119" s="3289" t="str">
        <f>D110</f>
        <v>Démographiques</v>
      </c>
      <c r="R119" s="1401"/>
      <c r="S119" s="122"/>
      <c r="T119" s="55"/>
      <c r="U119" s="55"/>
      <c r="V119" s="55"/>
      <c r="W119" s="55"/>
      <c r="X119" s="55"/>
      <c r="Y119" s="55"/>
      <c r="Z119" s="55"/>
      <c r="AA119" s="55"/>
      <c r="AB119" s="55"/>
      <c r="AC119" s="55"/>
      <c r="AD119" s="55"/>
      <c r="AE119" s="55"/>
    </row>
    <row r="120" spans="4:31" ht="9.75" customHeight="1" x14ac:dyDescent="0.25">
      <c r="E120" s="373"/>
      <c r="Q120" s="3289"/>
      <c r="R120" s="1401"/>
      <c r="S120" s="122"/>
      <c r="T120" s="55"/>
      <c r="U120" s="55"/>
      <c r="V120" s="55"/>
      <c r="W120" s="55"/>
      <c r="X120" s="55"/>
      <c r="Y120" s="55"/>
      <c r="Z120" s="55"/>
      <c r="AA120" s="55"/>
      <c r="AB120" s="55"/>
      <c r="AC120" s="55"/>
      <c r="AD120" s="55"/>
      <c r="AE120" s="55"/>
    </row>
    <row r="121" spans="4:31" ht="10.5" customHeight="1" x14ac:dyDescent="0.25">
      <c r="Q121" s="3289" t="str">
        <f>D111</f>
        <v>Climatiques</v>
      </c>
      <c r="R121" s="1401"/>
      <c r="S121" s="122"/>
      <c r="T121" s="55"/>
      <c r="U121" s="55"/>
      <c r="V121" s="55"/>
      <c r="W121" s="55"/>
      <c r="X121" s="55"/>
      <c r="Y121" s="55"/>
      <c r="Z121" s="55"/>
      <c r="AA121" s="55"/>
      <c r="AB121" s="55"/>
      <c r="AC121" s="55"/>
      <c r="AD121" s="55"/>
      <c r="AE121" s="55"/>
    </row>
    <row r="122" spans="4:31" ht="9.75" customHeight="1" x14ac:dyDescent="0.25">
      <c r="Q122" s="3289"/>
      <c r="R122" s="1401"/>
      <c r="S122" s="122"/>
      <c r="T122" s="55"/>
      <c r="U122" s="55"/>
      <c r="V122" s="55"/>
      <c r="W122" s="55"/>
      <c r="X122" s="55"/>
      <c r="Y122" s="55"/>
      <c r="Z122" s="55"/>
      <c r="AA122" s="55"/>
      <c r="AB122" s="55"/>
      <c r="AC122" s="55"/>
      <c r="AD122" s="55"/>
      <c r="AE122" s="55"/>
    </row>
    <row r="123" spans="4:31" ht="10.5" customHeight="1" x14ac:dyDescent="0.25">
      <c r="Q123" s="3289" t="str">
        <f>D112</f>
        <v>Cadre légal et règlementaire</v>
      </c>
      <c r="R123" s="1401"/>
      <c r="S123" s="122"/>
      <c r="T123" s="55"/>
      <c r="U123" s="55"/>
      <c r="V123" s="55"/>
      <c r="W123" s="55"/>
      <c r="X123" s="55"/>
      <c r="Y123" s="55"/>
      <c r="Z123" s="55"/>
      <c r="AA123" s="55"/>
      <c r="AB123" s="55"/>
      <c r="AC123" s="55"/>
      <c r="AD123" s="55"/>
      <c r="AE123" s="55"/>
    </row>
    <row r="124" spans="4:31" ht="9.75" customHeight="1" x14ac:dyDescent="0.25">
      <c r="Q124" s="3289"/>
      <c r="R124" s="1401"/>
      <c r="S124" s="122"/>
      <c r="T124" s="55"/>
      <c r="U124" s="55"/>
      <c r="V124" s="55"/>
      <c r="W124" s="55"/>
      <c r="X124" s="55"/>
      <c r="Y124" s="55"/>
      <c r="Z124" s="55"/>
      <c r="AA124" s="55"/>
      <c r="AB124" s="55"/>
      <c r="AC124" s="55"/>
      <c r="AD124" s="55"/>
      <c r="AE124" s="55"/>
    </row>
    <row r="125" spans="4:31" ht="10.5" customHeight="1" x14ac:dyDescent="0.25">
      <c r="Q125" s="3289" t="str">
        <f>D113</f>
        <v>Économiques</v>
      </c>
      <c r="R125" s="1401"/>
      <c r="S125" s="122"/>
      <c r="T125" s="55"/>
      <c r="U125" s="55"/>
      <c r="V125" s="55"/>
      <c r="W125" s="55"/>
      <c r="X125" s="55"/>
      <c r="Y125" s="55"/>
      <c r="Z125" s="55"/>
      <c r="AA125" s="55"/>
      <c r="AB125" s="55"/>
      <c r="AC125" s="55"/>
      <c r="AD125" s="55"/>
      <c r="AE125" s="55"/>
    </row>
    <row r="126" spans="4:31" ht="9.75" customHeight="1" x14ac:dyDescent="0.25">
      <c r="Q126" s="3289"/>
      <c r="R126" s="1401"/>
      <c r="S126" s="122"/>
      <c r="T126" s="55"/>
      <c r="U126" s="55"/>
      <c r="V126" s="55"/>
      <c r="W126" s="55"/>
      <c r="X126" s="55"/>
      <c r="Y126" s="55"/>
      <c r="Z126" s="55"/>
      <c r="AA126" s="55"/>
      <c r="AB126" s="55"/>
      <c r="AC126" s="55"/>
      <c r="AD126" s="55"/>
      <c r="AE126" s="55"/>
    </row>
    <row r="127" spans="4:31" ht="10.5" customHeight="1" x14ac:dyDescent="0.25">
      <c r="Q127" s="3289" t="str">
        <f>D114</f>
        <v>Technologiques</v>
      </c>
      <c r="R127" s="1401"/>
      <c r="S127" s="122"/>
      <c r="T127" s="55"/>
      <c r="U127" s="55"/>
      <c r="V127" s="55"/>
      <c r="W127" s="55"/>
      <c r="X127" s="55"/>
      <c r="Y127" s="55"/>
      <c r="Z127" s="55"/>
      <c r="AA127" s="55"/>
      <c r="AB127" s="55"/>
      <c r="AC127" s="55"/>
      <c r="AD127" s="55"/>
      <c r="AE127" s="55"/>
    </row>
    <row r="128" spans="4:31" ht="9.75" customHeight="1" x14ac:dyDescent="0.25">
      <c r="Q128" s="3289"/>
      <c r="R128" s="1401"/>
      <c r="S128" s="122"/>
      <c r="T128" s="55"/>
      <c r="U128" s="55"/>
      <c r="V128" s="55"/>
      <c r="W128" s="55"/>
      <c r="X128" s="55"/>
      <c r="Y128" s="55"/>
      <c r="Z128" s="55"/>
      <c r="AA128" s="55"/>
      <c r="AB128" s="55"/>
      <c r="AC128" s="55"/>
      <c r="AD128" s="55"/>
      <c r="AE128" s="55"/>
    </row>
    <row r="129" spans="2:32" ht="10.5" customHeight="1" x14ac:dyDescent="0.25">
      <c r="Q129" s="3289" t="str">
        <f>D115</f>
        <v xml:space="preserve">Autre </v>
      </c>
      <c r="R129" s="1401"/>
      <c r="S129" s="122"/>
      <c r="T129" s="55"/>
      <c r="U129" s="55"/>
      <c r="V129" s="55"/>
      <c r="W129" s="55"/>
      <c r="X129" s="55"/>
      <c r="Y129" s="55"/>
      <c r="Z129" s="55"/>
      <c r="AA129" s="55"/>
      <c r="AB129" s="55"/>
      <c r="AC129" s="55"/>
      <c r="AD129" s="55"/>
      <c r="AE129" s="55"/>
    </row>
    <row r="130" spans="2:32" ht="9.75" customHeight="1" x14ac:dyDescent="0.25">
      <c r="Q130" s="3289"/>
      <c r="R130" s="1401"/>
      <c r="S130" s="122"/>
      <c r="T130" s="55"/>
      <c r="U130" s="55"/>
      <c r="V130" s="55"/>
      <c r="W130" s="55"/>
      <c r="X130" s="55"/>
      <c r="Y130" s="55"/>
      <c r="Z130" s="55"/>
      <c r="AA130" s="55"/>
      <c r="AB130" s="55"/>
      <c r="AC130" s="55"/>
      <c r="AD130" s="55"/>
      <c r="AE130" s="55"/>
    </row>
    <row r="131" spans="2:32" ht="10.5" customHeight="1" x14ac:dyDescent="0.25">
      <c r="Q131" s="88"/>
      <c r="R131" s="1402"/>
      <c r="S131" s="1403"/>
      <c r="T131" s="162"/>
      <c r="U131" s="162"/>
      <c r="V131" s="162"/>
      <c r="W131" s="162"/>
      <c r="X131" s="162"/>
      <c r="Y131" s="162"/>
      <c r="Z131" s="162"/>
      <c r="AA131" s="162"/>
      <c r="AB131" s="162"/>
      <c r="AC131" s="162"/>
      <c r="AD131" s="162"/>
      <c r="AE131" s="55"/>
    </row>
    <row r="132" spans="2:32" ht="6.75" customHeight="1" x14ac:dyDescent="0.25">
      <c r="Q132" s="1404"/>
      <c r="R132" s="1404"/>
      <c r="S132" s="55"/>
      <c r="T132" s="55"/>
      <c r="U132" s="55"/>
      <c r="V132" s="55"/>
      <c r="W132" s="55"/>
      <c r="X132" s="55"/>
      <c r="Y132" s="55"/>
      <c r="Z132" s="55"/>
      <c r="AA132" s="55"/>
      <c r="AB132" s="55"/>
      <c r="AC132" s="55"/>
      <c r="AD132" s="55"/>
      <c r="AE132" s="55"/>
    </row>
    <row r="133" spans="2:32" ht="13.5" customHeight="1" x14ac:dyDescent="0.25">
      <c r="Q133" s="88"/>
      <c r="R133" s="88"/>
      <c r="S133" s="55"/>
      <c r="T133" s="55"/>
      <c r="U133" s="55"/>
      <c r="V133" s="1405" t="s">
        <v>231</v>
      </c>
      <c r="W133" s="1406"/>
      <c r="X133" s="1406"/>
      <c r="Y133" s="1406"/>
      <c r="Z133" s="1405" t="s">
        <v>231</v>
      </c>
      <c r="AA133" s="1406"/>
      <c r="AB133" s="1406"/>
      <c r="AC133" s="1406"/>
      <c r="AD133" s="1405" t="s">
        <v>231</v>
      </c>
      <c r="AE133" s="55"/>
    </row>
    <row r="134" spans="2:32" ht="22.5" customHeight="1" x14ac:dyDescent="0.25">
      <c r="R134" s="55"/>
      <c r="S134" s="55"/>
      <c r="T134" s="55"/>
      <c r="U134" s="126"/>
      <c r="V134" s="1405" t="s">
        <v>237</v>
      </c>
      <c r="W134" s="1407"/>
      <c r="X134" s="1407"/>
      <c r="Y134" s="1406"/>
      <c r="Z134" s="1405" t="s">
        <v>238</v>
      </c>
      <c r="AA134" s="1407"/>
      <c r="AB134" s="1407"/>
      <c r="AC134" s="1406"/>
      <c r="AD134" s="1405" t="s">
        <v>239</v>
      </c>
      <c r="AE134" s="55"/>
    </row>
    <row r="138" spans="2:32" ht="22.5" customHeight="1" x14ac:dyDescent="0.3">
      <c r="B138" s="1285" t="s">
        <v>196</v>
      </c>
      <c r="C138" s="1285"/>
      <c r="D138" s="1285"/>
      <c r="E138" s="1285"/>
      <c r="F138" s="1285"/>
      <c r="G138" s="1285"/>
      <c r="H138" s="1285"/>
      <c r="I138" s="1285"/>
      <c r="J138" s="1285"/>
      <c r="K138" s="1285"/>
      <c r="L138" s="1285"/>
      <c r="M138" s="1285"/>
      <c r="N138" s="1285"/>
      <c r="O138" s="1285"/>
      <c r="P138" s="1285"/>
      <c r="Q138" s="1285"/>
      <c r="R138" s="1285"/>
      <c r="S138" s="1285"/>
      <c r="T138" s="1285"/>
      <c r="U138" s="1285"/>
      <c r="V138" s="1285"/>
      <c r="W138" s="1285"/>
      <c r="X138" s="1285"/>
      <c r="Y138" s="1285"/>
      <c r="Z138" s="1285"/>
      <c r="AA138" s="1285"/>
      <c r="AB138" s="1285"/>
      <c r="AC138" s="1285"/>
      <c r="AD138" s="1285"/>
      <c r="AE138" s="1285"/>
      <c r="AF138" s="1285"/>
    </row>
    <row r="140" spans="2:32" ht="18.75" x14ac:dyDescent="0.3">
      <c r="D140" s="1394" t="str">
        <f>'FORMULAIRE PGA Eaux pluviales '!D268</f>
        <v>Catégories de risques</v>
      </c>
    </row>
    <row r="141" spans="2:32" x14ac:dyDescent="0.25">
      <c r="D141" s="1379" t="str">
        <f>CONCATENATE(K146,L146)</f>
        <v xml:space="preserve">Autre </v>
      </c>
      <c r="E141" s="1395">
        <f>'FORMULAIRE PGA Eaux pluviales '!F274</f>
        <v>0</v>
      </c>
      <c r="I141" s="28">
        <f t="shared" ref="I141:I146" si="5">IF(E141=$L$144,3,IF(E141=$L$143,2,IF(E141=$L$142,1,0)))</f>
        <v>0</v>
      </c>
      <c r="K141" s="28" t="s">
        <v>166</v>
      </c>
      <c r="L141" s="325" t="str">
        <f>'MENU DÉROULANT'!C85</f>
        <v>Aucun risque associé n'a été déterminé.</v>
      </c>
    </row>
    <row r="142" spans="2:32" x14ac:dyDescent="0.25">
      <c r="D142" s="1379" t="str">
        <f>'FORMULAIRE PGA Eaux pluviales '!D272</f>
        <v>Manque d'informations</v>
      </c>
      <c r="E142" s="1395">
        <f>'FORMULAIRE PGA Eaux pluviales '!F272</f>
        <v>0</v>
      </c>
      <c r="I142" s="28">
        <f t="shared" si="5"/>
        <v>0</v>
      </c>
      <c r="L142" s="325" t="str">
        <f>'MENU DÉROULANT'!C86</f>
        <v>Les risques associés sont de niveau modéré ou faible.</v>
      </c>
    </row>
    <row r="143" spans="2:32" x14ac:dyDescent="0.25">
      <c r="D143" s="1379" t="str">
        <f>'FORMULAIRE PGA Eaux pluviales '!D273</f>
        <v>Changements climatiques</v>
      </c>
      <c r="E143" s="1395">
        <f>'FORMULAIRE PGA Eaux pluviales '!F273</f>
        <v>0</v>
      </c>
      <c r="I143" s="28">
        <f t="shared" si="5"/>
        <v>0</v>
      </c>
      <c r="L143" s="325" t="str">
        <f>'MENU DÉROULANT'!C87</f>
        <v>Certains risques associés sont de niveau élevé.</v>
      </c>
    </row>
    <row r="144" spans="2:32" x14ac:dyDescent="0.25">
      <c r="D144" s="1379" t="str">
        <f>'FORMULAIRE PGA Eaux pluviales '!D271</f>
        <v>Sous-financement</v>
      </c>
      <c r="E144" s="1395">
        <f>'FORMULAIRE PGA Eaux pluviales '!F271</f>
        <v>0</v>
      </c>
      <c r="I144" s="28">
        <f t="shared" si="5"/>
        <v>0</v>
      </c>
      <c r="L144" s="325" t="str">
        <f>'MENU DÉROULANT'!C88</f>
        <v>Certains risques associés sont de niveau très élevé.</v>
      </c>
    </row>
    <row r="145" spans="4:31" x14ac:dyDescent="0.25">
      <c r="D145" s="1379" t="str">
        <f>'FORMULAIRE PGA Eaux pluviales '!D270</f>
        <v>Dotation de personnel</v>
      </c>
      <c r="E145" s="1395">
        <f>'FORMULAIRE PGA Eaux pluviales '!F270</f>
        <v>0</v>
      </c>
      <c r="I145" s="28">
        <f t="shared" si="5"/>
        <v>0</v>
      </c>
    </row>
    <row r="146" spans="4:31" x14ac:dyDescent="0.25">
      <c r="D146" s="1379" t="str">
        <f>'FORMULAIRE PGA Eaux pluviales '!D269</f>
        <v>Actifs critiques</v>
      </c>
      <c r="E146" s="1395">
        <f>'FORMULAIRE PGA Eaux pluviales '!F269</f>
        <v>0</v>
      </c>
      <c r="I146" s="28">
        <f t="shared" si="5"/>
        <v>0</v>
      </c>
      <c r="K146" s="1409" t="s">
        <v>225</v>
      </c>
      <c r="L146" s="3277" t="str">
        <f>IF('FORMULAIRE PGA Eaux pluviales '!E274=0,"",CONCATENATE("(",'FORMULAIRE PGA Eaux pluviales '!E274,")"))</f>
        <v/>
      </c>
      <c r="M146" s="3277"/>
      <c r="N146" s="3277"/>
    </row>
    <row r="148" spans="4:31" ht="24.75" customHeight="1" x14ac:dyDescent="0.25">
      <c r="K148" s="1399" t="s">
        <v>1791</v>
      </c>
      <c r="L148" s="1400">
        <f>IF(OR(I41=1,K36=1),'FORMULAIRE PGA Eaux pluviales '!G617,IF(I33=1,'FORMULAIRE PGA Eaux pluviales '!L617,ROUNDDOWN(AVERAGE('FORMULAIRE PGA Eaux pluviales '!G617,'FORMULAIRE PGA Eaux pluviales '!L617),0)))</f>
        <v>0</v>
      </c>
    </row>
    <row r="150" spans="4:31" x14ac:dyDescent="0.25">
      <c r="Q150" s="88"/>
      <c r="R150" s="88"/>
      <c r="S150" s="55"/>
      <c r="T150" s="55"/>
      <c r="U150" s="55"/>
      <c r="V150" s="55"/>
      <c r="W150" s="55"/>
      <c r="X150" s="55"/>
      <c r="Y150" s="55"/>
      <c r="Z150" s="55"/>
      <c r="AA150" s="55"/>
      <c r="AB150" s="55"/>
      <c r="AC150" s="55"/>
      <c r="AD150" s="55"/>
      <c r="AE150" s="55"/>
    </row>
    <row r="151" spans="4:31" ht="6.75" customHeight="1" x14ac:dyDescent="0.25">
      <c r="Q151" s="3289" t="str">
        <f>D146</f>
        <v>Actifs critiques</v>
      </c>
      <c r="R151" s="1401"/>
      <c r="S151" s="122"/>
      <c r="T151" s="55"/>
      <c r="U151" s="55"/>
      <c r="V151" s="55"/>
      <c r="W151" s="55"/>
      <c r="X151" s="55"/>
      <c r="Y151" s="55"/>
      <c r="Z151" s="55"/>
      <c r="AA151" s="55"/>
      <c r="AB151" s="55"/>
      <c r="AC151" s="55"/>
      <c r="AD151" s="55"/>
      <c r="AE151" s="55"/>
    </row>
    <row r="152" spans="4:31" ht="12" customHeight="1" x14ac:dyDescent="0.25">
      <c r="Q152" s="3289"/>
      <c r="R152" s="1401"/>
      <c r="S152" s="122"/>
      <c r="T152" s="55"/>
      <c r="U152" s="55"/>
      <c r="V152" s="55"/>
      <c r="W152" s="55"/>
      <c r="X152" s="55"/>
      <c r="Y152" s="55"/>
      <c r="Z152" s="55"/>
      <c r="AA152" s="55"/>
      <c r="AB152" s="55"/>
      <c r="AC152" s="55"/>
      <c r="AD152" s="55"/>
      <c r="AE152" s="55"/>
    </row>
    <row r="153" spans="4:31" ht="6.75" customHeight="1" x14ac:dyDescent="0.25">
      <c r="Q153" s="3289" t="str">
        <f>D145</f>
        <v>Dotation de personnel</v>
      </c>
      <c r="R153" s="1401"/>
      <c r="S153" s="122"/>
      <c r="T153" s="55"/>
      <c r="U153" s="55"/>
      <c r="V153" s="55"/>
      <c r="W153" s="55"/>
      <c r="X153" s="55"/>
      <c r="Y153" s="55"/>
      <c r="Z153" s="55"/>
      <c r="AA153" s="55"/>
      <c r="AB153" s="55"/>
      <c r="AC153" s="55"/>
      <c r="AD153" s="55"/>
      <c r="AE153" s="55"/>
    </row>
    <row r="154" spans="4:31" ht="12" customHeight="1" x14ac:dyDescent="0.25">
      <c r="Q154" s="3289"/>
      <c r="R154" s="1401"/>
      <c r="S154" s="122"/>
      <c r="T154" s="55"/>
      <c r="U154" s="55"/>
      <c r="V154" s="55"/>
      <c r="W154" s="55"/>
      <c r="X154" s="55"/>
      <c r="Y154" s="55"/>
      <c r="Z154" s="55"/>
      <c r="AA154" s="55"/>
      <c r="AB154" s="55"/>
      <c r="AC154" s="55"/>
      <c r="AD154" s="55"/>
      <c r="AE154" s="55"/>
    </row>
    <row r="155" spans="4:31" ht="6.75" customHeight="1" x14ac:dyDescent="0.25">
      <c r="Q155" s="3289" t="str">
        <f>D144</f>
        <v>Sous-financement</v>
      </c>
      <c r="R155" s="1401"/>
      <c r="S155" s="122"/>
      <c r="T155" s="55"/>
      <c r="U155" s="55"/>
      <c r="V155" s="55"/>
      <c r="W155" s="55"/>
      <c r="X155" s="55"/>
      <c r="Y155" s="55"/>
      <c r="Z155" s="55"/>
      <c r="AA155" s="55"/>
      <c r="AB155" s="55"/>
      <c r="AC155" s="55"/>
      <c r="AD155" s="55"/>
      <c r="AE155" s="55"/>
    </row>
    <row r="156" spans="4:31" ht="12" customHeight="1" x14ac:dyDescent="0.25">
      <c r="Q156" s="3289"/>
      <c r="R156" s="1401"/>
      <c r="S156" s="122"/>
      <c r="T156" s="55"/>
      <c r="U156" s="55"/>
      <c r="V156" s="55"/>
      <c r="W156" s="55"/>
      <c r="X156" s="55"/>
      <c r="Y156" s="55"/>
      <c r="Z156" s="55"/>
      <c r="AA156" s="55"/>
      <c r="AB156" s="55"/>
      <c r="AC156" s="55"/>
      <c r="AD156" s="55"/>
      <c r="AE156" s="55"/>
    </row>
    <row r="157" spans="4:31" ht="6.75" customHeight="1" x14ac:dyDescent="0.25">
      <c r="Q157" s="3289" t="str">
        <f>D143</f>
        <v>Changements climatiques</v>
      </c>
      <c r="R157" s="1401"/>
      <c r="S157" s="122"/>
      <c r="T157" s="55"/>
      <c r="U157" s="55"/>
      <c r="V157" s="55"/>
      <c r="W157" s="55"/>
      <c r="X157" s="55"/>
      <c r="Y157" s="55"/>
      <c r="Z157" s="55"/>
      <c r="AA157" s="55"/>
      <c r="AB157" s="55"/>
      <c r="AC157" s="55"/>
      <c r="AD157" s="55"/>
      <c r="AE157" s="55"/>
    </row>
    <row r="158" spans="4:31" ht="12" customHeight="1" x14ac:dyDescent="0.25">
      <c r="Q158" s="3289"/>
      <c r="R158" s="1401"/>
      <c r="S158" s="122"/>
      <c r="T158" s="55"/>
      <c r="U158" s="55"/>
      <c r="V158" s="55"/>
      <c r="W158" s="55"/>
      <c r="X158" s="55"/>
      <c r="Y158" s="55"/>
      <c r="Z158" s="55"/>
      <c r="AA158" s="55"/>
      <c r="AB158" s="55"/>
      <c r="AC158" s="55"/>
      <c r="AD158" s="55"/>
      <c r="AE158" s="55"/>
    </row>
    <row r="159" spans="4:31" ht="6.75" customHeight="1" x14ac:dyDescent="0.25">
      <c r="Q159" s="3289" t="str">
        <f>D142</f>
        <v>Manque d'informations</v>
      </c>
      <c r="R159" s="1401"/>
      <c r="S159" s="122"/>
      <c r="T159" s="55"/>
      <c r="U159" s="55"/>
      <c r="V159" s="55"/>
      <c r="W159" s="55"/>
      <c r="X159" s="55"/>
      <c r="Y159" s="55"/>
      <c r="Z159" s="55"/>
      <c r="AA159" s="55"/>
      <c r="AB159" s="55"/>
      <c r="AC159" s="55"/>
      <c r="AD159" s="55"/>
      <c r="AE159" s="55"/>
    </row>
    <row r="160" spans="4:31" ht="12" customHeight="1" x14ac:dyDescent="0.25">
      <c r="Q160" s="3289"/>
      <c r="R160" s="1401"/>
      <c r="S160" s="122"/>
      <c r="T160" s="55"/>
      <c r="U160" s="55"/>
      <c r="V160" s="55"/>
      <c r="W160" s="55"/>
      <c r="X160" s="55"/>
      <c r="Y160" s="55"/>
      <c r="Z160" s="55"/>
      <c r="AA160" s="55"/>
      <c r="AB160" s="55"/>
      <c r="AC160" s="55"/>
      <c r="AD160" s="55"/>
      <c r="AE160" s="55"/>
    </row>
    <row r="161" spans="1:32" ht="6.75" customHeight="1" x14ac:dyDescent="0.25">
      <c r="Q161" s="3289" t="str">
        <f>D141</f>
        <v xml:space="preserve">Autre </v>
      </c>
      <c r="R161" s="1401"/>
      <c r="S161" s="122"/>
      <c r="T161" s="55"/>
      <c r="U161" s="55"/>
      <c r="V161" s="55"/>
      <c r="W161" s="55"/>
      <c r="X161" s="55"/>
      <c r="Y161" s="55"/>
      <c r="Z161" s="55"/>
      <c r="AA161" s="55"/>
      <c r="AB161" s="55"/>
      <c r="AC161" s="55"/>
      <c r="AD161" s="55"/>
      <c r="AE161" s="55"/>
    </row>
    <row r="162" spans="1:32" ht="12" customHeight="1" x14ac:dyDescent="0.25">
      <c r="Q162" s="3289"/>
      <c r="R162" s="1401"/>
      <c r="S162" s="122"/>
      <c r="T162" s="55"/>
      <c r="U162" s="55"/>
      <c r="V162" s="55"/>
      <c r="W162" s="55"/>
      <c r="X162" s="55"/>
      <c r="Y162" s="55"/>
      <c r="Z162" s="55"/>
      <c r="AA162" s="55"/>
      <c r="AB162" s="55"/>
      <c r="AC162" s="55"/>
      <c r="AD162" s="55"/>
      <c r="AE162" s="55"/>
    </row>
    <row r="163" spans="1:32" ht="6.75" customHeight="1" x14ac:dyDescent="0.25">
      <c r="Q163" s="1410"/>
      <c r="R163" s="1411"/>
      <c r="S163" s="1403"/>
      <c r="T163" s="162"/>
      <c r="U163" s="162"/>
      <c r="V163" s="162"/>
      <c r="W163" s="162"/>
      <c r="X163" s="162"/>
      <c r="Y163" s="162"/>
      <c r="Z163" s="162"/>
      <c r="AA163" s="162"/>
      <c r="AB163" s="162"/>
      <c r="AC163" s="162"/>
      <c r="AD163" s="162"/>
      <c r="AE163" s="55"/>
    </row>
    <row r="164" spans="1:32" ht="6.75" customHeight="1" x14ac:dyDescent="0.25">
      <c r="Q164" s="88"/>
      <c r="R164" s="88"/>
      <c r="S164" s="55"/>
      <c r="T164" s="55"/>
      <c r="U164" s="55"/>
      <c r="V164" s="55"/>
      <c r="W164" s="55"/>
      <c r="X164" s="55"/>
      <c r="Y164" s="55"/>
      <c r="Z164" s="55"/>
      <c r="AA164" s="55"/>
      <c r="AB164" s="55"/>
      <c r="AC164" s="55"/>
      <c r="AD164" s="55"/>
      <c r="AE164" s="55"/>
    </row>
    <row r="165" spans="1:32" ht="13.5" customHeight="1" x14ac:dyDescent="0.25">
      <c r="Q165" s="88"/>
      <c r="R165" s="88"/>
      <c r="S165" s="55"/>
      <c r="T165" s="55"/>
      <c r="U165" s="55"/>
      <c r="V165" s="1412" t="s">
        <v>232</v>
      </c>
      <c r="W165" s="1406"/>
      <c r="X165" s="1406"/>
      <c r="Y165" s="1406"/>
      <c r="Z165" s="1412" t="s">
        <v>232</v>
      </c>
      <c r="AA165" s="1406"/>
      <c r="AB165" s="1406"/>
      <c r="AC165" s="1406"/>
      <c r="AD165" s="1412" t="s">
        <v>232</v>
      </c>
      <c r="AE165" s="55"/>
    </row>
    <row r="166" spans="1:32" ht="12" customHeight="1" x14ac:dyDescent="0.25">
      <c r="Q166" s="88"/>
      <c r="R166" s="88"/>
      <c r="S166" s="55"/>
      <c r="T166" s="55"/>
      <c r="U166" s="55"/>
      <c r="V166" s="1412" t="s">
        <v>233</v>
      </c>
      <c r="W166" s="1406"/>
      <c r="X166" s="1406"/>
      <c r="Y166" s="1406"/>
      <c r="Z166" s="1412" t="s">
        <v>233</v>
      </c>
      <c r="AA166" s="1406"/>
      <c r="AB166" s="1406"/>
      <c r="AC166" s="1406"/>
      <c r="AD166" s="1412" t="s">
        <v>233</v>
      </c>
      <c r="AE166" s="55"/>
    </row>
    <row r="167" spans="1:32" s="314" customFormat="1" ht="18.75" customHeight="1" x14ac:dyDescent="0.25">
      <c r="A167" s="684"/>
      <c r="Q167" s="684"/>
      <c r="R167" s="684"/>
      <c r="S167" s="684"/>
      <c r="T167" s="1413"/>
      <c r="U167" s="1413"/>
      <c r="V167" s="1414" t="s">
        <v>234</v>
      </c>
      <c r="W167" s="1407"/>
      <c r="X167" s="1407"/>
      <c r="Y167" s="1415"/>
      <c r="Z167" s="1414" t="s">
        <v>235</v>
      </c>
      <c r="AA167" s="1407"/>
      <c r="AB167" s="1407"/>
      <c r="AC167" s="1415"/>
      <c r="AD167" s="1414" t="s">
        <v>236</v>
      </c>
      <c r="AE167" s="684"/>
    </row>
    <row r="171" spans="1:32" ht="31.5" customHeight="1" x14ac:dyDescent="0.35">
      <c r="B171" s="1283" t="s">
        <v>1775</v>
      </c>
      <c r="C171" s="1283"/>
      <c r="D171" s="1284"/>
      <c r="E171" s="1284"/>
      <c r="F171" s="1284"/>
      <c r="G171" s="1284"/>
      <c r="H171" s="1284"/>
      <c r="I171" s="1284"/>
      <c r="J171" s="1284"/>
      <c r="K171" s="1284"/>
      <c r="L171" s="1284"/>
      <c r="M171" s="1284"/>
      <c r="N171" s="1284"/>
      <c r="O171" s="1284"/>
      <c r="P171" s="1284"/>
      <c r="Q171" s="1284"/>
      <c r="R171" s="1284"/>
      <c r="S171" s="1284"/>
      <c r="T171" s="1284"/>
      <c r="U171" s="1284"/>
      <c r="V171" s="1284"/>
      <c r="W171" s="1284"/>
      <c r="X171" s="1284"/>
      <c r="Y171" s="1284"/>
      <c r="Z171" s="1284"/>
      <c r="AA171" s="1284"/>
      <c r="AB171" s="1284"/>
      <c r="AC171" s="1284"/>
      <c r="AD171" s="1284"/>
      <c r="AE171" s="1284"/>
      <c r="AF171" s="1284"/>
    </row>
    <row r="174" spans="1:32" ht="22.5" customHeight="1" x14ac:dyDescent="0.3">
      <c r="B174" s="1285" t="s">
        <v>169</v>
      </c>
      <c r="C174" s="1285"/>
      <c r="D174" s="1285"/>
      <c r="E174" s="1285"/>
      <c r="F174" s="1285"/>
      <c r="G174" s="1285"/>
      <c r="H174" s="1285"/>
      <c r="I174" s="1285"/>
      <c r="J174" s="1285"/>
      <c r="K174" s="1285"/>
      <c r="L174" s="1285"/>
      <c r="M174" s="1285"/>
      <c r="N174" s="1285"/>
      <c r="O174" s="1285"/>
      <c r="P174" s="1285"/>
      <c r="Q174" s="1285"/>
      <c r="R174" s="1285"/>
      <c r="S174" s="1285"/>
      <c r="T174" s="1285"/>
      <c r="U174" s="1285"/>
      <c r="V174" s="1285"/>
      <c r="W174" s="1285"/>
      <c r="X174" s="1285"/>
      <c r="Y174" s="1285"/>
      <c r="Z174" s="1285"/>
      <c r="AA174" s="1285"/>
      <c r="AB174" s="1285"/>
      <c r="AC174" s="1285"/>
      <c r="AD174" s="1285"/>
      <c r="AE174" s="1285"/>
      <c r="AF174" s="1285"/>
    </row>
    <row r="175" spans="1:32" ht="21" x14ac:dyDescent="0.25">
      <c r="B175" s="1416"/>
      <c r="C175" s="1416"/>
    </row>
    <row r="176" spans="1:32" ht="24.75" customHeight="1" x14ac:dyDescent="0.35">
      <c r="D176" s="1417" t="s">
        <v>42</v>
      </c>
      <c r="E176" s="1348"/>
      <c r="F176" s="1348"/>
      <c r="G176" s="1348"/>
      <c r="H176" s="1348"/>
      <c r="I176" s="1348"/>
      <c r="J176" s="1348"/>
      <c r="K176" s="1348"/>
      <c r="L176" s="1348"/>
      <c r="M176" s="1348"/>
      <c r="N176" s="1348"/>
      <c r="O176" s="1348"/>
    </row>
    <row r="177" spans="2:16" ht="6" customHeight="1" x14ac:dyDescent="0.25">
      <c r="B177" s="1416"/>
      <c r="C177" s="1416"/>
    </row>
    <row r="178" spans="2:16" ht="6" customHeight="1" x14ac:dyDescent="0.25">
      <c r="B178" s="1416"/>
      <c r="C178" s="1416"/>
    </row>
    <row r="179" spans="2:16" x14ac:dyDescent="0.25">
      <c r="B179" s="314"/>
      <c r="C179" s="314"/>
      <c r="D179" s="1418"/>
      <c r="E179" s="1418">
        <f>'FORMULAIRE PGA Eaux pluviales '!E410</f>
        <v>0</v>
      </c>
      <c r="F179" s="1418">
        <f>E179+1</f>
        <v>1</v>
      </c>
      <c r="G179" s="1418">
        <f t="shared" ref="G179:N179" si="6">F179+1</f>
        <v>2</v>
      </c>
      <c r="H179" s="1418">
        <f t="shared" si="6"/>
        <v>3</v>
      </c>
      <c r="I179" s="1418">
        <f t="shared" si="6"/>
        <v>4</v>
      </c>
      <c r="J179" s="1418">
        <f t="shared" si="6"/>
        <v>5</v>
      </c>
      <c r="K179" s="1418">
        <f t="shared" si="6"/>
        <v>6</v>
      </c>
      <c r="L179" s="1418">
        <f t="shared" si="6"/>
        <v>7</v>
      </c>
      <c r="M179" s="1418">
        <f t="shared" si="6"/>
        <v>8</v>
      </c>
      <c r="N179" s="1418">
        <f t="shared" si="6"/>
        <v>9</v>
      </c>
      <c r="O179" s="1419" t="s">
        <v>1822</v>
      </c>
    </row>
    <row r="180" spans="2:16" x14ac:dyDescent="0.25">
      <c r="D180" s="1420" t="s">
        <v>129</v>
      </c>
      <c r="E180" s="1421">
        <f>E238+E255</f>
        <v>0</v>
      </c>
      <c r="F180" s="1421">
        <f>E180</f>
        <v>0</v>
      </c>
      <c r="G180" s="1421">
        <f t="shared" ref="G180:N180" si="7">F180</f>
        <v>0</v>
      </c>
      <c r="H180" s="1421">
        <f t="shared" si="7"/>
        <v>0</v>
      </c>
      <c r="I180" s="1421">
        <f t="shared" si="7"/>
        <v>0</v>
      </c>
      <c r="J180" s="1421">
        <f t="shared" si="7"/>
        <v>0</v>
      </c>
      <c r="K180" s="1421">
        <f t="shared" si="7"/>
        <v>0</v>
      </c>
      <c r="L180" s="1421">
        <f t="shared" si="7"/>
        <v>0</v>
      </c>
      <c r="M180" s="1421">
        <f t="shared" si="7"/>
        <v>0</v>
      </c>
      <c r="N180" s="1421">
        <f t="shared" si="7"/>
        <v>0</v>
      </c>
      <c r="O180" s="1422">
        <f>SUM(E180:N180)</f>
        <v>0</v>
      </c>
    </row>
    <row r="181" spans="2:16" x14ac:dyDescent="0.25">
      <c r="D181" s="919" t="s">
        <v>1</v>
      </c>
      <c r="E181" s="1348">
        <f>E239+E256</f>
        <v>0</v>
      </c>
      <c r="F181" s="1348">
        <f t="shared" ref="F181:N181" si="8">F239+F256</f>
        <v>0</v>
      </c>
      <c r="G181" s="1348">
        <f t="shared" si="8"/>
        <v>0</v>
      </c>
      <c r="H181" s="1348">
        <f t="shared" si="8"/>
        <v>0</v>
      </c>
      <c r="I181" s="1348">
        <f t="shared" si="8"/>
        <v>0</v>
      </c>
      <c r="J181" s="1348">
        <f t="shared" si="8"/>
        <v>0</v>
      </c>
      <c r="K181" s="1348">
        <f t="shared" si="8"/>
        <v>0</v>
      </c>
      <c r="L181" s="1348">
        <f t="shared" si="8"/>
        <v>0</v>
      </c>
      <c r="M181" s="1348">
        <f t="shared" si="8"/>
        <v>0</v>
      </c>
      <c r="N181" s="1348">
        <f t="shared" si="8"/>
        <v>0</v>
      </c>
      <c r="O181" s="1348">
        <f>SUM(E181:N181)</f>
        <v>0</v>
      </c>
    </row>
    <row r="182" spans="2:16" x14ac:dyDescent="0.25">
      <c r="D182" s="919" t="s">
        <v>2</v>
      </c>
      <c r="E182" s="1348">
        <f t="shared" ref="E182:N182" si="9">E240+E257</f>
        <v>0</v>
      </c>
      <c r="F182" s="1348">
        <f t="shared" si="9"/>
        <v>0</v>
      </c>
      <c r="G182" s="1348">
        <f t="shared" si="9"/>
        <v>0</v>
      </c>
      <c r="H182" s="1348">
        <f t="shared" si="9"/>
        <v>0</v>
      </c>
      <c r="I182" s="1348">
        <f t="shared" si="9"/>
        <v>0</v>
      </c>
      <c r="J182" s="1348">
        <f t="shared" si="9"/>
        <v>0</v>
      </c>
      <c r="K182" s="1348">
        <f t="shared" si="9"/>
        <v>0</v>
      </c>
      <c r="L182" s="1348">
        <f t="shared" si="9"/>
        <v>0</v>
      </c>
      <c r="M182" s="1348">
        <f t="shared" si="9"/>
        <v>0</v>
      </c>
      <c r="N182" s="1348">
        <f t="shared" si="9"/>
        <v>0</v>
      </c>
      <c r="O182" s="1348">
        <f t="shared" ref="O182:O185" si="10">SUM(E182:N182)</f>
        <v>0</v>
      </c>
    </row>
    <row r="183" spans="2:16" x14ac:dyDescent="0.25">
      <c r="D183" s="919" t="s">
        <v>5</v>
      </c>
      <c r="E183" s="1348">
        <f t="shared" ref="E183:N183" si="11">E241+E258</f>
        <v>0</v>
      </c>
      <c r="F183" s="1348">
        <f t="shared" si="11"/>
        <v>0</v>
      </c>
      <c r="G183" s="1348">
        <f t="shared" si="11"/>
        <v>0</v>
      </c>
      <c r="H183" s="1348">
        <f t="shared" si="11"/>
        <v>0</v>
      </c>
      <c r="I183" s="1348">
        <f t="shared" si="11"/>
        <v>0</v>
      </c>
      <c r="J183" s="1348">
        <f t="shared" si="11"/>
        <v>0</v>
      </c>
      <c r="K183" s="1348">
        <f t="shared" si="11"/>
        <v>0</v>
      </c>
      <c r="L183" s="1348">
        <f t="shared" si="11"/>
        <v>0</v>
      </c>
      <c r="M183" s="1348">
        <f t="shared" si="11"/>
        <v>0</v>
      </c>
      <c r="N183" s="1348">
        <f t="shared" si="11"/>
        <v>0</v>
      </c>
      <c r="O183" s="1348">
        <f t="shared" si="10"/>
        <v>0</v>
      </c>
    </row>
    <row r="184" spans="2:16" x14ac:dyDescent="0.25">
      <c r="D184" s="919" t="s">
        <v>3</v>
      </c>
      <c r="E184" s="1348">
        <f t="shared" ref="E184:N184" si="12">E242+E259</f>
        <v>0</v>
      </c>
      <c r="F184" s="1348">
        <f t="shared" si="12"/>
        <v>0</v>
      </c>
      <c r="G184" s="1348">
        <f t="shared" si="12"/>
        <v>0</v>
      </c>
      <c r="H184" s="1348">
        <f t="shared" si="12"/>
        <v>0</v>
      </c>
      <c r="I184" s="1348">
        <f t="shared" si="12"/>
        <v>0</v>
      </c>
      <c r="J184" s="1348">
        <f t="shared" si="12"/>
        <v>0</v>
      </c>
      <c r="K184" s="1348">
        <f t="shared" si="12"/>
        <v>0</v>
      </c>
      <c r="L184" s="1348">
        <f t="shared" si="12"/>
        <v>0</v>
      </c>
      <c r="M184" s="1348">
        <f t="shared" si="12"/>
        <v>0</v>
      </c>
      <c r="N184" s="1348">
        <f t="shared" si="12"/>
        <v>0</v>
      </c>
      <c r="O184" s="1348">
        <f t="shared" si="10"/>
        <v>0</v>
      </c>
    </row>
    <row r="185" spans="2:16" x14ac:dyDescent="0.25">
      <c r="D185" s="1423" t="s">
        <v>4</v>
      </c>
      <c r="E185" s="1424">
        <f t="shared" ref="E185:N185" si="13">E243+E260</f>
        <v>0</v>
      </c>
      <c r="F185" s="1424">
        <f t="shared" si="13"/>
        <v>0</v>
      </c>
      <c r="G185" s="1424">
        <f t="shared" si="13"/>
        <v>0</v>
      </c>
      <c r="H185" s="1424">
        <f t="shared" si="13"/>
        <v>0</v>
      </c>
      <c r="I185" s="1424">
        <f t="shared" si="13"/>
        <v>0</v>
      </c>
      <c r="J185" s="1424">
        <f t="shared" si="13"/>
        <v>0</v>
      </c>
      <c r="K185" s="1424">
        <f t="shared" si="13"/>
        <v>0</v>
      </c>
      <c r="L185" s="1424">
        <f t="shared" si="13"/>
        <v>0</v>
      </c>
      <c r="M185" s="1424">
        <f t="shared" si="13"/>
        <v>0</v>
      </c>
      <c r="N185" s="1424">
        <f t="shared" si="13"/>
        <v>0</v>
      </c>
      <c r="O185" s="1424">
        <f t="shared" si="10"/>
        <v>0</v>
      </c>
    </row>
    <row r="186" spans="2:16" x14ac:dyDescent="0.25">
      <c r="D186" s="919"/>
      <c r="E186" s="1348"/>
      <c r="F186" s="1348"/>
      <c r="G186" s="1348"/>
      <c r="H186" s="1348"/>
      <c r="I186" s="1348"/>
      <c r="J186" s="1348"/>
      <c r="K186" s="1348"/>
      <c r="L186" s="1348"/>
      <c r="M186" s="1348"/>
      <c r="N186" s="1348"/>
      <c r="O186" s="1348"/>
    </row>
    <row r="187" spans="2:16" ht="24.75" customHeight="1" x14ac:dyDescent="0.35">
      <c r="D187" s="1417" t="s">
        <v>1821</v>
      </c>
      <c r="E187" s="1348"/>
      <c r="F187" s="1348"/>
      <c r="H187" s="1348"/>
      <c r="I187" s="1348"/>
      <c r="J187" s="1348"/>
      <c r="M187" s="1348"/>
      <c r="N187" s="1348"/>
      <c r="O187" s="1348"/>
    </row>
    <row r="188" spans="2:16" ht="7.5" customHeight="1" x14ac:dyDescent="0.25">
      <c r="D188" s="919"/>
      <c r="E188" s="1348"/>
      <c r="F188" s="1348"/>
      <c r="G188" s="1348"/>
      <c r="H188" s="1348"/>
      <c r="I188" s="1348"/>
      <c r="J188" s="1348"/>
      <c r="K188" s="1348"/>
      <c r="L188" s="1348"/>
      <c r="M188" s="1348"/>
      <c r="N188" s="1348"/>
      <c r="O188" s="1348"/>
    </row>
    <row r="189" spans="2:16" ht="18.75" x14ac:dyDescent="0.3">
      <c r="B189" s="1425"/>
      <c r="C189" s="1425"/>
      <c r="E189" s="2179" t="s">
        <v>2041</v>
      </c>
      <c r="F189" s="1426" t="s">
        <v>1879</v>
      </c>
      <c r="G189" s="1426" t="s">
        <v>1878</v>
      </c>
      <c r="H189" s="1426" t="s">
        <v>163</v>
      </c>
      <c r="I189" s="1348"/>
      <c r="K189" s="3271" t="s">
        <v>2042</v>
      </c>
      <c r="L189" s="3272"/>
      <c r="M189" s="1426" t="s">
        <v>1879</v>
      </c>
      <c r="N189" s="1426" t="s">
        <v>1878</v>
      </c>
      <c r="O189" s="1426" t="s">
        <v>163</v>
      </c>
    </row>
    <row r="190" spans="2:16" x14ac:dyDescent="0.25">
      <c r="E190" s="1127" t="s">
        <v>173</v>
      </c>
      <c r="F190" s="152">
        <f>'FORMULAIRE PGA Eaux pluviales '!G630</f>
        <v>0</v>
      </c>
      <c r="G190" s="1427">
        <v>0.5</v>
      </c>
      <c r="H190" s="3278">
        <f>ROUNDDOWN((F190*G190+F191*G191),0)</f>
        <v>0</v>
      </c>
      <c r="I190" s="1348"/>
      <c r="J190" s="1348"/>
      <c r="L190" s="1127" t="s">
        <v>173</v>
      </c>
      <c r="M190" s="152">
        <f>'FORMULAIRE PGA Eaux pluviales '!L630</f>
        <v>0</v>
      </c>
      <c r="N190" s="1427">
        <v>0.5</v>
      </c>
      <c r="O190" s="3278">
        <f>ROUNDDOWN((M190*N190+M191*N191),0)</f>
        <v>0</v>
      </c>
      <c r="P190" s="1428" t="s">
        <v>183</v>
      </c>
    </row>
    <row r="191" spans="2:16" x14ac:dyDescent="0.25">
      <c r="E191" s="1127" t="s">
        <v>172</v>
      </c>
      <c r="F191" s="152">
        <f>'FORMULAIRE PGA Eaux pluviales '!G625</f>
        <v>0</v>
      </c>
      <c r="G191" s="1427">
        <v>0.5</v>
      </c>
      <c r="H191" s="3278"/>
      <c r="I191" s="1348"/>
      <c r="L191" s="1127" t="s">
        <v>172</v>
      </c>
      <c r="M191" s="152">
        <f>'FORMULAIRE PGA Eaux pluviales '!L625</f>
        <v>0</v>
      </c>
      <c r="N191" s="1427">
        <v>0.5</v>
      </c>
      <c r="O191" s="3278"/>
      <c r="P191" s="1429" t="s">
        <v>1875</v>
      </c>
    </row>
    <row r="192" spans="2:16" x14ac:dyDescent="0.25">
      <c r="E192" s="1127" t="s">
        <v>1815</v>
      </c>
      <c r="F192" s="152">
        <f>'FORMULAIRE PGA Eaux pluviales '!G631</f>
        <v>0</v>
      </c>
      <c r="G192" s="1427">
        <f>2/3/3</f>
        <v>0.22222222222222221</v>
      </c>
      <c r="H192" s="3278">
        <f>ROUNDDOWN((F192*G192+F193*G193+F194*G194+F196*G196+F197*G197+F198*G198),0)</f>
        <v>0</v>
      </c>
      <c r="I192" s="1348"/>
      <c r="L192" s="1127" t="s">
        <v>1815</v>
      </c>
      <c r="M192" s="152">
        <f>'FORMULAIRE PGA Eaux pluviales '!L631</f>
        <v>0</v>
      </c>
      <c r="N192" s="1427">
        <f>2/3/3</f>
        <v>0.22222222222222221</v>
      </c>
      <c r="O192" s="3278">
        <f>ROUNDDOWN((M192*N192+M193*N193+M194*N194+M196*N196+M197*N197+M198*N198),0)</f>
        <v>0</v>
      </c>
      <c r="P192" s="1429" t="s">
        <v>1876</v>
      </c>
    </row>
    <row r="193" spans="4:16" x14ac:dyDescent="0.25">
      <c r="E193" s="1127" t="s">
        <v>174</v>
      </c>
      <c r="F193" s="152">
        <f>'FORMULAIRE PGA Eaux pluviales '!G626</f>
        <v>0</v>
      </c>
      <c r="G193" s="1427">
        <f t="shared" ref="G193:G194" si="14">2/3/3</f>
        <v>0.22222222222222221</v>
      </c>
      <c r="H193" s="3278"/>
      <c r="I193" s="1348"/>
      <c r="L193" s="1127" t="s">
        <v>174</v>
      </c>
      <c r="M193" s="152">
        <f>'FORMULAIRE PGA Eaux pluviales '!L626</f>
        <v>0</v>
      </c>
      <c r="N193" s="1427">
        <f t="shared" ref="N193:N194" si="15">2/3/3</f>
        <v>0.22222222222222221</v>
      </c>
      <c r="O193" s="3278"/>
      <c r="P193" s="1429" t="s">
        <v>1877</v>
      </c>
    </row>
    <row r="194" spans="4:16" x14ac:dyDescent="0.25">
      <c r="E194" s="1127" t="s">
        <v>175</v>
      </c>
      <c r="F194" s="152">
        <f>'FORMULAIRE PGA Eaux pluviales '!G627</f>
        <v>0</v>
      </c>
      <c r="G194" s="1427">
        <f t="shared" si="14"/>
        <v>0.22222222222222221</v>
      </c>
      <c r="H194" s="3278"/>
      <c r="I194" s="1348"/>
      <c r="L194" s="1127" t="s">
        <v>175</v>
      </c>
      <c r="M194" s="152">
        <f>'FORMULAIRE PGA Eaux pluviales '!L627</f>
        <v>0</v>
      </c>
      <c r="N194" s="1427">
        <f t="shared" si="15"/>
        <v>0.22222222222222221</v>
      </c>
      <c r="O194" s="3278"/>
      <c r="P194" s="1429" t="s">
        <v>1896</v>
      </c>
    </row>
    <row r="195" spans="4:16" x14ac:dyDescent="0.25">
      <c r="E195" s="1350" t="s">
        <v>1816</v>
      </c>
      <c r="G195" s="1427"/>
      <c r="H195" s="3278"/>
      <c r="I195" s="1348"/>
      <c r="L195" s="1350" t="s">
        <v>1816</v>
      </c>
      <c r="N195" s="1427"/>
      <c r="O195" s="3278"/>
      <c r="P195" s="1429" t="s">
        <v>1897</v>
      </c>
    </row>
    <row r="196" spans="4:16" x14ac:dyDescent="0.25">
      <c r="E196" s="1127" t="s">
        <v>1817</v>
      </c>
      <c r="F196" s="152">
        <f>'FORMULAIRE PGA Eaux pluviales '!G614</f>
        <v>0</v>
      </c>
      <c r="G196" s="1427">
        <f>1/3/3</f>
        <v>0.1111111111111111</v>
      </c>
      <c r="H196" s="3278"/>
      <c r="I196" s="1348"/>
      <c r="J196" s="1426"/>
      <c r="L196" s="1127" t="s">
        <v>1817</v>
      </c>
      <c r="M196" s="152">
        <f>'FORMULAIRE PGA Eaux pluviales '!L614</f>
        <v>0</v>
      </c>
      <c r="N196" s="1427">
        <f>1/3/3</f>
        <v>0.1111111111111111</v>
      </c>
      <c r="O196" s="3278"/>
    </row>
    <row r="197" spans="4:16" x14ac:dyDescent="0.25">
      <c r="E197" s="1127" t="s">
        <v>1531</v>
      </c>
      <c r="F197" s="152">
        <f>'FORMULAIRE PGA Eaux pluviales '!G618</f>
        <v>0</v>
      </c>
      <c r="G197" s="1427">
        <f t="shared" ref="G197:G198" si="16">1/3/3</f>
        <v>0.1111111111111111</v>
      </c>
      <c r="H197" s="3278"/>
      <c r="I197" s="1348"/>
      <c r="J197" s="1348"/>
      <c r="L197" s="1127" t="s">
        <v>1531</v>
      </c>
      <c r="M197" s="152">
        <f>'FORMULAIRE PGA Eaux pluviales '!L618</f>
        <v>0</v>
      </c>
      <c r="N197" s="1427">
        <f t="shared" ref="N197:N198" si="17">1/3/3</f>
        <v>0.1111111111111111</v>
      </c>
      <c r="O197" s="3278"/>
    </row>
    <row r="198" spans="4:16" x14ac:dyDescent="0.25">
      <c r="E198" s="1127" t="s">
        <v>1530</v>
      </c>
      <c r="F198" s="152">
        <f>'FORMULAIRE PGA Eaux pluviales '!G622</f>
        <v>0</v>
      </c>
      <c r="G198" s="1427">
        <f t="shared" si="16"/>
        <v>0.1111111111111111</v>
      </c>
      <c r="H198" s="3278"/>
      <c r="I198" s="1348"/>
      <c r="J198" s="1348"/>
      <c r="L198" s="1127" t="s">
        <v>1530</v>
      </c>
      <c r="M198" s="152">
        <f>'FORMULAIRE PGA Eaux pluviales '!L622</f>
        <v>0</v>
      </c>
      <c r="N198" s="1427">
        <f t="shared" si="17"/>
        <v>0.1111111111111111</v>
      </c>
      <c r="O198" s="3278"/>
    </row>
    <row r="199" spans="4:16" x14ac:dyDescent="0.25">
      <c r="D199" s="1127"/>
      <c r="E199" s="152"/>
      <c r="F199" s="1430"/>
      <c r="G199" s="1430"/>
      <c r="H199" s="1430"/>
      <c r="I199" s="1348"/>
      <c r="J199" s="1348"/>
      <c r="K199" s="1127"/>
      <c r="L199" s="152"/>
      <c r="M199" s="1430"/>
      <c r="N199" s="1430"/>
      <c r="O199" s="1430"/>
    </row>
    <row r="200" spans="4:16" ht="18.75" customHeight="1" x14ac:dyDescent="0.25">
      <c r="D200" s="3271" t="s">
        <v>2061</v>
      </c>
      <c r="E200" s="3272"/>
      <c r="F200" s="1426" t="s">
        <v>1879</v>
      </c>
      <c r="G200" s="1426" t="s">
        <v>1878</v>
      </c>
      <c r="H200" s="1426" t="s">
        <v>163</v>
      </c>
      <c r="I200" s="1431"/>
      <c r="J200" s="1431"/>
      <c r="K200" s="1432" t="s">
        <v>1880</v>
      </c>
      <c r="L200" s="152"/>
      <c r="M200" s="1430"/>
      <c r="N200" s="1430"/>
      <c r="O200" s="1430"/>
    </row>
    <row r="201" spans="4:16" x14ac:dyDescent="0.25">
      <c r="E201" s="1127" t="s">
        <v>173</v>
      </c>
      <c r="F201" s="152">
        <f>IF(OR($I$41=1,$K$36=1),F190,IF($I$33=1,M190,AVERAGE(F190+M190)))</f>
        <v>0</v>
      </c>
      <c r="G201" s="1427">
        <v>0.5</v>
      </c>
      <c r="H201" s="3278">
        <f>ROUNDDOWN((F201*G201+F202*G202),0)</f>
        <v>0</v>
      </c>
      <c r="I201" s="1427">
        <v>0.15</v>
      </c>
      <c r="J201" s="28">
        <f>F201*I201</f>
        <v>0</v>
      </c>
      <c r="K201" s="3278">
        <f>ROUNDDOWN(SUM(J201:J209),0)</f>
        <v>0</v>
      </c>
      <c r="L201" s="152"/>
      <c r="M201" s="1430"/>
      <c r="N201" s="1430"/>
      <c r="O201" s="1430"/>
      <c r="P201" s="1429" t="s">
        <v>1881</v>
      </c>
    </row>
    <row r="202" spans="4:16" x14ac:dyDescent="0.25">
      <c r="E202" s="1127" t="s">
        <v>172</v>
      </c>
      <c r="F202" s="152">
        <f t="shared" ref="F202:F209" si="18">IF(OR($I$41=1,$K$36=1),F191,IF($I$33=1,M191,AVERAGE(F191+M191)))</f>
        <v>0</v>
      </c>
      <c r="G202" s="1427">
        <v>0.5</v>
      </c>
      <c r="H202" s="3278"/>
      <c r="I202" s="1427">
        <v>0.15</v>
      </c>
      <c r="J202" s="28">
        <f t="shared" ref="J202:J209" si="19">F202*I202</f>
        <v>0</v>
      </c>
      <c r="K202" s="3278"/>
      <c r="L202" s="152"/>
      <c r="M202" s="1430"/>
      <c r="N202" s="1430"/>
      <c r="O202" s="1430"/>
    </row>
    <row r="203" spans="4:16" x14ac:dyDescent="0.25">
      <c r="E203" s="1127" t="s">
        <v>1815</v>
      </c>
      <c r="F203" s="152">
        <f t="shared" si="18"/>
        <v>0</v>
      </c>
      <c r="G203" s="1427">
        <f>2/3/3</f>
        <v>0.22222222222222221</v>
      </c>
      <c r="H203" s="3278">
        <f>ROUNDDOWN((F203*G203+F204*G204+F205*G205+F207*G207+F208*G208+F209*G209),0)</f>
        <v>0</v>
      </c>
      <c r="I203" s="1427">
        <v>0.15</v>
      </c>
      <c r="J203" s="28">
        <f t="shared" si="19"/>
        <v>0</v>
      </c>
      <c r="K203" s="3278"/>
      <c r="L203" s="152"/>
      <c r="M203" s="1430"/>
      <c r="N203" s="1430"/>
      <c r="O203" s="1430"/>
    </row>
    <row r="204" spans="4:16" x14ac:dyDescent="0.25">
      <c r="E204" s="1127" t="s">
        <v>174</v>
      </c>
      <c r="F204" s="152">
        <f t="shared" si="18"/>
        <v>0</v>
      </c>
      <c r="G204" s="1427">
        <f t="shared" ref="G204:G205" si="20">2/3/3</f>
        <v>0.22222222222222221</v>
      </c>
      <c r="H204" s="3278"/>
      <c r="I204" s="1427">
        <v>0.15</v>
      </c>
      <c r="J204" s="28">
        <f t="shared" si="19"/>
        <v>0</v>
      </c>
      <c r="K204" s="3278"/>
      <c r="L204" s="152"/>
      <c r="M204" s="1430"/>
      <c r="N204" s="1430"/>
      <c r="O204" s="1430"/>
    </row>
    <row r="205" spans="4:16" x14ac:dyDescent="0.25">
      <c r="E205" s="1127" t="s">
        <v>175</v>
      </c>
      <c r="F205" s="152">
        <f t="shared" si="18"/>
        <v>0</v>
      </c>
      <c r="G205" s="1427">
        <f t="shared" si="20"/>
        <v>0.22222222222222221</v>
      </c>
      <c r="H205" s="3278"/>
      <c r="I205" s="1427">
        <v>0.15</v>
      </c>
      <c r="J205" s="28">
        <f t="shared" si="19"/>
        <v>0</v>
      </c>
      <c r="K205" s="3278"/>
      <c r="L205" s="152"/>
      <c r="M205" s="1430"/>
      <c r="N205" s="1430"/>
      <c r="O205" s="1430"/>
    </row>
    <row r="206" spans="4:16" x14ac:dyDescent="0.25">
      <c r="E206" s="1350" t="s">
        <v>1816</v>
      </c>
      <c r="F206" s="152"/>
      <c r="G206" s="1427"/>
      <c r="H206" s="3278"/>
      <c r="I206" s="1427"/>
      <c r="K206" s="3278"/>
      <c r="L206" s="152"/>
      <c r="M206" s="1430"/>
      <c r="N206" s="1430"/>
      <c r="O206" s="1430"/>
    </row>
    <row r="207" spans="4:16" x14ac:dyDescent="0.25">
      <c r="E207" s="1127" t="s">
        <v>1817</v>
      </c>
      <c r="F207" s="152">
        <f t="shared" si="18"/>
        <v>0</v>
      </c>
      <c r="G207" s="1427">
        <f>1/3/3</f>
        <v>0.1111111111111111</v>
      </c>
      <c r="H207" s="3278"/>
      <c r="I207" s="1427">
        <f>0.25/3</f>
        <v>8.3333333333333329E-2</v>
      </c>
      <c r="J207" s="28">
        <f t="shared" si="19"/>
        <v>0</v>
      </c>
      <c r="K207" s="3278"/>
      <c r="L207" s="152"/>
      <c r="M207" s="1430"/>
      <c r="N207" s="1430"/>
      <c r="O207" s="1430"/>
      <c r="P207" s="1428" t="s">
        <v>2164</v>
      </c>
    </row>
    <row r="208" spans="4:16" x14ac:dyDescent="0.25">
      <c r="E208" s="1127" t="s">
        <v>1531</v>
      </c>
      <c r="F208" s="152">
        <f t="shared" si="18"/>
        <v>0</v>
      </c>
      <c r="G208" s="1427">
        <f t="shared" ref="G208:G209" si="21">1/3/3</f>
        <v>0.1111111111111111</v>
      </c>
      <c r="H208" s="3278"/>
      <c r="I208" s="1427">
        <f>0.25/3</f>
        <v>8.3333333333333329E-2</v>
      </c>
      <c r="J208" s="28">
        <f t="shared" si="19"/>
        <v>0</v>
      </c>
      <c r="K208" s="3278"/>
      <c r="L208" s="152"/>
      <c r="M208" s="1430"/>
      <c r="N208" s="1430"/>
      <c r="O208" s="1430"/>
      <c r="P208" s="1429" t="s">
        <v>2165</v>
      </c>
    </row>
    <row r="209" spans="2:32" x14ac:dyDescent="0.25">
      <c r="E209" s="1127" t="s">
        <v>1530</v>
      </c>
      <c r="F209" s="152">
        <f t="shared" si="18"/>
        <v>0</v>
      </c>
      <c r="G209" s="1427">
        <f t="shared" si="21"/>
        <v>0.1111111111111111</v>
      </c>
      <c r="H209" s="3278"/>
      <c r="I209" s="1427">
        <f>0.25/3</f>
        <v>8.3333333333333329E-2</v>
      </c>
      <c r="J209" s="28">
        <f t="shared" si="19"/>
        <v>0</v>
      </c>
      <c r="K209" s="3278"/>
      <c r="L209" s="152"/>
      <c r="M209" s="1430"/>
      <c r="N209" s="1430"/>
      <c r="O209" s="1430"/>
      <c r="P209" s="1429" t="s">
        <v>2163</v>
      </c>
    </row>
    <row r="210" spans="2:32" x14ac:dyDescent="0.25">
      <c r="D210" s="1127"/>
      <c r="E210" s="152"/>
      <c r="F210" s="1430"/>
      <c r="G210" s="1430"/>
      <c r="H210" s="1430"/>
      <c r="I210" s="1348"/>
      <c r="J210" s="1348"/>
      <c r="K210" s="1127"/>
      <c r="L210" s="152"/>
      <c r="M210" s="1430"/>
      <c r="N210" s="1430"/>
      <c r="O210" s="1430"/>
    </row>
    <row r="211" spans="2:32" x14ac:dyDescent="0.25">
      <c r="D211" s="1127"/>
      <c r="E211" s="152"/>
      <c r="F211" s="1430"/>
      <c r="G211" s="1430"/>
      <c r="H211" s="1430"/>
      <c r="I211" s="1348"/>
      <c r="J211" s="1348"/>
      <c r="K211" s="1127"/>
      <c r="L211" s="152"/>
      <c r="M211" s="1430"/>
      <c r="N211" s="1430"/>
      <c r="O211" s="1430"/>
    </row>
    <row r="212" spans="2:32" ht="15" customHeight="1" x14ac:dyDescent="0.25">
      <c r="D212" s="1127"/>
      <c r="E212" s="1433"/>
      <c r="F212" s="1430"/>
      <c r="G212" s="1430"/>
      <c r="H212" s="1430"/>
      <c r="I212" s="1348"/>
      <c r="J212" s="1348"/>
      <c r="K212" s="1127"/>
      <c r="L212" s="152"/>
      <c r="M212" s="1430"/>
      <c r="N212" s="1430"/>
      <c r="O212" s="1430"/>
    </row>
    <row r="213" spans="2:32" ht="15" customHeight="1" x14ac:dyDescent="0.25">
      <c r="D213" s="1127"/>
      <c r="E213" s="1433"/>
      <c r="F213" s="1430"/>
      <c r="G213" s="1430"/>
      <c r="H213" s="1430"/>
      <c r="I213" s="1348"/>
      <c r="J213" s="1348"/>
      <c r="K213" s="1127"/>
      <c r="L213" s="152"/>
      <c r="M213" s="1430"/>
      <c r="N213" s="1430"/>
      <c r="O213" s="1430"/>
    </row>
    <row r="214" spans="2:32" ht="220.5" customHeight="1" x14ac:dyDescent="0.25"/>
    <row r="217" spans="2:32" ht="22.5" customHeight="1" x14ac:dyDescent="0.3">
      <c r="B217" s="1285" t="s">
        <v>170</v>
      </c>
      <c r="C217" s="1285"/>
      <c r="D217" s="1285"/>
      <c r="E217" s="1285"/>
      <c r="F217" s="1285"/>
      <c r="G217" s="1285"/>
      <c r="H217" s="1285"/>
      <c r="I217" s="1285"/>
      <c r="J217" s="1285"/>
      <c r="K217" s="1285"/>
      <c r="L217" s="1285"/>
      <c r="M217" s="1285"/>
      <c r="N217" s="1285"/>
      <c r="O217" s="1285"/>
      <c r="P217" s="1285"/>
      <c r="Q217" s="1285"/>
      <c r="R217" s="1285"/>
      <c r="S217" s="1285"/>
      <c r="T217" s="1285"/>
      <c r="U217" s="1285"/>
      <c r="V217" s="1285"/>
      <c r="W217" s="1285"/>
      <c r="X217" s="1285"/>
      <c r="Y217" s="1285"/>
      <c r="Z217" s="1285"/>
      <c r="AA217" s="1285"/>
      <c r="AB217" s="1285"/>
      <c r="AC217" s="1285"/>
      <c r="AD217" s="1285"/>
      <c r="AE217" s="1285"/>
      <c r="AF217" s="1285"/>
    </row>
    <row r="218" spans="2:32" ht="21" x14ac:dyDescent="0.25">
      <c r="B218" s="1416"/>
      <c r="C218" s="1416"/>
    </row>
    <row r="219" spans="2:32" ht="21" x14ac:dyDescent="0.35">
      <c r="B219" s="1416"/>
      <c r="C219" s="1416"/>
      <c r="D219" s="1417" t="s">
        <v>1820</v>
      </c>
      <c r="J219" s="1417" t="s">
        <v>1821</v>
      </c>
    </row>
    <row r="220" spans="2:32" ht="9" customHeight="1" x14ac:dyDescent="0.25">
      <c r="B220" s="1416"/>
      <c r="C220" s="1416"/>
    </row>
    <row r="221" spans="2:32" ht="33" customHeight="1" x14ac:dyDescent="0.25">
      <c r="D221" s="3273" t="s">
        <v>1819</v>
      </c>
      <c r="E221" s="3273"/>
      <c r="F221" s="1434" t="s">
        <v>129</v>
      </c>
      <c r="G221" s="1127" t="s">
        <v>171</v>
      </c>
      <c r="J221" s="517"/>
      <c r="K221" s="1424"/>
      <c r="L221" s="1435" t="s">
        <v>163</v>
      </c>
      <c r="M221" s="1348"/>
    </row>
    <row r="222" spans="2:32" x14ac:dyDescent="0.25">
      <c r="D222" s="1436" t="s">
        <v>1</v>
      </c>
      <c r="E222" s="1437">
        <f>O181/10</f>
        <v>0</v>
      </c>
      <c r="F222" s="1437">
        <f>'FORMULAIRE PGA Eaux pluviales '!F351+'FORMULAIRE PGA Eaux pluviales '!F361</f>
        <v>0</v>
      </c>
      <c r="G222" s="1438">
        <f t="shared" ref="G222:G227" si="22">F222-E222</f>
        <v>0</v>
      </c>
      <c r="K222" s="1439" t="s">
        <v>1894</v>
      </c>
      <c r="L222" s="302">
        <f>ROUNDDOWN((F203*0.75+$F$207*0.25/3+$F$208*0.25/3+$F$209*0.25/3),0)</f>
        <v>0</v>
      </c>
      <c r="O222" s="1440" t="s">
        <v>179</v>
      </c>
      <c r="P222" s="1429" t="s">
        <v>1818</v>
      </c>
    </row>
    <row r="223" spans="2:32" x14ac:dyDescent="0.25">
      <c r="D223" s="919" t="s">
        <v>2</v>
      </c>
      <c r="E223" s="1441">
        <f>O182/10</f>
        <v>0</v>
      </c>
      <c r="F223" s="1441">
        <f>'FORMULAIRE PGA Eaux pluviales '!H351+'FORMULAIRE PGA Eaux pluviales '!H361</f>
        <v>0</v>
      </c>
      <c r="G223" s="1442">
        <f t="shared" si="22"/>
        <v>0</v>
      </c>
      <c r="K223" s="1439" t="s">
        <v>5</v>
      </c>
      <c r="L223" s="302">
        <f>ROUNDDOWN((F204*0.75+$F$207*0.25/3+$F$208*0.25/3+$F$209*0.25/3),0)</f>
        <v>0</v>
      </c>
      <c r="O223" s="1443"/>
      <c r="P223" s="1429"/>
    </row>
    <row r="224" spans="2:32" x14ac:dyDescent="0.25">
      <c r="D224" s="919" t="s">
        <v>5</v>
      </c>
      <c r="E224" s="1441">
        <f>O183/10</f>
        <v>0</v>
      </c>
      <c r="F224" s="1441">
        <f>'FORMULAIRE PGA Eaux pluviales '!K351+'FORMULAIRE PGA Eaux pluviales '!K361</f>
        <v>0</v>
      </c>
      <c r="G224" s="1442">
        <f t="shared" si="22"/>
        <v>0</v>
      </c>
      <c r="K224" s="1439" t="s">
        <v>1895</v>
      </c>
      <c r="L224" s="302">
        <f>ROUNDDOWN((F205*0.75+$F$207*0.25/3+$F$208*0.25/3+$F$209*0.25/3),0)</f>
        <v>0</v>
      </c>
      <c r="O224" s="1440" t="s">
        <v>179</v>
      </c>
      <c r="P224" s="1429" t="s">
        <v>1875</v>
      </c>
    </row>
    <row r="225" spans="1:32" x14ac:dyDescent="0.25">
      <c r="D225" s="919" t="s">
        <v>3</v>
      </c>
      <c r="E225" s="1441">
        <f>O184/10</f>
        <v>0</v>
      </c>
      <c r="F225" s="1441">
        <f>'FORMULAIRE PGA Eaux pluviales '!M351+'FORMULAIRE PGA Eaux pluviales '!M361</f>
        <v>0</v>
      </c>
      <c r="G225" s="1442">
        <f t="shared" si="22"/>
        <v>0</v>
      </c>
      <c r="P225" s="1429" t="s">
        <v>1876</v>
      </c>
    </row>
    <row r="226" spans="1:32" x14ac:dyDescent="0.25">
      <c r="D226" s="1423" t="s">
        <v>4</v>
      </c>
      <c r="E226" s="1444">
        <f>O185/10</f>
        <v>0</v>
      </c>
      <c r="F226" s="1444">
        <f>'FORMULAIRE PGA Eaux pluviales '!O351+'FORMULAIRE PGA Eaux pluviales '!O361</f>
        <v>0</v>
      </c>
      <c r="G226" s="1445">
        <f t="shared" si="22"/>
        <v>0</v>
      </c>
      <c r="P226" s="1429" t="s">
        <v>1882</v>
      </c>
    </row>
    <row r="227" spans="1:32" x14ac:dyDescent="0.25">
      <c r="D227" s="919" t="s">
        <v>6</v>
      </c>
      <c r="E227" s="1442">
        <f>SUM(E222:E226)</f>
        <v>0</v>
      </c>
      <c r="F227" s="1442">
        <f>SUM(F222:F226)</f>
        <v>0</v>
      </c>
      <c r="G227" s="1442">
        <f t="shared" si="22"/>
        <v>0</v>
      </c>
      <c r="K227" s="152"/>
      <c r="P227" s="1429" t="s">
        <v>1898</v>
      </c>
    </row>
    <row r="228" spans="1:32" x14ac:dyDescent="0.25">
      <c r="P228" s="1429" t="s">
        <v>1897</v>
      </c>
    </row>
    <row r="231" spans="1:32" ht="22.5" customHeight="1" x14ac:dyDescent="0.3">
      <c r="B231" s="1285" t="s">
        <v>180</v>
      </c>
      <c r="C231" s="1285"/>
      <c r="D231" s="1285"/>
      <c r="E231" s="1285"/>
      <c r="F231" s="1285"/>
      <c r="G231" s="1285"/>
      <c r="H231" s="1285"/>
      <c r="I231" s="1285"/>
      <c r="J231" s="1285"/>
      <c r="K231" s="1285"/>
      <c r="L231" s="1285"/>
      <c r="M231" s="1285"/>
      <c r="N231" s="1285"/>
      <c r="O231" s="1285"/>
      <c r="P231" s="1285"/>
      <c r="Q231" s="1285"/>
      <c r="R231" s="1285"/>
      <c r="S231" s="1285"/>
      <c r="T231" s="1285"/>
      <c r="U231" s="1285"/>
      <c r="V231" s="1285"/>
      <c r="W231" s="1285"/>
      <c r="X231" s="1285"/>
      <c r="Y231" s="1285"/>
      <c r="Z231" s="1285"/>
      <c r="AA231" s="1285"/>
      <c r="AB231" s="1285"/>
      <c r="AC231" s="1285"/>
      <c r="AD231" s="1285"/>
      <c r="AE231" s="1285"/>
      <c r="AF231" s="1285"/>
    </row>
    <row r="232" spans="1:32" ht="18.75" x14ac:dyDescent="0.3">
      <c r="B232" s="1294"/>
      <c r="C232" s="1294"/>
      <c r="D232" s="1294"/>
      <c r="E232" s="1294"/>
      <c r="F232" s="1294"/>
      <c r="G232" s="1294"/>
      <c r="H232" s="1294"/>
      <c r="I232" s="1294"/>
      <c r="J232" s="1294"/>
      <c r="K232" s="1294"/>
      <c r="L232" s="1294"/>
      <c r="M232" s="1294"/>
      <c r="N232" s="1294"/>
      <c r="O232" s="1294"/>
      <c r="P232" s="1294"/>
      <c r="Q232" s="1294"/>
      <c r="R232" s="1294"/>
      <c r="S232" s="1294"/>
      <c r="T232" s="1294"/>
      <c r="U232" s="1294"/>
      <c r="V232" s="1294"/>
      <c r="W232" s="1294"/>
      <c r="X232" s="1294"/>
      <c r="Y232" s="1294"/>
      <c r="Z232" s="1294"/>
      <c r="AA232" s="1294"/>
      <c r="AB232" s="1294"/>
      <c r="AC232" s="1294"/>
      <c r="AD232" s="1294"/>
      <c r="AE232" s="1294"/>
      <c r="AF232" s="1294"/>
    </row>
    <row r="233" spans="1:32" ht="26.25" customHeight="1" x14ac:dyDescent="0.35">
      <c r="B233" s="1416"/>
      <c r="C233" s="1416"/>
      <c r="D233" s="1417" t="s">
        <v>1890</v>
      </c>
      <c r="I233" s="1417"/>
    </row>
    <row r="234" spans="1:32" ht="22.5" customHeight="1" x14ac:dyDescent="0.25">
      <c r="B234" s="1416"/>
      <c r="C234" s="1416"/>
    </row>
    <row r="235" spans="1:32" ht="21" x14ac:dyDescent="0.25">
      <c r="B235" s="1416"/>
      <c r="C235" s="1416"/>
      <c r="D235" s="1446" t="s">
        <v>2041</v>
      </c>
      <c r="E235" s="72"/>
    </row>
    <row r="236" spans="1:32" ht="9.75" customHeight="1" x14ac:dyDescent="0.25">
      <c r="B236" s="1416"/>
      <c r="C236" s="1416"/>
      <c r="D236" s="1447"/>
      <c r="E236" s="72"/>
    </row>
    <row r="237" spans="1:32" s="72" customFormat="1" ht="20.25" customHeight="1" x14ac:dyDescent="0.25">
      <c r="A237" s="82"/>
      <c r="D237" s="1448"/>
      <c r="E237" s="1296">
        <f>'FORMULAIRE PGA Eaux pluviales '!E410</f>
        <v>0</v>
      </c>
      <c r="F237" s="1296">
        <f>E237+1</f>
        <v>1</v>
      </c>
      <c r="G237" s="1296">
        <f t="shared" ref="G237:N237" si="23">F237+1</f>
        <v>2</v>
      </c>
      <c r="H237" s="1296">
        <f t="shared" si="23"/>
        <v>3</v>
      </c>
      <c r="I237" s="1296">
        <f t="shared" si="23"/>
        <v>4</v>
      </c>
      <c r="J237" s="1296">
        <f t="shared" si="23"/>
        <v>5</v>
      </c>
      <c r="K237" s="1296">
        <f t="shared" si="23"/>
        <v>6</v>
      </c>
      <c r="L237" s="1296">
        <f t="shared" si="23"/>
        <v>7</v>
      </c>
      <c r="M237" s="1296">
        <f t="shared" si="23"/>
        <v>8</v>
      </c>
      <c r="N237" s="1296">
        <f t="shared" si="23"/>
        <v>9</v>
      </c>
      <c r="O237" s="1449" t="s">
        <v>1822</v>
      </c>
    </row>
    <row r="238" spans="1:32" x14ac:dyDescent="0.25">
      <c r="D238" s="1450" t="s">
        <v>129</v>
      </c>
      <c r="E238" s="1451">
        <f>'FORMULAIRE PGA Eaux pluviales '!F355</f>
        <v>0</v>
      </c>
      <c r="F238" s="1452">
        <f>E238</f>
        <v>0</v>
      </c>
      <c r="G238" s="1452">
        <f t="shared" ref="G238:N238" si="24">F238</f>
        <v>0</v>
      </c>
      <c r="H238" s="1452">
        <f t="shared" si="24"/>
        <v>0</v>
      </c>
      <c r="I238" s="1452">
        <f t="shared" si="24"/>
        <v>0</v>
      </c>
      <c r="J238" s="1452">
        <f t="shared" si="24"/>
        <v>0</v>
      </c>
      <c r="K238" s="1452">
        <f t="shared" si="24"/>
        <v>0</v>
      </c>
      <c r="L238" s="1452">
        <f t="shared" si="24"/>
        <v>0</v>
      </c>
      <c r="M238" s="1452">
        <f t="shared" si="24"/>
        <v>0</v>
      </c>
      <c r="N238" s="1452">
        <f t="shared" si="24"/>
        <v>0</v>
      </c>
      <c r="O238" s="1453">
        <f>SUM(E238:N238)</f>
        <v>0</v>
      </c>
    </row>
    <row r="239" spans="1:32" x14ac:dyDescent="0.25">
      <c r="B239" s="919"/>
      <c r="C239" s="919"/>
      <c r="D239" s="919" t="s">
        <v>1</v>
      </c>
      <c r="E239" s="1454">
        <f>'FORMULAIRE PGA Eaux pluviales '!E412</f>
        <v>0</v>
      </c>
      <c r="F239" s="1454">
        <f>'FORMULAIRE PGA Eaux pluviales '!F412</f>
        <v>0</v>
      </c>
      <c r="G239" s="1454">
        <f>'FORMULAIRE PGA Eaux pluviales '!G412</f>
        <v>0</v>
      </c>
      <c r="H239" s="1454">
        <f>'FORMULAIRE PGA Eaux pluviales '!H412</f>
        <v>0</v>
      </c>
      <c r="I239" s="1454">
        <f>'FORMULAIRE PGA Eaux pluviales '!I412</f>
        <v>0</v>
      </c>
      <c r="J239" s="1454">
        <f>'FORMULAIRE PGA Eaux pluviales '!J412</f>
        <v>0</v>
      </c>
      <c r="K239" s="1454">
        <f>'FORMULAIRE PGA Eaux pluviales '!K412</f>
        <v>0</v>
      </c>
      <c r="L239" s="1454">
        <f>'FORMULAIRE PGA Eaux pluviales '!L412</f>
        <v>0</v>
      </c>
      <c r="M239" s="1454">
        <f>'FORMULAIRE PGA Eaux pluviales '!M412</f>
        <v>0</v>
      </c>
      <c r="N239" s="1454">
        <f>'FORMULAIRE PGA Eaux pluviales '!N412</f>
        <v>0</v>
      </c>
      <c r="O239" s="1455">
        <f>SUM(E239:N239)</f>
        <v>0</v>
      </c>
      <c r="P239" s="1456" t="str">
        <f>IF(ISERR(O239/$O$244)=TRUE,"",(O239/$O$244))</f>
        <v/>
      </c>
    </row>
    <row r="240" spans="1:32" x14ac:dyDescent="0.25">
      <c r="B240" s="919"/>
      <c r="C240" s="919"/>
      <c r="D240" s="919" t="s">
        <v>2</v>
      </c>
      <c r="E240" s="1454">
        <f>'FORMULAIRE PGA Eaux pluviales '!E419</f>
        <v>0</v>
      </c>
      <c r="F240" s="1454">
        <f>'FORMULAIRE PGA Eaux pluviales '!F419</f>
        <v>0</v>
      </c>
      <c r="G240" s="1454">
        <f>'FORMULAIRE PGA Eaux pluviales '!G419</f>
        <v>0</v>
      </c>
      <c r="H240" s="1454">
        <f>'FORMULAIRE PGA Eaux pluviales '!H419</f>
        <v>0</v>
      </c>
      <c r="I240" s="1454">
        <f>'FORMULAIRE PGA Eaux pluviales '!I419</f>
        <v>0</v>
      </c>
      <c r="J240" s="1454">
        <f>'FORMULAIRE PGA Eaux pluviales '!J419</f>
        <v>0</v>
      </c>
      <c r="K240" s="1454">
        <f>'FORMULAIRE PGA Eaux pluviales '!K419</f>
        <v>0</v>
      </c>
      <c r="L240" s="1454">
        <f>'FORMULAIRE PGA Eaux pluviales '!L419</f>
        <v>0</v>
      </c>
      <c r="M240" s="1454">
        <f>'FORMULAIRE PGA Eaux pluviales '!M419</f>
        <v>0</v>
      </c>
      <c r="N240" s="1454">
        <f>'FORMULAIRE PGA Eaux pluviales '!N419</f>
        <v>0</v>
      </c>
      <c r="O240" s="1455">
        <f t="shared" ref="O240:O243" si="25">SUM(E240:N240)</f>
        <v>0</v>
      </c>
      <c r="P240" s="1456" t="str">
        <f t="shared" ref="P240:P243" si="26">IF(ISERR(O240/$O$244)=TRUE,"",(O240/$O$244))</f>
        <v/>
      </c>
    </row>
    <row r="241" spans="1:16" x14ac:dyDescent="0.25">
      <c r="B241" s="919"/>
      <c r="C241" s="919"/>
      <c r="D241" s="919" t="s">
        <v>5</v>
      </c>
      <c r="E241" s="1454">
        <f>'FORMULAIRE PGA Eaux pluviales '!E427</f>
        <v>0</v>
      </c>
      <c r="F241" s="1454">
        <f>'FORMULAIRE PGA Eaux pluviales '!F427</f>
        <v>0</v>
      </c>
      <c r="G241" s="1454">
        <f>'FORMULAIRE PGA Eaux pluviales '!G427</f>
        <v>0</v>
      </c>
      <c r="H241" s="1454">
        <f>'FORMULAIRE PGA Eaux pluviales '!H427</f>
        <v>0</v>
      </c>
      <c r="I241" s="1454">
        <f>'FORMULAIRE PGA Eaux pluviales '!I427</f>
        <v>0</v>
      </c>
      <c r="J241" s="1454">
        <f>'FORMULAIRE PGA Eaux pluviales '!J427</f>
        <v>0</v>
      </c>
      <c r="K241" s="1454">
        <f>'FORMULAIRE PGA Eaux pluviales '!K427</f>
        <v>0</v>
      </c>
      <c r="L241" s="1454">
        <f>'FORMULAIRE PGA Eaux pluviales '!L427</f>
        <v>0</v>
      </c>
      <c r="M241" s="1454">
        <f>'FORMULAIRE PGA Eaux pluviales '!M427</f>
        <v>0</v>
      </c>
      <c r="N241" s="1454">
        <f>'FORMULAIRE PGA Eaux pluviales '!N427</f>
        <v>0</v>
      </c>
      <c r="O241" s="1455">
        <f t="shared" si="25"/>
        <v>0</v>
      </c>
      <c r="P241" s="1456" t="str">
        <f t="shared" si="26"/>
        <v/>
      </c>
    </row>
    <row r="242" spans="1:16" x14ac:dyDescent="0.25">
      <c r="B242" s="919"/>
      <c r="C242" s="919"/>
      <c r="D242" s="919" t="s">
        <v>3</v>
      </c>
      <c r="E242" s="1454">
        <f>'FORMULAIRE PGA Eaux pluviales '!E436</f>
        <v>0</v>
      </c>
      <c r="F242" s="1454">
        <f>'FORMULAIRE PGA Eaux pluviales '!F436</f>
        <v>0</v>
      </c>
      <c r="G242" s="1454">
        <f>'FORMULAIRE PGA Eaux pluviales '!G436</f>
        <v>0</v>
      </c>
      <c r="H242" s="1454">
        <f>'FORMULAIRE PGA Eaux pluviales '!H436</f>
        <v>0</v>
      </c>
      <c r="I242" s="1454">
        <f>'FORMULAIRE PGA Eaux pluviales '!I436</f>
        <v>0</v>
      </c>
      <c r="J242" s="1454">
        <f>'FORMULAIRE PGA Eaux pluviales '!J436</f>
        <v>0</v>
      </c>
      <c r="K242" s="1454">
        <f>'FORMULAIRE PGA Eaux pluviales '!K436</f>
        <v>0</v>
      </c>
      <c r="L242" s="1454">
        <f>'FORMULAIRE PGA Eaux pluviales '!L436</f>
        <v>0</v>
      </c>
      <c r="M242" s="1454">
        <f>'FORMULAIRE PGA Eaux pluviales '!M436</f>
        <v>0</v>
      </c>
      <c r="N242" s="1454">
        <f>'FORMULAIRE PGA Eaux pluviales '!N436</f>
        <v>0</v>
      </c>
      <c r="O242" s="1455">
        <f t="shared" si="25"/>
        <v>0</v>
      </c>
      <c r="P242" s="1456" t="str">
        <f t="shared" si="26"/>
        <v/>
      </c>
    </row>
    <row r="243" spans="1:16" x14ac:dyDescent="0.25">
      <c r="B243" s="919"/>
      <c r="C243" s="919"/>
      <c r="D243" s="919" t="s">
        <v>4</v>
      </c>
      <c r="E243" s="1454">
        <f>'FORMULAIRE PGA Eaux pluviales '!E442</f>
        <v>0</v>
      </c>
      <c r="F243" s="1454">
        <f>'FORMULAIRE PGA Eaux pluviales '!F442</f>
        <v>0</v>
      </c>
      <c r="G243" s="1454">
        <f>'FORMULAIRE PGA Eaux pluviales '!G442</f>
        <v>0</v>
      </c>
      <c r="H243" s="1454">
        <f>'FORMULAIRE PGA Eaux pluviales '!H442</f>
        <v>0</v>
      </c>
      <c r="I243" s="1454">
        <f>'FORMULAIRE PGA Eaux pluviales '!I442</f>
        <v>0</v>
      </c>
      <c r="J243" s="1454">
        <f>'FORMULAIRE PGA Eaux pluviales '!J442</f>
        <v>0</v>
      </c>
      <c r="K243" s="1454">
        <f>'FORMULAIRE PGA Eaux pluviales '!K442</f>
        <v>0</v>
      </c>
      <c r="L243" s="1454">
        <f>'FORMULAIRE PGA Eaux pluviales '!L442</f>
        <v>0</v>
      </c>
      <c r="M243" s="1454">
        <f>'FORMULAIRE PGA Eaux pluviales '!M442</f>
        <v>0</v>
      </c>
      <c r="N243" s="1454">
        <f>'FORMULAIRE PGA Eaux pluviales '!N442</f>
        <v>0</v>
      </c>
      <c r="O243" s="1455">
        <f t="shared" si="25"/>
        <v>0</v>
      </c>
      <c r="P243" s="1456" t="str">
        <f t="shared" si="26"/>
        <v/>
      </c>
    </row>
    <row r="244" spans="1:16" ht="18.75" customHeight="1" x14ac:dyDescent="0.25">
      <c r="B244" s="919"/>
      <c r="C244" s="919"/>
      <c r="D244" s="1457" t="s">
        <v>6</v>
      </c>
      <c r="E244" s="1458">
        <f>SUM(E239:E243)</f>
        <v>0</v>
      </c>
      <c r="F244" s="1458">
        <f t="shared" ref="F244:N244" si="27">SUM(F239:F243)</f>
        <v>0</v>
      </c>
      <c r="G244" s="1458">
        <f t="shared" si="27"/>
        <v>0</v>
      </c>
      <c r="H244" s="1458">
        <f t="shared" si="27"/>
        <v>0</v>
      </c>
      <c r="I244" s="1458">
        <f t="shared" si="27"/>
        <v>0</v>
      </c>
      <c r="J244" s="1458">
        <f t="shared" si="27"/>
        <v>0</v>
      </c>
      <c r="K244" s="1458">
        <f t="shared" si="27"/>
        <v>0</v>
      </c>
      <c r="L244" s="1458">
        <f t="shared" si="27"/>
        <v>0</v>
      </c>
      <c r="M244" s="1458">
        <f t="shared" si="27"/>
        <v>0</v>
      </c>
      <c r="N244" s="1458">
        <f t="shared" si="27"/>
        <v>0</v>
      </c>
      <c r="O244" s="1459">
        <f>SUM(E244:N244)</f>
        <v>0</v>
      </c>
      <c r="P244" s="1460">
        <f>IF(O272=0,0,O244/O272)</f>
        <v>0</v>
      </c>
    </row>
    <row r="245" spans="1:16" x14ac:dyDescent="0.25">
      <c r="B245" s="919"/>
      <c r="C245" s="919"/>
      <c r="D245" s="919"/>
      <c r="E245" s="1454"/>
      <c r="F245" s="1454"/>
      <c r="G245" s="1454"/>
      <c r="H245" s="1454"/>
      <c r="I245" s="1454"/>
      <c r="J245" s="1454"/>
      <c r="K245" s="1454"/>
      <c r="L245" s="1454"/>
      <c r="M245" s="1454"/>
      <c r="N245" s="1454"/>
      <c r="O245" s="1454"/>
      <c r="P245" s="1460"/>
    </row>
    <row r="246" spans="1:16" x14ac:dyDescent="0.25">
      <c r="B246" s="919"/>
      <c r="C246" s="919"/>
      <c r="D246" s="919"/>
      <c r="E246" s="1461"/>
      <c r="F246" s="1461"/>
      <c r="G246" s="1461"/>
      <c r="H246" s="1461"/>
      <c r="I246" s="1461"/>
      <c r="J246" s="1461"/>
      <c r="K246" s="1461"/>
      <c r="L246" s="1461"/>
      <c r="M246" s="1461"/>
      <c r="N246" s="1461"/>
      <c r="O246" s="1461"/>
      <c r="P246" s="1462"/>
    </row>
    <row r="247" spans="1:16" ht="21.75" customHeight="1" x14ac:dyDescent="0.3">
      <c r="B247" s="919"/>
      <c r="C247" s="919"/>
      <c r="D247" s="1463" t="s">
        <v>161</v>
      </c>
      <c r="E247" s="1464" t="s">
        <v>1528</v>
      </c>
      <c r="F247" s="1465" t="s">
        <v>1</v>
      </c>
      <c r="G247" s="1466" t="s">
        <v>1528</v>
      </c>
      <c r="H247" s="1465" t="s">
        <v>2</v>
      </c>
      <c r="I247" s="1467" t="s">
        <v>1528</v>
      </c>
      <c r="J247" s="1465" t="s">
        <v>5</v>
      </c>
      <c r="K247" s="55"/>
      <c r="L247" s="1468" t="s">
        <v>1528</v>
      </c>
      <c r="M247" s="1465" t="s">
        <v>3</v>
      </c>
      <c r="N247" s="1469" t="s">
        <v>1528</v>
      </c>
      <c r="O247" s="1465" t="s">
        <v>4</v>
      </c>
      <c r="P247" s="55"/>
    </row>
    <row r="248" spans="1:16" ht="18.75" customHeight="1" x14ac:dyDescent="0.25">
      <c r="B248" s="919"/>
      <c r="C248" s="919"/>
      <c r="D248" s="1470">
        <f>H192</f>
        <v>0</v>
      </c>
      <c r="E248" s="1471"/>
      <c r="F248" s="3268">
        <f>O239</f>
        <v>0</v>
      </c>
      <c r="G248" s="3268"/>
      <c r="H248" s="3268">
        <f>O240</f>
        <v>0</v>
      </c>
      <c r="I248" s="3268"/>
      <c r="J248" s="3268">
        <f>O241</f>
        <v>0</v>
      </c>
      <c r="K248" s="3268"/>
      <c r="L248" s="55"/>
      <c r="M248" s="3268">
        <f>O242</f>
        <v>0</v>
      </c>
      <c r="N248" s="3268"/>
      <c r="O248" s="3268">
        <f>O243</f>
        <v>0</v>
      </c>
      <c r="P248" s="3268"/>
    </row>
    <row r="249" spans="1:16" ht="11.25" customHeight="1" x14ac:dyDescent="0.25">
      <c r="B249" s="919"/>
      <c r="C249" s="919"/>
      <c r="D249" s="919"/>
      <c r="E249" s="1472"/>
      <c r="F249" s="1461"/>
      <c r="G249" s="1461"/>
      <c r="H249" s="1472"/>
      <c r="I249" s="1461"/>
      <c r="J249" s="1461"/>
      <c r="K249" s="1461"/>
      <c r="L249" s="1461"/>
      <c r="M249" s="1461"/>
      <c r="N249" s="1461"/>
      <c r="O249" s="1461"/>
      <c r="P249" s="1462"/>
    </row>
    <row r="250" spans="1:16" x14ac:dyDescent="0.25">
      <c r="B250" s="919"/>
      <c r="C250" s="919"/>
      <c r="D250" s="919"/>
      <c r="E250" s="1454"/>
      <c r="F250" s="1454"/>
      <c r="G250" s="1454"/>
      <c r="H250" s="1454"/>
      <c r="I250" s="1454"/>
      <c r="J250" s="1454"/>
      <c r="N250" s="1454"/>
      <c r="O250" s="1454"/>
      <c r="P250" s="1460"/>
    </row>
    <row r="251" spans="1:16" ht="113.25" customHeight="1" x14ac:dyDescent="0.25">
      <c r="D251" s="1127"/>
      <c r="E251" s="1127"/>
    </row>
    <row r="252" spans="1:16" ht="21" customHeight="1" x14ac:dyDescent="0.25">
      <c r="D252" s="1446" t="s">
        <v>2042</v>
      </c>
      <c r="E252" s="72"/>
    </row>
    <row r="253" spans="1:16" ht="9.75" customHeight="1" x14ac:dyDescent="0.25">
      <c r="B253" s="1416"/>
      <c r="C253" s="1416"/>
      <c r="D253" s="1447"/>
      <c r="E253" s="72"/>
    </row>
    <row r="254" spans="1:16" s="72" customFormat="1" ht="20.25" customHeight="1" x14ac:dyDescent="0.25">
      <c r="A254" s="82"/>
      <c r="D254" s="1448"/>
      <c r="E254" s="1296">
        <f>'FORMULAIRE PGA Eaux pluviales '!E410</f>
        <v>0</v>
      </c>
      <c r="F254" s="1296">
        <f>E254+1</f>
        <v>1</v>
      </c>
      <c r="G254" s="1296">
        <f t="shared" ref="G254:N254" si="28">F254+1</f>
        <v>2</v>
      </c>
      <c r="H254" s="1296">
        <f t="shared" si="28"/>
        <v>3</v>
      </c>
      <c r="I254" s="1296">
        <f t="shared" si="28"/>
        <v>4</v>
      </c>
      <c r="J254" s="1296">
        <f t="shared" si="28"/>
        <v>5</v>
      </c>
      <c r="K254" s="1296">
        <f t="shared" si="28"/>
        <v>6</v>
      </c>
      <c r="L254" s="1296">
        <f t="shared" si="28"/>
        <v>7</v>
      </c>
      <c r="M254" s="1296">
        <f t="shared" si="28"/>
        <v>8</v>
      </c>
      <c r="N254" s="1296">
        <f t="shared" si="28"/>
        <v>9</v>
      </c>
      <c r="O254" s="1449" t="s">
        <v>1822</v>
      </c>
    </row>
    <row r="255" spans="1:16" x14ac:dyDescent="0.25">
      <c r="D255" s="1450" t="s">
        <v>129</v>
      </c>
      <c r="E255" s="1451">
        <f>'FORMULAIRE PGA Eaux pluviales '!F365</f>
        <v>0</v>
      </c>
      <c r="F255" s="1451">
        <f>E255</f>
        <v>0</v>
      </c>
      <c r="G255" s="1451">
        <f t="shared" ref="G255:N255" si="29">F255</f>
        <v>0</v>
      </c>
      <c r="H255" s="1451">
        <f t="shared" si="29"/>
        <v>0</v>
      </c>
      <c r="I255" s="1451">
        <f t="shared" si="29"/>
        <v>0</v>
      </c>
      <c r="J255" s="1451">
        <f t="shared" si="29"/>
        <v>0</v>
      </c>
      <c r="K255" s="1451">
        <f t="shared" si="29"/>
        <v>0</v>
      </c>
      <c r="L255" s="1451">
        <f t="shared" si="29"/>
        <v>0</v>
      </c>
      <c r="M255" s="1451">
        <f t="shared" si="29"/>
        <v>0</v>
      </c>
      <c r="N255" s="1451">
        <f t="shared" si="29"/>
        <v>0</v>
      </c>
      <c r="O255" s="1453">
        <f>SUM(E255:N255)</f>
        <v>0</v>
      </c>
    </row>
    <row r="256" spans="1:16" x14ac:dyDescent="0.25">
      <c r="D256" s="919" t="s">
        <v>1</v>
      </c>
      <c r="E256" s="1454">
        <f>'FORMULAIRE PGA Eaux pluviales '!E457</f>
        <v>0</v>
      </c>
      <c r="F256" s="1454">
        <f>'FORMULAIRE PGA Eaux pluviales '!F457</f>
        <v>0</v>
      </c>
      <c r="G256" s="1454">
        <f>'FORMULAIRE PGA Eaux pluviales '!G457</f>
        <v>0</v>
      </c>
      <c r="H256" s="1454">
        <f>'FORMULAIRE PGA Eaux pluviales '!H457</f>
        <v>0</v>
      </c>
      <c r="I256" s="1454">
        <f>'FORMULAIRE PGA Eaux pluviales '!I457</f>
        <v>0</v>
      </c>
      <c r="J256" s="1454">
        <f>'FORMULAIRE PGA Eaux pluviales '!J457</f>
        <v>0</v>
      </c>
      <c r="K256" s="1454">
        <f>'FORMULAIRE PGA Eaux pluviales '!K457</f>
        <v>0</v>
      </c>
      <c r="L256" s="1454">
        <f>'FORMULAIRE PGA Eaux pluviales '!L457</f>
        <v>0</v>
      </c>
      <c r="M256" s="1454">
        <f>'FORMULAIRE PGA Eaux pluviales '!M457</f>
        <v>0</v>
      </c>
      <c r="N256" s="1454">
        <f>'FORMULAIRE PGA Eaux pluviales '!N457</f>
        <v>0</v>
      </c>
      <c r="O256" s="1455">
        <f>SUM(E256:N256)</f>
        <v>0</v>
      </c>
      <c r="P256" s="1456" t="str">
        <f>IF(ISERR(O256/$O$261)=TRUE,"",(O256/$O$261))</f>
        <v/>
      </c>
    </row>
    <row r="257" spans="2:16" x14ac:dyDescent="0.25">
      <c r="D257" s="919" t="s">
        <v>2</v>
      </c>
      <c r="E257" s="1454">
        <f>'FORMULAIRE PGA Eaux pluviales '!E464</f>
        <v>0</v>
      </c>
      <c r="F257" s="1454">
        <f>'FORMULAIRE PGA Eaux pluviales '!F464</f>
        <v>0</v>
      </c>
      <c r="G257" s="1454">
        <f>'FORMULAIRE PGA Eaux pluviales '!G464</f>
        <v>0</v>
      </c>
      <c r="H257" s="1454">
        <f>'FORMULAIRE PGA Eaux pluviales '!H464</f>
        <v>0</v>
      </c>
      <c r="I257" s="1454">
        <f>'FORMULAIRE PGA Eaux pluviales '!I464</f>
        <v>0</v>
      </c>
      <c r="J257" s="1454">
        <f>'FORMULAIRE PGA Eaux pluviales '!J464</f>
        <v>0</v>
      </c>
      <c r="K257" s="1454">
        <f>'FORMULAIRE PGA Eaux pluviales '!K464</f>
        <v>0</v>
      </c>
      <c r="L257" s="1454">
        <f>'FORMULAIRE PGA Eaux pluviales '!L464</f>
        <v>0</v>
      </c>
      <c r="M257" s="1454">
        <f>'FORMULAIRE PGA Eaux pluviales '!M464</f>
        <v>0</v>
      </c>
      <c r="N257" s="1454">
        <f>'FORMULAIRE PGA Eaux pluviales '!N464</f>
        <v>0</v>
      </c>
      <c r="O257" s="1455">
        <f t="shared" ref="O257:O260" si="30">SUM(E257:N257)</f>
        <v>0</v>
      </c>
      <c r="P257" s="1456" t="str">
        <f t="shared" ref="P257:P260" si="31">IF(ISERR(O257/$O$261)=TRUE,"",(O257/$O$261))</f>
        <v/>
      </c>
    </row>
    <row r="258" spans="2:16" x14ac:dyDescent="0.25">
      <c r="D258" s="919" t="s">
        <v>5</v>
      </c>
      <c r="E258" s="1454">
        <f>'FORMULAIRE PGA Eaux pluviales '!E472</f>
        <v>0</v>
      </c>
      <c r="F258" s="1454">
        <f>'FORMULAIRE PGA Eaux pluviales '!F472</f>
        <v>0</v>
      </c>
      <c r="G258" s="1454">
        <f>'FORMULAIRE PGA Eaux pluviales '!G472</f>
        <v>0</v>
      </c>
      <c r="H258" s="1454">
        <f>'FORMULAIRE PGA Eaux pluviales '!H472</f>
        <v>0</v>
      </c>
      <c r="I258" s="1454">
        <f>'FORMULAIRE PGA Eaux pluviales '!I472</f>
        <v>0</v>
      </c>
      <c r="J258" s="1454">
        <f>'FORMULAIRE PGA Eaux pluviales '!J472</f>
        <v>0</v>
      </c>
      <c r="K258" s="1454">
        <f>'FORMULAIRE PGA Eaux pluviales '!K472</f>
        <v>0</v>
      </c>
      <c r="L258" s="1454">
        <f>'FORMULAIRE PGA Eaux pluviales '!L472</f>
        <v>0</v>
      </c>
      <c r="M258" s="1454">
        <f>'FORMULAIRE PGA Eaux pluviales '!M472</f>
        <v>0</v>
      </c>
      <c r="N258" s="1454">
        <f>'FORMULAIRE PGA Eaux pluviales '!N472</f>
        <v>0</v>
      </c>
      <c r="O258" s="1455">
        <f t="shared" si="30"/>
        <v>0</v>
      </c>
      <c r="P258" s="1456" t="str">
        <f t="shared" si="31"/>
        <v/>
      </c>
    </row>
    <row r="259" spans="2:16" x14ac:dyDescent="0.25">
      <c r="D259" s="919" t="s">
        <v>3</v>
      </c>
      <c r="E259" s="1454">
        <f>'FORMULAIRE PGA Eaux pluviales '!E481</f>
        <v>0</v>
      </c>
      <c r="F259" s="1454">
        <f>'FORMULAIRE PGA Eaux pluviales '!F481</f>
        <v>0</v>
      </c>
      <c r="G259" s="1454">
        <f>'FORMULAIRE PGA Eaux pluviales '!G481</f>
        <v>0</v>
      </c>
      <c r="H259" s="1454">
        <f>'FORMULAIRE PGA Eaux pluviales '!H481</f>
        <v>0</v>
      </c>
      <c r="I259" s="1454">
        <f>'FORMULAIRE PGA Eaux pluviales '!I481</f>
        <v>0</v>
      </c>
      <c r="J259" s="1454">
        <f>'FORMULAIRE PGA Eaux pluviales '!J481</f>
        <v>0</v>
      </c>
      <c r="K259" s="1454">
        <f>'FORMULAIRE PGA Eaux pluviales '!K481</f>
        <v>0</v>
      </c>
      <c r="L259" s="1454">
        <f>'FORMULAIRE PGA Eaux pluviales '!L481</f>
        <v>0</v>
      </c>
      <c r="M259" s="1454">
        <f>'FORMULAIRE PGA Eaux pluviales '!M481</f>
        <v>0</v>
      </c>
      <c r="N259" s="1454">
        <f>'FORMULAIRE PGA Eaux pluviales '!N481</f>
        <v>0</v>
      </c>
      <c r="O259" s="1455">
        <f t="shared" si="30"/>
        <v>0</v>
      </c>
      <c r="P259" s="1456" t="str">
        <f t="shared" si="31"/>
        <v/>
      </c>
    </row>
    <row r="260" spans="2:16" x14ac:dyDescent="0.25">
      <c r="D260" s="919" t="s">
        <v>4</v>
      </c>
      <c r="E260" s="1454">
        <f>'FORMULAIRE PGA Eaux pluviales '!E487</f>
        <v>0</v>
      </c>
      <c r="F260" s="1454">
        <f>'FORMULAIRE PGA Eaux pluviales '!F487</f>
        <v>0</v>
      </c>
      <c r="G260" s="1454">
        <f>'FORMULAIRE PGA Eaux pluviales '!G487</f>
        <v>0</v>
      </c>
      <c r="H260" s="1454">
        <f>'FORMULAIRE PGA Eaux pluviales '!H487</f>
        <v>0</v>
      </c>
      <c r="I260" s="1454">
        <f>'FORMULAIRE PGA Eaux pluviales '!I487</f>
        <v>0</v>
      </c>
      <c r="J260" s="1454">
        <f>'FORMULAIRE PGA Eaux pluviales '!J487</f>
        <v>0</v>
      </c>
      <c r="K260" s="1454">
        <f>'FORMULAIRE PGA Eaux pluviales '!K487</f>
        <v>0</v>
      </c>
      <c r="L260" s="1454">
        <f>'FORMULAIRE PGA Eaux pluviales '!L487</f>
        <v>0</v>
      </c>
      <c r="M260" s="1454">
        <f>'FORMULAIRE PGA Eaux pluviales '!M487</f>
        <v>0</v>
      </c>
      <c r="N260" s="1454">
        <f>'FORMULAIRE PGA Eaux pluviales '!N487</f>
        <v>0</v>
      </c>
      <c r="O260" s="1455">
        <f t="shared" si="30"/>
        <v>0</v>
      </c>
      <c r="P260" s="1456" t="str">
        <f t="shared" si="31"/>
        <v/>
      </c>
    </row>
    <row r="261" spans="2:16" ht="21" customHeight="1" x14ac:dyDescent="0.25">
      <c r="D261" s="1457" t="s">
        <v>6</v>
      </c>
      <c r="E261" s="1458">
        <f>SUM(E256:E260)</f>
        <v>0</v>
      </c>
      <c r="F261" s="1458">
        <f t="shared" ref="F261:N261" si="32">SUM(F256:F260)</f>
        <v>0</v>
      </c>
      <c r="G261" s="1458">
        <f t="shared" si="32"/>
        <v>0</v>
      </c>
      <c r="H261" s="1458">
        <f t="shared" si="32"/>
        <v>0</v>
      </c>
      <c r="I261" s="1458">
        <f t="shared" si="32"/>
        <v>0</v>
      </c>
      <c r="J261" s="1458">
        <f t="shared" si="32"/>
        <v>0</v>
      </c>
      <c r="K261" s="1458">
        <f t="shared" si="32"/>
        <v>0</v>
      </c>
      <c r="L261" s="1458">
        <f t="shared" si="32"/>
        <v>0</v>
      </c>
      <c r="M261" s="1458">
        <f t="shared" si="32"/>
        <v>0</v>
      </c>
      <c r="N261" s="1458">
        <f t="shared" si="32"/>
        <v>0</v>
      </c>
      <c r="O261" s="1459">
        <f>SUM(E261:N261)</f>
        <v>0</v>
      </c>
      <c r="P261" s="1460">
        <f>IF(O272=0,0,O261/O272)</f>
        <v>0</v>
      </c>
    </row>
    <row r="262" spans="2:16" x14ac:dyDescent="0.25">
      <c r="B262" s="919"/>
      <c r="C262" s="919"/>
      <c r="D262" s="919"/>
      <c r="E262" s="1454"/>
      <c r="F262" s="1454"/>
      <c r="G262" s="1454"/>
      <c r="H262" s="1454"/>
      <c r="I262" s="1454"/>
      <c r="J262" s="1454"/>
      <c r="K262" s="1454"/>
      <c r="L262" s="1454"/>
      <c r="M262" s="1454"/>
      <c r="N262" s="1454"/>
      <c r="O262" s="1454"/>
      <c r="P262" s="1460"/>
    </row>
    <row r="263" spans="2:16" x14ac:dyDescent="0.25">
      <c r="B263" s="919"/>
      <c r="C263" s="919"/>
      <c r="D263" s="919"/>
      <c r="E263" s="1461"/>
      <c r="F263" s="1461"/>
      <c r="G263" s="1461"/>
      <c r="H263" s="1461"/>
      <c r="I263" s="1461"/>
      <c r="J263" s="1461"/>
      <c r="K263" s="1461"/>
      <c r="L263" s="1461"/>
      <c r="M263" s="1461"/>
      <c r="N263" s="1461"/>
      <c r="O263" s="1461"/>
      <c r="P263" s="1462"/>
    </row>
    <row r="264" spans="2:16" ht="21.75" customHeight="1" x14ac:dyDescent="0.3">
      <c r="B264" s="919"/>
      <c r="C264" s="919"/>
      <c r="D264" s="1463" t="s">
        <v>161</v>
      </c>
      <c r="E264" s="1464" t="s">
        <v>1528</v>
      </c>
      <c r="F264" s="1465" t="s">
        <v>1</v>
      </c>
      <c r="G264" s="1466" t="s">
        <v>1528</v>
      </c>
      <c r="H264" s="1465" t="s">
        <v>2</v>
      </c>
      <c r="I264" s="1467" t="s">
        <v>1528</v>
      </c>
      <c r="J264" s="1465" t="s">
        <v>5</v>
      </c>
      <c r="K264" s="55"/>
      <c r="L264" s="1468" t="s">
        <v>1528</v>
      </c>
      <c r="M264" s="1465" t="s">
        <v>3</v>
      </c>
      <c r="N264" s="1469" t="s">
        <v>1528</v>
      </c>
      <c r="O264" s="1465" t="s">
        <v>4</v>
      </c>
      <c r="P264" s="55"/>
    </row>
    <row r="265" spans="2:16" ht="18.75" customHeight="1" x14ac:dyDescent="0.25">
      <c r="B265" s="919"/>
      <c r="C265" s="919"/>
      <c r="D265" s="1470">
        <f>O192</f>
        <v>0</v>
      </c>
      <c r="E265" s="1471"/>
      <c r="F265" s="3268">
        <f>O256</f>
        <v>0</v>
      </c>
      <c r="G265" s="3268"/>
      <c r="H265" s="3268">
        <f>O257</f>
        <v>0</v>
      </c>
      <c r="I265" s="3268"/>
      <c r="J265" s="3268">
        <f>O258</f>
        <v>0</v>
      </c>
      <c r="K265" s="3268"/>
      <c r="L265" s="55"/>
      <c r="M265" s="3268">
        <f>O259</f>
        <v>0</v>
      </c>
      <c r="N265" s="3268"/>
      <c r="O265" s="3268">
        <f>O260</f>
        <v>0</v>
      </c>
      <c r="P265" s="3268"/>
    </row>
    <row r="266" spans="2:16" ht="11.25" customHeight="1" x14ac:dyDescent="0.25">
      <c r="B266" s="919"/>
      <c r="C266" s="919"/>
      <c r="D266" s="919"/>
      <c r="E266" s="1472"/>
      <c r="F266" s="1461"/>
      <c r="G266" s="1461"/>
      <c r="H266" s="1472"/>
      <c r="I266" s="1461"/>
      <c r="J266" s="1461"/>
      <c r="K266" s="1461"/>
      <c r="L266" s="1461"/>
      <c r="M266" s="1461"/>
      <c r="N266" s="1461"/>
      <c r="O266" s="1461"/>
      <c r="P266" s="1462"/>
    </row>
    <row r="267" spans="2:16" x14ac:dyDescent="0.25">
      <c r="B267" s="919"/>
      <c r="C267" s="919"/>
      <c r="D267" s="919"/>
      <c r="E267" s="1454"/>
      <c r="F267" s="1454"/>
      <c r="G267" s="1454"/>
      <c r="H267" s="1454"/>
      <c r="I267" s="1454"/>
      <c r="J267" s="1454"/>
      <c r="N267" s="1454"/>
      <c r="O267" s="1454"/>
      <c r="P267" s="1460"/>
    </row>
    <row r="268" spans="2:16" ht="113.25" customHeight="1" x14ac:dyDescent="0.25"/>
    <row r="270" spans="2:16" ht="21.75" customHeight="1" x14ac:dyDescent="0.25">
      <c r="D270" s="1446" t="s">
        <v>2061</v>
      </c>
    </row>
    <row r="271" spans="2:16" ht="7.5" customHeight="1" x14ac:dyDescent="0.25">
      <c r="D271" s="1447"/>
    </row>
    <row r="272" spans="2:16" ht="20.25" customHeight="1" x14ac:dyDescent="0.25">
      <c r="D272" s="1457" t="s">
        <v>6</v>
      </c>
      <c r="E272" s="1458">
        <f>E244+E261</f>
        <v>0</v>
      </c>
      <c r="F272" s="1458">
        <f t="shared" ref="F272:N272" si="33">F244+F261</f>
        <v>0</v>
      </c>
      <c r="G272" s="1458">
        <f t="shared" si="33"/>
        <v>0</v>
      </c>
      <c r="H272" s="1458">
        <f t="shared" si="33"/>
        <v>0</v>
      </c>
      <c r="I272" s="1458">
        <f t="shared" si="33"/>
        <v>0</v>
      </c>
      <c r="J272" s="1458">
        <f t="shared" si="33"/>
        <v>0</v>
      </c>
      <c r="K272" s="1458">
        <f t="shared" si="33"/>
        <v>0</v>
      </c>
      <c r="L272" s="1458">
        <f t="shared" si="33"/>
        <v>0</v>
      </c>
      <c r="M272" s="1458">
        <f t="shared" si="33"/>
        <v>0</v>
      </c>
      <c r="N272" s="1458">
        <f t="shared" si="33"/>
        <v>0</v>
      </c>
      <c r="O272" s="1459">
        <f>O244+O261</f>
        <v>0</v>
      </c>
    </row>
    <row r="275" spans="1:32" ht="22.5" customHeight="1" x14ac:dyDescent="0.3">
      <c r="B275" s="1285" t="s">
        <v>181</v>
      </c>
      <c r="C275" s="1285"/>
      <c r="D275" s="1285"/>
      <c r="E275" s="1285"/>
      <c r="F275" s="1285"/>
      <c r="G275" s="1285"/>
      <c r="H275" s="1285"/>
      <c r="I275" s="1285"/>
      <c r="J275" s="1285"/>
      <c r="K275" s="1285"/>
      <c r="L275" s="1285"/>
      <c r="M275" s="1285"/>
      <c r="N275" s="1285"/>
      <c r="O275" s="1285"/>
      <c r="P275" s="1285"/>
      <c r="Q275" s="1285"/>
      <c r="R275" s="1285"/>
      <c r="S275" s="1285"/>
      <c r="T275" s="1285"/>
      <c r="U275" s="1285"/>
      <c r="V275" s="1285"/>
      <c r="W275" s="1285"/>
      <c r="X275" s="1285"/>
      <c r="Y275" s="1285"/>
      <c r="Z275" s="1285"/>
      <c r="AA275" s="1285"/>
      <c r="AB275" s="1285"/>
      <c r="AC275" s="1285"/>
      <c r="AD275" s="1285"/>
      <c r="AE275" s="1285"/>
      <c r="AF275" s="1285"/>
    </row>
    <row r="277" spans="1:32" ht="26.25" customHeight="1" x14ac:dyDescent="0.35">
      <c r="B277" s="1416"/>
      <c r="C277" s="1416"/>
      <c r="D277" s="1417" t="s">
        <v>1891</v>
      </c>
      <c r="I277" s="1417"/>
    </row>
    <row r="278" spans="1:32" ht="22.5" customHeight="1" x14ac:dyDescent="0.25">
      <c r="B278" s="1416"/>
      <c r="C278" s="1416"/>
    </row>
    <row r="279" spans="1:32" ht="15" customHeight="1" x14ac:dyDescent="0.25">
      <c r="E279" s="55"/>
      <c r="F279" s="55"/>
      <c r="G279" s="55"/>
      <c r="H279" s="55"/>
      <c r="I279" s="55"/>
      <c r="J279" s="55"/>
      <c r="K279" s="55"/>
    </row>
    <row r="280" spans="1:32" ht="15" customHeight="1" x14ac:dyDescent="0.25">
      <c r="E280" s="1473" t="s">
        <v>1893</v>
      </c>
      <c r="F280" s="55"/>
      <c r="G280" s="55"/>
      <c r="H280" s="55"/>
      <c r="I280" s="55"/>
      <c r="J280" s="55"/>
      <c r="K280" s="55"/>
    </row>
    <row r="281" spans="1:32" ht="20.25" customHeight="1" x14ac:dyDescent="0.25">
      <c r="E281" s="1473" t="s">
        <v>1825</v>
      </c>
      <c r="F281" s="1474"/>
      <c r="G281" s="1474"/>
      <c r="H281" s="1475"/>
      <c r="I281" s="55"/>
      <c r="J281" s="55"/>
      <c r="K281" s="55"/>
    </row>
    <row r="282" spans="1:32" s="72" customFormat="1" ht="19.5" customHeight="1" x14ac:dyDescent="0.25">
      <c r="A282" s="82"/>
      <c r="E282" s="1476" t="s">
        <v>1528</v>
      </c>
      <c r="F282" s="1465" t="s">
        <v>1529</v>
      </c>
      <c r="G282" s="1477"/>
      <c r="H282" s="1478"/>
      <c r="I282" s="82"/>
      <c r="J282" s="82"/>
      <c r="K282" s="82"/>
      <c r="L282" s="28"/>
      <c r="M282" s="1479">
        <f>'FORMULAIRE PGA Eaux pluviales '!O413+'FORMULAIRE PGA Eaux pluviales '!O420+'FORMULAIRE PGA Eaux pluviales '!O458+'FORMULAIRE PGA Eaux pluviales '!O465</f>
        <v>0</v>
      </c>
      <c r="N282" s="1480" t="e">
        <f>M282/$L$293</f>
        <v>#DIV/0!</v>
      </c>
    </row>
    <row r="283" spans="1:32" s="72" customFormat="1" ht="19.5" customHeight="1" x14ac:dyDescent="0.2">
      <c r="A283" s="82"/>
      <c r="E283" s="1481" t="s">
        <v>1528</v>
      </c>
      <c r="F283" s="1465" t="s">
        <v>1883</v>
      </c>
      <c r="G283" s="1482"/>
      <c r="H283" s="1482"/>
      <c r="I283" s="82"/>
      <c r="J283" s="82"/>
      <c r="K283" s="82"/>
      <c r="M283" s="1479">
        <f>'FORMULAIRE PGA Eaux pluviales '!O428+'FORMULAIRE PGA Eaux pluviales '!O437+'FORMULAIRE PGA Eaux pluviales '!O443+'FORMULAIRE PGA Eaux pluviales '!O473+'FORMULAIRE PGA Eaux pluviales '!O482+'FORMULAIRE PGA Eaux pluviales '!O488</f>
        <v>0</v>
      </c>
      <c r="N283" s="1480" t="e">
        <f>M283/$L$293</f>
        <v>#DIV/0!</v>
      </c>
    </row>
    <row r="284" spans="1:32" ht="12" customHeight="1" x14ac:dyDescent="0.25">
      <c r="E284" s="55"/>
      <c r="F284" s="1483"/>
      <c r="G284" s="1484"/>
      <c r="H284" s="1484"/>
      <c r="I284" s="55"/>
      <c r="J284" s="55"/>
      <c r="K284" s="55"/>
      <c r="M284" s="1479"/>
      <c r="N284" s="1480"/>
    </row>
    <row r="285" spans="1:32" ht="20.25" customHeight="1" x14ac:dyDescent="0.25">
      <c r="E285" s="1473" t="s">
        <v>1884</v>
      </c>
      <c r="F285" s="1483"/>
      <c r="G285" s="1484"/>
      <c r="H285" s="1484"/>
      <c r="I285" s="55"/>
      <c r="J285" s="55"/>
      <c r="K285" s="55"/>
      <c r="M285" s="1479"/>
      <c r="N285" s="1480"/>
    </row>
    <row r="286" spans="1:32" ht="19.5" customHeight="1" x14ac:dyDescent="0.25">
      <c r="E286" s="1485" t="s">
        <v>1528</v>
      </c>
      <c r="F286" s="1465" t="s">
        <v>2135</v>
      </c>
      <c r="G286" s="1484"/>
      <c r="H286" s="1484"/>
      <c r="I286" s="55"/>
      <c r="J286" s="55"/>
      <c r="K286" s="55"/>
      <c r="M286" s="1479">
        <f>'FORMULAIRE PGA Eaux pluviales '!O429+'FORMULAIRE PGA Eaux pluviales '!O474</f>
        <v>0</v>
      </c>
      <c r="N286" s="1480" t="e">
        <f>M286/$L$293</f>
        <v>#DIV/0!</v>
      </c>
    </row>
    <row r="287" spans="1:32" ht="12" customHeight="1" x14ac:dyDescent="0.25">
      <c r="E287" s="55"/>
      <c r="F287" s="1483"/>
      <c r="G287" s="1484"/>
      <c r="H287" s="1484"/>
      <c r="I287" s="55"/>
      <c r="J287" s="55"/>
      <c r="K287" s="55"/>
      <c r="M287" s="1479"/>
      <c r="N287" s="1480"/>
    </row>
    <row r="288" spans="1:32" ht="20.25" customHeight="1" x14ac:dyDescent="0.25">
      <c r="E288" s="1473" t="s">
        <v>1824</v>
      </c>
      <c r="F288" s="1483"/>
      <c r="G288" s="1484"/>
      <c r="H288" s="1484"/>
      <c r="I288" s="55"/>
      <c r="J288" s="55"/>
      <c r="K288" s="55"/>
      <c r="N288" s="1480"/>
    </row>
    <row r="289" spans="4:29" ht="19.5" customHeight="1" x14ac:dyDescent="0.25">
      <c r="E289" s="1486" t="s">
        <v>1528</v>
      </c>
      <c r="F289" s="1465" t="s">
        <v>1885</v>
      </c>
      <c r="G289" s="55"/>
      <c r="H289" s="55"/>
      <c r="I289" s="55"/>
      <c r="J289" s="55"/>
      <c r="K289" s="55"/>
      <c r="M289" s="1487">
        <f>'FORMULAIRE PGA Eaux pluviales '!O415+'FORMULAIRE PGA Eaux pluviales '!O422+'FORMULAIRE PGA Eaux pluviales '!O460+'FORMULAIRE PGA Eaux pluviales '!O467</f>
        <v>0</v>
      </c>
      <c r="N289" s="1480" t="e">
        <f>M289/$L$293</f>
        <v>#DIV/0!</v>
      </c>
    </row>
    <row r="290" spans="4:29" ht="19.5" customHeight="1" x14ac:dyDescent="0.25">
      <c r="E290" s="1488" t="s">
        <v>1528</v>
      </c>
      <c r="F290" s="1483" t="s">
        <v>1892</v>
      </c>
      <c r="G290" s="55"/>
      <c r="H290" s="55"/>
      <c r="I290" s="55"/>
      <c r="J290" s="55"/>
      <c r="K290" s="55"/>
      <c r="M290" s="1479">
        <f>H299+H301+H303+K299+K301+K303</f>
        <v>0</v>
      </c>
      <c r="N290" s="1480" t="e">
        <f>M290/$L$293</f>
        <v>#DIV/0!</v>
      </c>
      <c r="O290" s="1489" t="e">
        <f>SUM(N282:N290)</f>
        <v>#DIV/0!</v>
      </c>
    </row>
    <row r="291" spans="4:29" ht="15" customHeight="1" x14ac:dyDescent="0.25">
      <c r="E291" s="55"/>
      <c r="F291" s="1465" t="s">
        <v>1886</v>
      </c>
      <c r="G291" s="1490"/>
      <c r="H291" s="1484"/>
      <c r="I291" s="55"/>
      <c r="J291" s="55"/>
      <c r="K291" s="55"/>
    </row>
    <row r="292" spans="4:29" ht="17.25" customHeight="1" x14ac:dyDescent="0.25">
      <c r="E292" s="55"/>
      <c r="F292" s="55"/>
      <c r="G292" s="1490"/>
      <c r="H292" s="1484"/>
      <c r="I292" s="55"/>
      <c r="J292" s="55"/>
      <c r="K292" s="55"/>
      <c r="M292" s="1479"/>
    </row>
    <row r="293" spans="4:29" ht="26.25" customHeight="1" x14ac:dyDescent="0.3">
      <c r="D293" s="1463" t="s">
        <v>161</v>
      </c>
      <c r="F293" s="1491"/>
      <c r="G293" s="1492"/>
      <c r="H293" s="1442"/>
      <c r="L293" s="3266">
        <f>SUM(M282:M290)</f>
        <v>0</v>
      </c>
      <c r="M293" s="3266"/>
      <c r="N293" s="3266"/>
    </row>
    <row r="294" spans="4:29" ht="15" customHeight="1" x14ac:dyDescent="0.25">
      <c r="D294" s="1470">
        <f>H203</f>
        <v>0</v>
      </c>
      <c r="E294" s="1492"/>
      <c r="F294" s="1492"/>
      <c r="G294" s="1492"/>
      <c r="H294" s="1442"/>
    </row>
    <row r="295" spans="4:29" ht="234.75" customHeight="1" x14ac:dyDescent="0.25"/>
    <row r="296" spans="4:29" ht="17.25" customHeight="1" x14ac:dyDescent="0.25">
      <c r="F296" s="1491"/>
      <c r="G296" s="1492"/>
      <c r="H296" s="1442"/>
    </row>
    <row r="297" spans="4:29" ht="28.5" customHeight="1" x14ac:dyDescent="0.25">
      <c r="E297" s="1491"/>
      <c r="F297" s="1493"/>
      <c r="G297" s="1418"/>
      <c r="H297" s="1494" t="s">
        <v>1529</v>
      </c>
      <c r="I297" s="1495"/>
      <c r="J297" s="1418"/>
      <c r="K297" s="1494" t="s">
        <v>1829</v>
      </c>
      <c r="M297" s="1496" t="s">
        <v>161</v>
      </c>
      <c r="O297" s="1497"/>
      <c r="P297" s="1497"/>
      <c r="Q297" s="55"/>
      <c r="R297" s="1498" t="s">
        <v>1824</v>
      </c>
      <c r="T297" s="55"/>
      <c r="U297" s="55"/>
      <c r="V297" s="55"/>
      <c r="W297" s="55"/>
      <c r="X297" s="55"/>
      <c r="Y297" s="55"/>
      <c r="Z297" s="55"/>
      <c r="AA297" s="55"/>
    </row>
    <row r="298" spans="4:29" ht="21" customHeight="1" x14ac:dyDescent="0.25">
      <c r="D298" s="517"/>
      <c r="E298" s="517"/>
      <c r="F298" s="1499" t="s">
        <v>2022</v>
      </c>
      <c r="G298" s="1500" t="s">
        <v>2023</v>
      </c>
      <c r="H298" s="2180" t="s">
        <v>2065</v>
      </c>
      <c r="I298" s="1499" t="s">
        <v>2022</v>
      </c>
      <c r="J298" s="1500" t="s">
        <v>2023</v>
      </c>
      <c r="K298" s="2180" t="s">
        <v>2065</v>
      </c>
      <c r="M298" s="369"/>
      <c r="Q298" s="55"/>
      <c r="R298" s="55"/>
      <c r="S298" s="55"/>
      <c r="T298" s="55"/>
      <c r="U298" s="3298" t="s">
        <v>1529</v>
      </c>
      <c r="V298" s="3298"/>
      <c r="W298" s="3298"/>
      <c r="X298" s="3305" t="s">
        <v>1829</v>
      </c>
      <c r="Y298" s="3305"/>
      <c r="Z298" s="1501"/>
      <c r="AA298" s="1502"/>
    </row>
    <row r="299" spans="4:29" ht="38.25" customHeight="1" thickBot="1" x14ac:dyDescent="0.3">
      <c r="D299" s="1503"/>
      <c r="E299" s="1504" t="s">
        <v>1817</v>
      </c>
      <c r="F299" s="1505">
        <f>'FORMULAIRE PGA Eaux pluviales '!O416+'FORMULAIRE PGA Eaux pluviales '!O423</f>
        <v>0</v>
      </c>
      <c r="G299" s="1506">
        <f>'FORMULAIRE PGA Eaux pluviales '!O461+'FORMULAIRE PGA Eaux pluviales '!O468</f>
        <v>0</v>
      </c>
      <c r="H299" s="1507">
        <f>F299+G299</f>
        <v>0</v>
      </c>
      <c r="I299" s="1505">
        <f>'FORMULAIRE PGA Eaux pluviales '!O431+'FORMULAIRE PGA Eaux pluviales '!O439+'FORMULAIRE PGA Eaux pluviales '!O445</f>
        <v>0</v>
      </c>
      <c r="J299" s="1506">
        <f>'FORMULAIRE PGA Eaux pluviales '!O476+'FORMULAIRE PGA Eaux pluviales '!O484+'FORMULAIRE PGA Eaux pluviales '!O490</f>
        <v>0</v>
      </c>
      <c r="K299" s="1507">
        <f>I299+J299</f>
        <v>0</v>
      </c>
      <c r="M299" s="1508">
        <f>ROUNDDOWN(F207,0)</f>
        <v>0</v>
      </c>
      <c r="Q299" s="55"/>
      <c r="R299" s="1509"/>
      <c r="S299" s="3299" t="s">
        <v>1826</v>
      </c>
      <c r="T299" s="3299"/>
      <c r="U299" s="3299"/>
      <c r="V299" s="3303">
        <f>IF(ISERR(H299),0,H299)</f>
        <v>0</v>
      </c>
      <c r="W299" s="3303"/>
      <c r="X299" s="3297">
        <f>IF(ISERR(K299),0,K299)</f>
        <v>0</v>
      </c>
      <c r="Y299" s="3297"/>
      <c r="Z299" s="1510">
        <f>M299</f>
        <v>0</v>
      </c>
      <c r="AA299" s="1510"/>
      <c r="AB299" s="1511"/>
      <c r="AC299" s="1511"/>
    </row>
    <row r="300" spans="4:29" ht="9" customHeight="1" thickTop="1" x14ac:dyDescent="0.25">
      <c r="D300" s="1333"/>
      <c r="E300" s="1512"/>
      <c r="F300" s="1333"/>
      <c r="G300" s="517"/>
      <c r="H300" s="1385"/>
      <c r="I300" s="1333"/>
      <c r="J300" s="517"/>
      <c r="K300" s="1385"/>
      <c r="M300" s="369"/>
      <c r="Q300" s="55"/>
      <c r="R300" s="55"/>
      <c r="S300" s="1513"/>
      <c r="T300" s="55"/>
      <c r="U300" s="55"/>
      <c r="V300" s="1514"/>
      <c r="W300" s="1515"/>
      <c r="X300" s="1515"/>
      <c r="Y300" s="1515"/>
      <c r="Z300" s="1516"/>
      <c r="AA300" s="1516"/>
    </row>
    <row r="301" spans="4:29" ht="38.25" customHeight="1" thickBot="1" x14ac:dyDescent="0.3">
      <c r="D301" s="104"/>
      <c r="E301" s="1504" t="s">
        <v>1531</v>
      </c>
      <c r="F301" s="1505">
        <f>'FORMULAIRE PGA Eaux pluviales '!O417+'FORMULAIRE PGA Eaux pluviales '!O424</f>
        <v>0</v>
      </c>
      <c r="G301" s="1506">
        <f>'FORMULAIRE PGA Eaux pluviales '!O462+'FORMULAIRE PGA Eaux pluviales '!O469</f>
        <v>0</v>
      </c>
      <c r="H301" s="1507">
        <f>F301+G301</f>
        <v>0</v>
      </c>
      <c r="I301" s="1505">
        <f>'FORMULAIRE PGA Eaux pluviales '!O432+'FORMULAIRE PGA Eaux pluviales '!O440+'FORMULAIRE PGA Eaux pluviales '!O446</f>
        <v>0</v>
      </c>
      <c r="J301" s="1506">
        <f>'FORMULAIRE PGA Eaux pluviales '!O477+'FORMULAIRE PGA Eaux pluviales '!O485+'FORMULAIRE PGA Eaux pluviales '!O491</f>
        <v>0</v>
      </c>
      <c r="K301" s="1507">
        <f>I301+J301</f>
        <v>0</v>
      </c>
      <c r="M301" s="1508">
        <f>ROUNDDOWN(F208,0)</f>
        <v>0</v>
      </c>
      <c r="Q301" s="55"/>
      <c r="R301" s="1517"/>
      <c r="S301" s="3304" t="s">
        <v>1828</v>
      </c>
      <c r="T301" s="3304"/>
      <c r="U301" s="1518"/>
      <c r="V301" s="3302">
        <f>IF(ISERR(H301),0,H301)</f>
        <v>0</v>
      </c>
      <c r="W301" s="3302"/>
      <c r="X301" s="3296">
        <f>IF(ISERR(K301),0,K301)</f>
        <v>0</v>
      </c>
      <c r="Y301" s="3296"/>
      <c r="Z301" s="1519">
        <f>M301</f>
        <v>0</v>
      </c>
      <c r="AA301" s="1519"/>
    </row>
    <row r="302" spans="4:29" ht="9" customHeight="1" thickTop="1" x14ac:dyDescent="0.25">
      <c r="D302" s="1333"/>
      <c r="E302" s="1512"/>
      <c r="F302" s="1520"/>
      <c r="G302" s="1521"/>
      <c r="H302" s="1522"/>
      <c r="I302" s="1520"/>
      <c r="J302" s="1521"/>
      <c r="K302" s="1522"/>
      <c r="M302" s="369"/>
      <c r="Q302" s="55"/>
      <c r="R302" s="55"/>
      <c r="S302" s="1513"/>
      <c r="T302" s="55"/>
      <c r="U302" s="55"/>
      <c r="V302" s="1514"/>
      <c r="W302" s="1515"/>
      <c r="X302" s="1515"/>
      <c r="Y302" s="1515"/>
      <c r="Z302" s="1516"/>
      <c r="AA302" s="1516"/>
    </row>
    <row r="303" spans="4:29" ht="38.25" customHeight="1" thickBot="1" x14ac:dyDescent="0.3">
      <c r="D303" s="104"/>
      <c r="E303" s="1504" t="s">
        <v>1530</v>
      </c>
      <c r="F303" s="1505">
        <f>'FORMULAIRE PGA Eaux pluviales '!O418+'FORMULAIRE PGA Eaux pluviales '!O425</f>
        <v>0</v>
      </c>
      <c r="G303" s="1506">
        <f>'FORMULAIRE PGA Eaux pluviales '!O463+'FORMULAIRE PGA Eaux pluviales '!O470</f>
        <v>0</v>
      </c>
      <c r="H303" s="1507">
        <f>F303+G303</f>
        <v>0</v>
      </c>
      <c r="I303" s="1505">
        <f>'FORMULAIRE PGA Eaux pluviales '!O433+'FORMULAIRE PGA Eaux pluviales '!O441+'FORMULAIRE PGA Eaux pluviales '!O447</f>
        <v>0</v>
      </c>
      <c r="J303" s="1506">
        <f>'FORMULAIRE PGA Eaux pluviales '!O478+'FORMULAIRE PGA Eaux pluviales '!O486+'FORMULAIRE PGA Eaux pluviales '!O492</f>
        <v>0</v>
      </c>
      <c r="K303" s="1507">
        <f>I303+J303</f>
        <v>0</v>
      </c>
      <c r="M303" s="1508">
        <f>ROUNDDOWN(F209,0)</f>
        <v>0</v>
      </c>
      <c r="Q303" s="55"/>
      <c r="R303" s="2571"/>
      <c r="S303" s="3300" t="s">
        <v>1827</v>
      </c>
      <c r="T303" s="3300"/>
      <c r="U303" s="3300"/>
      <c r="V303" s="3301">
        <f>IF(ISERR(H303),0,H303)</f>
        <v>0</v>
      </c>
      <c r="W303" s="3301"/>
      <c r="X303" s="3295">
        <f>IF(ISERR(K303),0,K303)</f>
        <v>0</v>
      </c>
      <c r="Y303" s="3295"/>
      <c r="Z303" s="2572">
        <f>M303</f>
        <v>0</v>
      </c>
      <c r="AA303" s="2572"/>
      <c r="AB303" s="1511"/>
      <c r="AC303" s="1511"/>
    </row>
    <row r="304" spans="4:29" ht="9" customHeight="1" thickTop="1" x14ac:dyDescent="0.25">
      <c r="D304" s="1333"/>
      <c r="E304" s="1512"/>
      <c r="F304" s="1523"/>
      <c r="G304" s="1524"/>
      <c r="H304" s="1525"/>
      <c r="I304" s="1520"/>
      <c r="J304" s="1524"/>
      <c r="K304" s="1522"/>
      <c r="M304" s="1344"/>
      <c r="Q304" s="55"/>
      <c r="R304" s="55"/>
      <c r="S304" s="55"/>
      <c r="T304" s="55"/>
      <c r="U304" s="55"/>
      <c r="V304" s="55"/>
      <c r="W304" s="55"/>
      <c r="X304" s="55"/>
      <c r="Y304" s="55"/>
      <c r="Z304" s="55"/>
      <c r="AA304" s="55"/>
    </row>
    <row r="305" spans="2:32" ht="17.25" customHeight="1" x14ac:dyDescent="0.25">
      <c r="F305" s="1492"/>
      <c r="G305" s="1492"/>
      <c r="H305" s="1442"/>
    </row>
    <row r="308" spans="2:32" ht="31.5" customHeight="1" x14ac:dyDescent="0.35">
      <c r="B308" s="1283" t="s">
        <v>1776</v>
      </c>
      <c r="C308" s="1283"/>
      <c r="D308" s="1284"/>
      <c r="E308" s="1284"/>
      <c r="F308" s="1284"/>
      <c r="G308" s="1284"/>
      <c r="H308" s="1284"/>
      <c r="I308" s="1284"/>
      <c r="J308" s="1284"/>
      <c r="K308" s="1284"/>
      <c r="L308" s="1284"/>
      <c r="M308" s="1284"/>
      <c r="N308" s="1284"/>
      <c r="O308" s="1284"/>
      <c r="P308" s="1284"/>
      <c r="Q308" s="1284"/>
      <c r="R308" s="1284"/>
      <c r="S308" s="1284"/>
      <c r="T308" s="1284"/>
      <c r="U308" s="1284"/>
      <c r="V308" s="1284"/>
      <c r="W308" s="1284"/>
      <c r="X308" s="1284"/>
      <c r="Y308" s="1284"/>
      <c r="Z308" s="1284"/>
      <c r="AA308" s="1284"/>
      <c r="AB308" s="1284"/>
      <c r="AC308" s="1284"/>
      <c r="AD308" s="1284"/>
      <c r="AE308" s="1284"/>
      <c r="AF308" s="1284"/>
    </row>
    <row r="310" spans="2:32" ht="22.5" customHeight="1" x14ac:dyDescent="0.3">
      <c r="B310" s="1285" t="s">
        <v>254</v>
      </c>
      <c r="C310" s="1285"/>
      <c r="D310" s="1285"/>
      <c r="E310" s="1285"/>
      <c r="F310" s="1285"/>
      <c r="G310" s="1285"/>
      <c r="H310" s="1285"/>
      <c r="I310" s="1285"/>
      <c r="J310" s="1285"/>
      <c r="K310" s="1285"/>
      <c r="L310" s="1285"/>
      <c r="M310" s="1285"/>
      <c r="N310" s="1285"/>
      <c r="O310" s="1285"/>
      <c r="P310" s="1285"/>
      <c r="Q310" s="1285"/>
      <c r="R310" s="1285"/>
      <c r="S310" s="1285"/>
      <c r="T310" s="1285"/>
      <c r="U310" s="1285"/>
      <c r="V310" s="1285"/>
      <c r="W310" s="1285"/>
      <c r="X310" s="1285"/>
      <c r="Y310" s="1285"/>
      <c r="Z310" s="1285"/>
      <c r="AA310" s="1285"/>
      <c r="AB310" s="1285"/>
      <c r="AC310" s="1285"/>
      <c r="AD310" s="1285"/>
      <c r="AE310" s="1285"/>
      <c r="AF310" s="1285"/>
    </row>
    <row r="311" spans="2:32" ht="21" x14ac:dyDescent="0.25">
      <c r="B311" s="1416"/>
      <c r="C311" s="1416"/>
    </row>
    <row r="312" spans="2:32" ht="17.25" customHeight="1" x14ac:dyDescent="0.25">
      <c r="D312" s="517"/>
      <c r="E312" s="517"/>
      <c r="F312" s="1392" t="s">
        <v>1901</v>
      </c>
    </row>
    <row r="313" spans="2:32" x14ac:dyDescent="0.25">
      <c r="E313" s="1127" t="s">
        <v>2022</v>
      </c>
      <c r="F313" s="1127" t="s">
        <v>2023</v>
      </c>
    </row>
    <row r="314" spans="2:32" x14ac:dyDescent="0.25">
      <c r="D314" s="1379" t="str">
        <f>'FORMULAIRE PGA Eaux pluviales '!C520</f>
        <v>Coûts prévisionnels totaux (besoins totaux)</v>
      </c>
      <c r="E314" s="1441">
        <f>'FORMULAIRE PGA Eaux pluviales '!O520</f>
        <v>0</v>
      </c>
      <c r="F314" s="1441">
        <f>'FORMULAIRE PGA Eaux pluviales '!O547</f>
        <v>0</v>
      </c>
    </row>
    <row r="315" spans="2:32" ht="15.75" x14ac:dyDescent="0.25">
      <c r="D315" s="1379" t="str">
        <f>'FORMULAIRE PGA Eaux pluviales '!C521</f>
        <v>Revenus du gouvernement provincial</v>
      </c>
      <c r="E315" s="1441">
        <f>'FORMULAIRE PGA Eaux pluviales '!O521</f>
        <v>0</v>
      </c>
      <c r="F315" s="1441">
        <f>'FORMULAIRE PGA Eaux pluviales '!O548</f>
        <v>0</v>
      </c>
      <c r="L315" s="1391" t="s">
        <v>1900</v>
      </c>
      <c r="M315" s="517"/>
      <c r="N315" s="517"/>
    </row>
    <row r="316" spans="2:32" x14ac:dyDescent="0.25">
      <c r="D316" s="1379" t="str">
        <f>'FORMULAIRE PGA Eaux pluviales '!C522</f>
        <v>Revenus générés par la municipalité</v>
      </c>
      <c r="E316" s="1441">
        <f>'FORMULAIRE PGA Eaux pluviales '!O522</f>
        <v>0</v>
      </c>
      <c r="F316" s="1441">
        <f>'FORMULAIRE PGA Eaux pluviales '!O549</f>
        <v>0</v>
      </c>
    </row>
    <row r="317" spans="2:32" x14ac:dyDescent="0.25">
      <c r="D317" s="1379" t="str">
        <f>'FORMULAIRE PGA Eaux pluviales '!C523</f>
        <v>Budget total planifié par la municipalité</v>
      </c>
      <c r="E317" s="1441">
        <f>'FORMULAIRE PGA Eaux pluviales '!O523</f>
        <v>0</v>
      </c>
      <c r="F317" s="1441">
        <f>'FORMULAIRE PGA Eaux pluviales '!O550</f>
        <v>0</v>
      </c>
      <c r="L317" s="1128" t="s">
        <v>45</v>
      </c>
      <c r="M317" s="1489" t="e">
        <f>(E317+F317)/(E314+F314)</f>
        <v>#DIV/0!</v>
      </c>
      <c r="N317" s="1526" t="str">
        <f>IF(ISERR(M317)=TRUE,"",M317)</f>
        <v/>
      </c>
    </row>
    <row r="318" spans="2:32" x14ac:dyDescent="0.25">
      <c r="D318" s="1379" t="str">
        <f>'FORMULAIRE PGA Eaux pluviales '!C524</f>
        <v>Déficit de financement</v>
      </c>
      <c r="E318" s="1441">
        <f>'FORMULAIRE PGA Eaux pluviales '!O524</f>
        <v>0</v>
      </c>
      <c r="F318" s="1441">
        <f>'FORMULAIRE PGA Eaux pluviales '!O551</f>
        <v>0</v>
      </c>
      <c r="L318" s="1128" t="s">
        <v>2091</v>
      </c>
      <c r="M318" s="1489" t="e">
        <f>(E316+F316)/(E317+F317)</f>
        <v>#DIV/0!</v>
      </c>
      <c r="N318" s="1527" t="str">
        <f>IF(ISERR(M318)=TRUE,"",M318)</f>
        <v/>
      </c>
    </row>
    <row r="320" spans="2:32" ht="20.25" customHeight="1" x14ac:dyDescent="0.25">
      <c r="D320" s="1400" t="s">
        <v>55</v>
      </c>
      <c r="K320" s="1391" t="s">
        <v>161</v>
      </c>
      <c r="L320" s="1391"/>
      <c r="M320" s="1391"/>
      <c r="N320" s="1391"/>
      <c r="O320" s="517"/>
    </row>
    <row r="321" spans="2:32" x14ac:dyDescent="0.25">
      <c r="E321" s="1127"/>
      <c r="F321" s="325" t="s">
        <v>132</v>
      </c>
      <c r="M321" s="1379"/>
      <c r="N321" s="1379" t="s">
        <v>1906</v>
      </c>
      <c r="O321" s="1379" t="s">
        <v>1907</v>
      </c>
    </row>
    <row r="322" spans="2:32" x14ac:dyDescent="0.25">
      <c r="B322" s="1128" t="s">
        <v>2022</v>
      </c>
      <c r="C322" s="1128"/>
      <c r="D322" s="1128" t="s">
        <v>1899</v>
      </c>
      <c r="E322" s="1528">
        <f>E317</f>
        <v>0</v>
      </c>
      <c r="F322" s="1528">
        <f>E318</f>
        <v>0</v>
      </c>
      <c r="K322" s="1379" t="str">
        <f>'FORMULAIRE PGA Eaux pluviales '!C634</f>
        <v>Financement estimé pour le fonctionnement</v>
      </c>
      <c r="L322" s="1379" t="s">
        <v>2022</v>
      </c>
      <c r="M322" s="325">
        <f>'FORMULAIRE PGA Eaux pluviales '!G634</f>
        <v>0</v>
      </c>
      <c r="N322" s="1529">
        <f>IF(OR($I$41=1,$K$36=1),M322,IF($I$33=1,M323,ROUNDDOWN(AVERAGE(M322:M323),0)))</f>
        <v>0</v>
      </c>
      <c r="O322" s="1530">
        <f>IF(OR($I$41=1,$K$36=1),ROUNDDOWN(AVERAGE(M322,M324),0),IF($I$33=1,ROUNDDOWN(AVERAGE(M323,M325),0),ROUNDDOWN(AVERAGE(M322:M325),0)))</f>
        <v>0</v>
      </c>
    </row>
    <row r="323" spans="2:32" x14ac:dyDescent="0.25">
      <c r="B323" s="1128"/>
      <c r="C323" s="1128"/>
      <c r="D323" s="1128" t="s">
        <v>42</v>
      </c>
      <c r="E323" s="1528">
        <f>E314</f>
        <v>0</v>
      </c>
      <c r="F323" s="325">
        <v>0</v>
      </c>
      <c r="L323" s="1379" t="s">
        <v>2023</v>
      </c>
      <c r="M323" s="28">
        <f>'FORMULAIRE PGA Eaux pluviales '!L634</f>
        <v>0</v>
      </c>
      <c r="N323" s="1531"/>
    </row>
    <row r="324" spans="2:32" x14ac:dyDescent="0.25">
      <c r="B324" s="1128" t="s">
        <v>2023</v>
      </c>
      <c r="C324" s="1128"/>
      <c r="D324" s="1128" t="s">
        <v>42</v>
      </c>
      <c r="E324" s="1528">
        <f>F314</f>
        <v>0</v>
      </c>
      <c r="F324" s="325">
        <v>0</v>
      </c>
      <c r="J324" s="1379"/>
      <c r="K324" s="1379" t="str">
        <f>'FORMULAIRE PGA Eaux pluviales '!C631</f>
        <v>Coûts prévus pour l'exploitation et pour l'entretien</v>
      </c>
      <c r="L324" s="1379" t="s">
        <v>2022</v>
      </c>
      <c r="M324" s="325">
        <f>'FORMULAIRE PGA Eaux pluviales '!G631</f>
        <v>0</v>
      </c>
      <c r="N324" s="1531"/>
    </row>
    <row r="325" spans="2:32" x14ac:dyDescent="0.25">
      <c r="B325" s="1128"/>
      <c r="C325" s="1128"/>
      <c r="D325" s="1128" t="s">
        <v>1899</v>
      </c>
      <c r="E325" s="1528">
        <f>F317</f>
        <v>0</v>
      </c>
      <c r="F325" s="1528">
        <f>F318</f>
        <v>0</v>
      </c>
      <c r="L325" s="1379" t="s">
        <v>2023</v>
      </c>
      <c r="M325" s="28">
        <f>'FORMULAIRE PGA Eaux pluviales '!L631</f>
        <v>0</v>
      </c>
    </row>
    <row r="326" spans="2:32" x14ac:dyDescent="0.25">
      <c r="B326" s="1128"/>
      <c r="C326" s="1128"/>
      <c r="D326" s="1128"/>
      <c r="E326" s="1528"/>
      <c r="F326" s="1528"/>
    </row>
    <row r="327" spans="2:32" x14ac:dyDescent="0.25">
      <c r="B327" s="1128"/>
      <c r="C327" s="1128"/>
      <c r="D327" s="1128"/>
      <c r="E327" s="1528"/>
      <c r="F327" s="1528"/>
      <c r="H327" s="55"/>
      <c r="I327" s="55"/>
      <c r="J327" s="55"/>
      <c r="K327" s="55"/>
      <c r="L327" s="55"/>
      <c r="M327" s="55"/>
      <c r="N327" s="55"/>
      <c r="O327" s="55"/>
    </row>
    <row r="328" spans="2:32" ht="16.5" thickBot="1" x14ac:dyDescent="0.3">
      <c r="B328" s="1128"/>
      <c r="C328" s="1128"/>
      <c r="D328" s="1128"/>
      <c r="E328" s="1528"/>
      <c r="F328" s="1528"/>
      <c r="H328" s="55"/>
      <c r="I328" s="3267" t="s">
        <v>1905</v>
      </c>
      <c r="J328" s="3267"/>
      <c r="K328" s="3267"/>
      <c r="L328" s="3267"/>
      <c r="M328" s="3267"/>
      <c r="N328" s="3267"/>
      <c r="O328" s="55"/>
    </row>
    <row r="329" spans="2:32" ht="170.25" customHeight="1" x14ac:dyDescent="0.25">
      <c r="H329" s="55"/>
      <c r="I329" s="55"/>
      <c r="J329" s="55"/>
      <c r="K329" s="55"/>
      <c r="L329" s="55"/>
      <c r="M329" s="55"/>
      <c r="N329" s="55"/>
      <c r="O329" s="55"/>
      <c r="P329" s="55"/>
    </row>
    <row r="330" spans="2:32" ht="20.25" customHeight="1" thickBot="1" x14ac:dyDescent="0.3">
      <c r="I330" s="2558"/>
      <c r="J330" s="2553" t="str">
        <f>IF(('FORMULAIRE PGA Eaux pluviales '!$H$120='MENU DÉROULANT'!$C$54),"(Aucun actif)","")</f>
        <v/>
      </c>
      <c r="K330" s="2493" t="s">
        <v>2022</v>
      </c>
      <c r="L330" s="1532" t="s">
        <v>2023</v>
      </c>
      <c r="M330" s="2552"/>
      <c r="N330" s="2553" t="str">
        <f>IF(('FORMULAIRE PGA Eaux pluviales '!M73='MENU DÉROULANT'!C63),"(Non applicable)",IF(('FORMULAIRE PGA Eaux pluviales '!$H$81='MENU DÉROULANT'!$F$54),"(Aucun actif)",""))</f>
        <v/>
      </c>
      <c r="O330" s="55"/>
      <c r="P330" s="55"/>
    </row>
    <row r="331" spans="2:32" x14ac:dyDescent="0.25">
      <c r="I331" s="55"/>
      <c r="J331" s="55"/>
      <c r="K331" s="55"/>
      <c r="L331" s="55"/>
      <c r="M331" s="55"/>
      <c r="N331" s="55"/>
      <c r="O331" s="55"/>
      <c r="P331" s="55"/>
    </row>
    <row r="333" spans="2:32" ht="22.5" customHeight="1" x14ac:dyDescent="0.3">
      <c r="B333" s="1285" t="s">
        <v>255</v>
      </c>
      <c r="C333" s="1285"/>
      <c r="D333" s="1285"/>
      <c r="E333" s="1285"/>
      <c r="F333" s="1285"/>
      <c r="G333" s="1285"/>
      <c r="H333" s="1285"/>
      <c r="I333" s="1285"/>
      <c r="J333" s="1285"/>
      <c r="K333" s="1285"/>
      <c r="L333" s="1285"/>
      <c r="M333" s="1285"/>
      <c r="N333" s="1285"/>
      <c r="O333" s="1285"/>
      <c r="P333" s="1285"/>
      <c r="Q333" s="1285"/>
      <c r="R333" s="1285"/>
      <c r="S333" s="1285"/>
      <c r="T333" s="1285"/>
      <c r="U333" s="1285"/>
      <c r="V333" s="1285"/>
      <c r="W333" s="1285"/>
      <c r="X333" s="1285"/>
      <c r="Y333" s="1285"/>
      <c r="Z333" s="1285"/>
      <c r="AA333" s="1285"/>
      <c r="AB333" s="1285"/>
      <c r="AC333" s="1285"/>
      <c r="AD333" s="1285"/>
      <c r="AE333" s="1285"/>
      <c r="AF333" s="1285"/>
    </row>
    <row r="335" spans="2:32" ht="17.25" customHeight="1" x14ac:dyDescent="0.25">
      <c r="D335" s="517"/>
      <c r="E335" s="517"/>
      <c r="F335" s="1392" t="s">
        <v>1901</v>
      </c>
    </row>
    <row r="336" spans="2:32" x14ac:dyDescent="0.25">
      <c r="E336" s="1127" t="s">
        <v>2022</v>
      </c>
      <c r="F336" s="1127" t="s">
        <v>2023</v>
      </c>
    </row>
    <row r="337" spans="2:15" x14ac:dyDescent="0.25">
      <c r="D337" s="1379" t="str">
        <f>'FORMULAIRE PGA Eaux pluviales '!C527</f>
        <v>Coûts prévisionnels totaux (besoins totaux)</v>
      </c>
      <c r="E337" s="1441">
        <f>'FORMULAIRE PGA Eaux pluviales '!O527</f>
        <v>0</v>
      </c>
      <c r="F337" s="1441">
        <f>'FORMULAIRE PGA Eaux pluviales '!O554</f>
        <v>0</v>
      </c>
    </row>
    <row r="338" spans="2:15" x14ac:dyDescent="0.25">
      <c r="D338" s="1379" t="str">
        <f>'FORMULAIRE PGA Eaux pluviales '!C528</f>
        <v>Excédent de fonctionnement</v>
      </c>
      <c r="E338" s="1441">
        <f>'FORMULAIRE PGA Eaux pluviales '!O528</f>
        <v>0</v>
      </c>
      <c r="F338" s="1441">
        <f>'FORMULAIRE PGA Eaux pluviales '!O555</f>
        <v>0</v>
      </c>
    </row>
    <row r="339" spans="2:15" ht="15.75" x14ac:dyDescent="0.25">
      <c r="D339" s="1379" t="str">
        <f>'FORMULAIRE PGA Eaux pluviales '!C529</f>
        <v>Financement du gouvernement provincial</v>
      </c>
      <c r="E339" s="1441">
        <f>'FORMULAIRE PGA Eaux pluviales '!O529</f>
        <v>0</v>
      </c>
      <c r="F339" s="1441">
        <f>'FORMULAIRE PGA Eaux pluviales '!O556</f>
        <v>0</v>
      </c>
      <c r="L339" s="1391" t="s">
        <v>1900</v>
      </c>
      <c r="M339" s="517"/>
      <c r="N339" s="517"/>
    </row>
    <row r="340" spans="2:15" x14ac:dyDescent="0.25">
      <c r="D340" s="1379" t="str">
        <f>'FORMULAIRE PGA Eaux pluviales '!C530</f>
        <v>Autres types de financement</v>
      </c>
      <c r="E340" s="1441">
        <f>'FORMULAIRE PGA Eaux pluviales '!O530</f>
        <v>0</v>
      </c>
      <c r="F340" s="1441">
        <f>'FORMULAIRE PGA Eaux pluviales '!O557</f>
        <v>0</v>
      </c>
    </row>
    <row r="341" spans="2:15" x14ac:dyDescent="0.25">
      <c r="D341" s="1379" t="str">
        <f>'FORMULAIRE PGA Eaux pluviales '!C531</f>
        <v>Budget total planifié par la municipalité</v>
      </c>
      <c r="E341" s="1441">
        <f>'FORMULAIRE PGA Eaux pluviales '!O531</f>
        <v>0</v>
      </c>
      <c r="F341" s="1441">
        <f>'FORMULAIRE PGA Eaux pluviales '!O558</f>
        <v>0</v>
      </c>
      <c r="L341" s="1128" t="s">
        <v>54</v>
      </c>
      <c r="M341" s="1489" t="e">
        <f>(E341+F341)/(E337+F337)</f>
        <v>#DIV/0!</v>
      </c>
      <c r="N341" s="1526" t="str">
        <f>IF(ISERR(M341)=TRUE,"",M341)</f>
        <v/>
      </c>
    </row>
    <row r="342" spans="2:15" x14ac:dyDescent="0.25">
      <c r="D342" s="1379" t="str">
        <f>'FORMULAIRE PGA Eaux pluviales '!C532</f>
        <v>Déficit de financement</v>
      </c>
      <c r="E342" s="1441">
        <f>'FORMULAIRE PGA Eaux pluviales '!O532</f>
        <v>0</v>
      </c>
      <c r="F342" s="1441">
        <f>'FORMULAIRE PGA Eaux pluviales '!O559</f>
        <v>0</v>
      </c>
      <c r="L342" s="1128" t="s">
        <v>2093</v>
      </c>
      <c r="M342" s="1489" t="e">
        <f>(E340+F340)/(E341+F341)</f>
        <v>#DIV/0!</v>
      </c>
      <c r="N342" s="1527" t="str">
        <f>IF(ISERR(M342)=TRUE,"",M342)</f>
        <v/>
      </c>
    </row>
    <row r="343" spans="2:15" x14ac:dyDescent="0.25">
      <c r="D343" s="1379"/>
      <c r="E343" s="1441"/>
      <c r="F343" s="1441"/>
    </row>
    <row r="344" spans="2:15" ht="21" customHeight="1" x14ac:dyDescent="0.25">
      <c r="D344" s="1400" t="s">
        <v>123</v>
      </c>
      <c r="K344" s="1391" t="s">
        <v>161</v>
      </c>
      <c r="L344" s="1391"/>
      <c r="M344" s="1391"/>
      <c r="N344" s="1391"/>
      <c r="O344" s="1391"/>
    </row>
    <row r="345" spans="2:15" x14ac:dyDescent="0.25">
      <c r="E345" s="1127"/>
      <c r="F345" s="28" t="s">
        <v>132</v>
      </c>
      <c r="L345" s="1379"/>
      <c r="N345" s="1379" t="s">
        <v>1906</v>
      </c>
      <c r="O345" s="1379" t="s">
        <v>1907</v>
      </c>
    </row>
    <row r="346" spans="2:15" x14ac:dyDescent="0.25">
      <c r="B346" s="1128" t="s">
        <v>2022</v>
      </c>
      <c r="C346" s="1128"/>
      <c r="D346" s="1128" t="s">
        <v>1899</v>
      </c>
      <c r="E346" s="1528">
        <f>E341</f>
        <v>0</v>
      </c>
      <c r="F346" s="1528">
        <f>E342</f>
        <v>0</v>
      </c>
      <c r="K346" s="1379" t="str">
        <f>'FORMULAIRE PGA Eaux pluviales '!C635</f>
        <v>Financement estimé pour le renouvellement</v>
      </c>
      <c r="L346" s="1379" t="s">
        <v>2022</v>
      </c>
      <c r="M346" s="325">
        <f>'FORMULAIRE PGA Eaux pluviales '!G635</f>
        <v>0</v>
      </c>
      <c r="N346" s="1529">
        <f>IF(OR($I$41=1,$K$36=1),M346,IF($I$33=1,M347,ROUNDDOWN(AVERAGE(M346:M347),0)))</f>
        <v>0</v>
      </c>
      <c r="O346" s="1530">
        <f>IF(OR($I$41=1,$K$36=1),ROUNDDOWN(AVERAGE(M346,M348),0),IF($I$33=1,ROUNDDOWN(AVERAGE(M347,M349),0),ROUNDDOWN(AVERAGE(M346:M349),0)))</f>
        <v>0</v>
      </c>
    </row>
    <row r="347" spans="2:15" x14ac:dyDescent="0.25">
      <c r="B347" s="1128"/>
      <c r="C347" s="1128"/>
      <c r="D347" s="1128" t="s">
        <v>42</v>
      </c>
      <c r="E347" s="1528">
        <f>E337</f>
        <v>0</v>
      </c>
      <c r="F347" s="325">
        <v>0</v>
      </c>
      <c r="L347" s="1379" t="s">
        <v>2023</v>
      </c>
      <c r="M347" s="28">
        <f>'FORMULAIRE PGA Eaux pluviales '!L635</f>
        <v>0</v>
      </c>
      <c r="N347" s="1531"/>
    </row>
    <row r="348" spans="2:15" x14ac:dyDescent="0.25">
      <c r="B348" s="1128" t="s">
        <v>2023</v>
      </c>
      <c r="C348" s="1128"/>
      <c r="D348" s="1128" t="s">
        <v>42</v>
      </c>
      <c r="E348" s="1528">
        <f>F337</f>
        <v>0</v>
      </c>
      <c r="F348" s="325">
        <v>0</v>
      </c>
      <c r="K348" s="1379" t="str">
        <f>'FORMULAIRE PGA Eaux pluviales '!C626</f>
        <v>Coûts prévus pour le renouvellement</v>
      </c>
      <c r="L348" s="1379" t="s">
        <v>2022</v>
      </c>
      <c r="M348" s="325">
        <f>'FORMULAIRE PGA Eaux pluviales '!G626</f>
        <v>0</v>
      </c>
    </row>
    <row r="349" spans="2:15" x14ac:dyDescent="0.25">
      <c r="B349" s="1128"/>
      <c r="C349" s="1128"/>
      <c r="D349" s="1128" t="s">
        <v>1899</v>
      </c>
      <c r="E349" s="1528">
        <f>F341</f>
        <v>0</v>
      </c>
      <c r="F349" s="1528">
        <f>F342</f>
        <v>0</v>
      </c>
      <c r="L349" s="1379" t="s">
        <v>2023</v>
      </c>
      <c r="M349" s="28">
        <f>'FORMULAIRE PGA Eaux pluviales '!L626</f>
        <v>0</v>
      </c>
    </row>
    <row r="350" spans="2:15" x14ac:dyDescent="0.25">
      <c r="B350" s="1128"/>
      <c r="C350" s="1128"/>
      <c r="D350" s="1128"/>
      <c r="E350" s="1528"/>
      <c r="F350" s="1528"/>
    </row>
    <row r="351" spans="2:15" x14ac:dyDescent="0.25">
      <c r="B351" s="1128"/>
      <c r="C351" s="1128"/>
      <c r="D351" s="1128"/>
      <c r="E351" s="1528"/>
      <c r="F351" s="1528"/>
      <c r="H351" s="55"/>
      <c r="I351" s="55"/>
      <c r="J351" s="55"/>
      <c r="K351" s="55"/>
      <c r="L351" s="55"/>
      <c r="M351" s="55"/>
      <c r="N351" s="55"/>
      <c r="O351" s="55"/>
    </row>
    <row r="352" spans="2:15" ht="16.5" thickBot="1" x14ac:dyDescent="0.3">
      <c r="B352" s="1128"/>
      <c r="C352" s="1128"/>
      <c r="D352" s="1128"/>
      <c r="E352" s="1528"/>
      <c r="F352" s="1528"/>
      <c r="H352" s="55"/>
      <c r="I352" s="3267" t="s">
        <v>1905</v>
      </c>
      <c r="J352" s="3267"/>
      <c r="K352" s="3267"/>
      <c r="L352" s="3267"/>
      <c r="M352" s="3267"/>
      <c r="N352" s="3267"/>
      <c r="O352" s="55"/>
    </row>
    <row r="353" spans="2:32" ht="170.25" customHeight="1" x14ac:dyDescent="0.25">
      <c r="H353" s="55"/>
      <c r="I353" s="55"/>
      <c r="J353" s="55"/>
      <c r="K353" s="55"/>
      <c r="L353" s="55"/>
      <c r="M353" s="55"/>
      <c r="N353" s="55"/>
      <c r="O353" s="55"/>
      <c r="P353" s="55"/>
    </row>
    <row r="354" spans="2:32" ht="20.25" customHeight="1" thickBot="1" x14ac:dyDescent="0.3">
      <c r="H354" s="55"/>
      <c r="I354" s="2558"/>
      <c r="J354" s="2553" t="str">
        <f>IF(('FORMULAIRE PGA Eaux pluviales '!$H$120='MENU DÉROULANT'!$C$54),"(Aucun actif)","")</f>
        <v/>
      </c>
      <c r="K354" s="2493" t="s">
        <v>2022</v>
      </c>
      <c r="L354" s="1532" t="s">
        <v>2023</v>
      </c>
      <c r="M354" s="1072"/>
      <c r="N354" s="2553" t="str">
        <f>IF(('FORMULAIRE PGA Eaux pluviales '!M73='MENU DÉROULANT'!C63),"(Non applicable)",IF(('FORMULAIRE PGA Eaux pluviales '!$H$81='MENU DÉROULANT'!$F$54),"(Aucun actif)",""))</f>
        <v/>
      </c>
      <c r="P354" s="55"/>
    </row>
    <row r="355" spans="2:32" x14ac:dyDescent="0.25">
      <c r="I355" s="55"/>
      <c r="J355" s="55"/>
      <c r="K355" s="55"/>
      <c r="L355" s="55"/>
      <c r="M355" s="55"/>
      <c r="N355" s="55"/>
      <c r="O355" s="55"/>
      <c r="P355" s="55"/>
    </row>
    <row r="356" spans="2:32" x14ac:dyDescent="0.25">
      <c r="P356" s="1048"/>
    </row>
    <row r="358" spans="2:32" ht="22.5" customHeight="1" x14ac:dyDescent="0.3">
      <c r="B358" s="1285" t="s">
        <v>256</v>
      </c>
      <c r="C358" s="1285"/>
      <c r="D358" s="1285"/>
      <c r="E358" s="1285"/>
      <c r="F358" s="1285"/>
      <c r="G358" s="1285"/>
      <c r="H358" s="1285"/>
      <c r="I358" s="1285"/>
      <c r="J358" s="1285"/>
      <c r="K358" s="1285"/>
      <c r="L358" s="1285"/>
      <c r="M358" s="1285"/>
      <c r="N358" s="1285"/>
      <c r="O358" s="1285"/>
      <c r="P358" s="1285"/>
      <c r="Q358" s="1285"/>
      <c r="R358" s="1285"/>
      <c r="S358" s="1285"/>
      <c r="T358" s="1285"/>
      <c r="U358" s="1285"/>
      <c r="V358" s="1285"/>
      <c r="W358" s="1285"/>
      <c r="X358" s="1285"/>
      <c r="Y358" s="1285"/>
      <c r="Z358" s="1285"/>
      <c r="AA358" s="1285"/>
      <c r="AB358" s="1285"/>
      <c r="AC358" s="1285"/>
      <c r="AD358" s="1285"/>
      <c r="AE358" s="1285"/>
      <c r="AF358" s="1285"/>
    </row>
    <row r="359" spans="2:32" ht="21" x14ac:dyDescent="0.25">
      <c r="B359" s="1416"/>
      <c r="C359" s="1416"/>
    </row>
    <row r="360" spans="2:32" ht="17.25" customHeight="1" x14ac:dyDescent="0.25">
      <c r="D360" s="517"/>
      <c r="E360" s="517"/>
      <c r="F360" s="1392" t="s">
        <v>1901</v>
      </c>
    </row>
    <row r="361" spans="2:32" x14ac:dyDescent="0.25">
      <c r="E361" s="1127" t="s">
        <v>2022</v>
      </c>
      <c r="F361" s="1127" t="s">
        <v>2023</v>
      </c>
    </row>
    <row r="362" spans="2:32" x14ac:dyDescent="0.25">
      <c r="D362" s="1379" t="str">
        <f>'FORMULAIRE PGA Eaux pluviales '!C535</f>
        <v>Coûts prévisionnels totaux (besoins totaux)</v>
      </c>
      <c r="E362" s="1441">
        <f>'FORMULAIRE PGA Eaux pluviales '!O535</f>
        <v>0</v>
      </c>
      <c r="F362" s="1441">
        <f>'FORMULAIRE PGA Eaux pluviales '!O562</f>
        <v>0</v>
      </c>
    </row>
    <row r="363" spans="2:32" ht="15.75" x14ac:dyDescent="0.25">
      <c r="D363" s="1379" t="str">
        <f>'FORMULAIRE PGA Eaux pluviales '!C536</f>
        <v>Financement du gouvernement provincial</v>
      </c>
      <c r="E363" s="1441">
        <f>'FORMULAIRE PGA Eaux pluviales '!O536</f>
        <v>0</v>
      </c>
      <c r="F363" s="1441">
        <f>'FORMULAIRE PGA Eaux pluviales '!O563</f>
        <v>0</v>
      </c>
      <c r="L363" s="1391" t="s">
        <v>1900</v>
      </c>
      <c r="M363" s="517"/>
      <c r="N363" s="517"/>
    </row>
    <row r="364" spans="2:32" x14ac:dyDescent="0.25">
      <c r="D364" s="1379" t="str">
        <f>'FORMULAIRE PGA Eaux pluviales '!C537</f>
        <v>Autres types de financement</v>
      </c>
      <c r="E364" s="1441">
        <f>'FORMULAIRE PGA Eaux pluviales '!O537</f>
        <v>0</v>
      </c>
      <c r="F364" s="1441">
        <f>'FORMULAIRE PGA Eaux pluviales '!O564</f>
        <v>0</v>
      </c>
    </row>
    <row r="365" spans="2:32" x14ac:dyDescent="0.25">
      <c r="D365" s="1379" t="str">
        <f>'FORMULAIRE PGA Eaux pluviales '!C538</f>
        <v>Budget total planifié par la municipalité</v>
      </c>
      <c r="E365" s="1441">
        <f>'FORMULAIRE PGA Eaux pluviales '!O538</f>
        <v>0</v>
      </c>
      <c r="F365" s="1441">
        <f>'FORMULAIRE PGA Eaux pluviales '!O565</f>
        <v>0</v>
      </c>
      <c r="L365" s="1128" t="s">
        <v>53</v>
      </c>
      <c r="M365" s="1489" t="e">
        <f>(E365+F365)/(E362+F362)</f>
        <v>#DIV/0!</v>
      </c>
      <c r="N365" s="1526" t="str">
        <f>IF(ISERR(M365)=TRUE,"",M365)</f>
        <v/>
      </c>
    </row>
    <row r="366" spans="2:32" x14ac:dyDescent="0.25">
      <c r="D366" s="1379" t="str">
        <f>'FORMULAIRE PGA Eaux pluviales '!C539</f>
        <v>Déficit de financement</v>
      </c>
      <c r="E366" s="1441">
        <f>'FORMULAIRE PGA Eaux pluviales '!O539</f>
        <v>0</v>
      </c>
      <c r="F366" s="1441">
        <f>'FORMULAIRE PGA Eaux pluviales '!O566</f>
        <v>0</v>
      </c>
      <c r="L366" s="1128" t="s">
        <v>2092</v>
      </c>
      <c r="M366" s="1489" t="e">
        <f>(E364+F364)/(E365+F365)</f>
        <v>#DIV/0!</v>
      </c>
      <c r="N366" s="1527" t="str">
        <f>IF(ISERR(M366)=TRUE,"",M366)</f>
        <v/>
      </c>
    </row>
    <row r="368" spans="2:32" ht="20.25" customHeight="1" x14ac:dyDescent="0.25">
      <c r="D368" s="1400" t="s">
        <v>257</v>
      </c>
      <c r="K368" s="1391" t="s">
        <v>161</v>
      </c>
      <c r="L368" s="1391"/>
      <c r="M368" s="1391"/>
      <c r="N368" s="1391"/>
      <c r="O368" s="1391"/>
    </row>
    <row r="369" spans="2:32" x14ac:dyDescent="0.25">
      <c r="E369" s="1127"/>
      <c r="F369" s="919" t="s">
        <v>132</v>
      </c>
      <c r="L369" s="1379"/>
      <c r="N369" s="1379" t="s">
        <v>1906</v>
      </c>
      <c r="O369" s="1379" t="s">
        <v>1907</v>
      </c>
    </row>
    <row r="370" spans="2:32" x14ac:dyDescent="0.25">
      <c r="B370" s="1128" t="s">
        <v>2022</v>
      </c>
      <c r="C370" s="1128"/>
      <c r="D370" s="1128" t="s">
        <v>1899</v>
      </c>
      <c r="E370" s="1528">
        <f>E365</f>
        <v>0</v>
      </c>
      <c r="F370" s="1528">
        <f>E366</f>
        <v>0</v>
      </c>
      <c r="K370" s="1379" t="str">
        <f>'FORMULAIRE PGA Eaux pluviales '!C636</f>
        <v>Financement estimé pour les acquisitions/dispositions</v>
      </c>
      <c r="L370" s="1379" t="s">
        <v>2022</v>
      </c>
      <c r="M370" s="325">
        <f>'FORMULAIRE PGA Eaux pluviales '!G636</f>
        <v>0</v>
      </c>
      <c r="N370" s="1529">
        <f>IF(OR($I$41=1,$K$36=1),M370,IF($I$33=1,M371,ROUNDDOWN(AVERAGE(M370:M371),0)))</f>
        <v>0</v>
      </c>
      <c r="O370" s="1530">
        <f>IF(OR($I$41=1,$K$36=1),ROUNDDOWN(AVERAGE(M370,M372),0),IF($I$33=1,ROUNDDOWN(AVERAGE(M371,M373),0),ROUNDDOWN(AVERAGE(M370:M373),0)))</f>
        <v>0</v>
      </c>
    </row>
    <row r="371" spans="2:32" x14ac:dyDescent="0.25">
      <c r="B371" s="1128"/>
      <c r="C371" s="1128"/>
      <c r="D371" s="1128" t="s">
        <v>42</v>
      </c>
      <c r="E371" s="1528">
        <f>E362</f>
        <v>0</v>
      </c>
      <c r="F371" s="325">
        <v>0</v>
      </c>
      <c r="L371" s="1379" t="s">
        <v>2023</v>
      </c>
      <c r="M371" s="28">
        <f>'FORMULAIRE PGA Eaux pluviales '!L636</f>
        <v>0</v>
      </c>
      <c r="N371" s="1531"/>
      <c r="O371" s="1531"/>
    </row>
    <row r="372" spans="2:32" x14ac:dyDescent="0.25">
      <c r="B372" s="1128" t="s">
        <v>2023</v>
      </c>
      <c r="C372" s="1128"/>
      <c r="D372" s="1128" t="s">
        <v>42</v>
      </c>
      <c r="E372" s="1528">
        <f>F362</f>
        <v>0</v>
      </c>
      <c r="F372" s="325">
        <v>0</v>
      </c>
      <c r="K372" s="1379" t="str">
        <f>'FORMULAIRE PGA Eaux pluviales '!C627</f>
        <v>Coûts prévus pour l'acquisition et la disposition</v>
      </c>
      <c r="L372" s="1379" t="s">
        <v>2022</v>
      </c>
      <c r="M372" s="325">
        <f>'FORMULAIRE PGA Eaux pluviales '!G627</f>
        <v>0</v>
      </c>
    </row>
    <row r="373" spans="2:32" x14ac:dyDescent="0.25">
      <c r="B373" s="1128"/>
      <c r="C373" s="1128"/>
      <c r="D373" s="1128" t="s">
        <v>1899</v>
      </c>
      <c r="E373" s="1528">
        <f>F365</f>
        <v>0</v>
      </c>
      <c r="F373" s="1528">
        <f>F366</f>
        <v>0</v>
      </c>
      <c r="L373" s="1379" t="s">
        <v>2023</v>
      </c>
      <c r="M373" s="28">
        <f>'FORMULAIRE PGA Eaux pluviales '!L627</f>
        <v>0</v>
      </c>
    </row>
    <row r="374" spans="2:32" x14ac:dyDescent="0.25">
      <c r="B374" s="1128"/>
      <c r="C374" s="1128"/>
      <c r="D374" s="1128"/>
      <c r="E374" s="1528"/>
      <c r="F374" s="1528"/>
    </row>
    <row r="375" spans="2:32" x14ac:dyDescent="0.25">
      <c r="B375" s="1128"/>
      <c r="C375" s="1128"/>
      <c r="D375" s="1128"/>
      <c r="E375" s="1528"/>
      <c r="F375" s="1528"/>
      <c r="H375" s="55"/>
      <c r="I375" s="55"/>
      <c r="J375" s="55"/>
      <c r="K375" s="55"/>
      <c r="L375" s="55"/>
      <c r="M375" s="55"/>
      <c r="N375" s="55"/>
      <c r="O375" s="55"/>
    </row>
    <row r="376" spans="2:32" ht="16.5" thickBot="1" x14ac:dyDescent="0.3">
      <c r="B376" s="1128"/>
      <c r="C376" s="1128"/>
      <c r="D376" s="1128"/>
      <c r="E376" s="1528"/>
      <c r="F376" s="1528"/>
      <c r="H376" s="55"/>
      <c r="I376" s="3267" t="s">
        <v>1905</v>
      </c>
      <c r="J376" s="3267"/>
      <c r="K376" s="3267"/>
      <c r="L376" s="3267"/>
      <c r="M376" s="3267"/>
      <c r="N376" s="3267"/>
      <c r="O376" s="55"/>
    </row>
    <row r="377" spans="2:32" ht="170.25" customHeight="1" x14ac:dyDescent="0.25">
      <c r="H377" s="55"/>
      <c r="I377" s="55"/>
      <c r="J377" s="55"/>
      <c r="K377" s="55"/>
      <c r="L377" s="55"/>
      <c r="M377" s="55"/>
      <c r="N377" s="55"/>
      <c r="O377" s="55"/>
      <c r="P377" s="55"/>
    </row>
    <row r="378" spans="2:32" ht="20.25" customHeight="1" thickBot="1" x14ac:dyDescent="0.3">
      <c r="H378" s="55"/>
      <c r="I378" s="2558"/>
      <c r="J378" s="2553" t="str">
        <f>IF(('FORMULAIRE PGA Eaux pluviales '!$H$120='MENU DÉROULANT'!$C$54),"(Aucun actif)","")</f>
        <v/>
      </c>
      <c r="K378" s="2493" t="s">
        <v>2022</v>
      </c>
      <c r="L378" s="1532" t="s">
        <v>2023</v>
      </c>
      <c r="M378" s="1072"/>
      <c r="N378" s="2553" t="str">
        <f>IF(('FORMULAIRE PGA Eaux pluviales '!M73='MENU DÉROULANT'!C63),"(Non applicable)",IF(('FORMULAIRE PGA Eaux pluviales '!$H$81='MENU DÉROULANT'!$F$54),"(Aucun actif)",""))</f>
        <v/>
      </c>
      <c r="P378" s="55"/>
    </row>
    <row r="379" spans="2:32" x14ac:dyDescent="0.25">
      <c r="I379" s="55"/>
      <c r="J379" s="55"/>
      <c r="K379" s="55"/>
      <c r="L379" s="55"/>
      <c r="M379" s="55"/>
      <c r="N379" s="55"/>
      <c r="O379" s="55"/>
      <c r="P379" s="55"/>
    </row>
    <row r="380" spans="2:32" x14ac:dyDescent="0.25">
      <c r="P380" s="1048"/>
    </row>
    <row r="381" spans="2:32" x14ac:dyDescent="0.25">
      <c r="P381" s="1048"/>
    </row>
    <row r="382" spans="2:32" x14ac:dyDescent="0.25">
      <c r="P382" s="1048"/>
    </row>
    <row r="383" spans="2:32" ht="31.5" customHeight="1" x14ac:dyDescent="0.35">
      <c r="B383" s="1283" t="s">
        <v>1644</v>
      </c>
      <c r="C383" s="1283"/>
      <c r="D383" s="1284"/>
      <c r="E383" s="1284"/>
      <c r="F383" s="1284"/>
      <c r="G383" s="1284"/>
      <c r="H383" s="1284"/>
      <c r="I383" s="1284"/>
      <c r="J383" s="1284"/>
      <c r="K383" s="1284"/>
      <c r="L383" s="1284"/>
      <c r="M383" s="1284"/>
      <c r="N383" s="1284"/>
      <c r="O383" s="1284"/>
      <c r="P383" s="1284"/>
      <c r="Q383" s="1284"/>
      <c r="R383" s="1284"/>
      <c r="S383" s="1284"/>
      <c r="T383" s="1284"/>
      <c r="U383" s="1284"/>
      <c r="V383" s="1284"/>
      <c r="W383" s="1284"/>
      <c r="X383" s="1284"/>
      <c r="Y383" s="1284"/>
      <c r="Z383" s="1284"/>
      <c r="AA383" s="1284"/>
      <c r="AB383" s="1284"/>
      <c r="AC383" s="1284"/>
      <c r="AD383" s="1284"/>
      <c r="AE383" s="1284"/>
      <c r="AF383" s="1284"/>
    </row>
    <row r="385" spans="2:32" ht="18.75" x14ac:dyDescent="0.3">
      <c r="B385" s="1285" t="s">
        <v>1813</v>
      </c>
      <c r="C385" s="1285"/>
      <c r="D385" s="1285"/>
      <c r="E385" s="1285"/>
      <c r="F385" s="1285"/>
      <c r="G385" s="1285"/>
      <c r="H385" s="1285"/>
      <c r="I385" s="1285"/>
      <c r="J385" s="1285"/>
      <c r="K385" s="1285"/>
      <c r="L385" s="1285"/>
      <c r="M385" s="1285"/>
      <c r="N385" s="1285"/>
      <c r="O385" s="1285"/>
      <c r="P385" s="1285"/>
      <c r="Q385" s="1285"/>
      <c r="R385" s="1285"/>
      <c r="S385" s="1285"/>
      <c r="T385" s="1285"/>
      <c r="U385" s="1285"/>
      <c r="V385" s="1285"/>
      <c r="W385" s="1285"/>
      <c r="X385" s="1285"/>
      <c r="Y385" s="1285"/>
      <c r="Z385" s="1285"/>
      <c r="AA385" s="1285"/>
      <c r="AB385" s="1285"/>
      <c r="AC385" s="1285"/>
      <c r="AD385" s="1285"/>
      <c r="AE385" s="1285"/>
      <c r="AF385" s="1285"/>
    </row>
    <row r="386" spans="2:32" ht="18.75" x14ac:dyDescent="0.3">
      <c r="B386" s="1294"/>
      <c r="C386" s="1294"/>
      <c r="D386" s="1533"/>
      <c r="E386" s="1533"/>
      <c r="F386" s="1533"/>
      <c r="G386" s="1533"/>
      <c r="H386" s="1533"/>
      <c r="I386" s="1533"/>
      <c r="J386" s="1533"/>
      <c r="K386" s="1534"/>
      <c r="L386" s="1534"/>
      <c r="M386" s="1534"/>
      <c r="N386" s="1534"/>
      <c r="O386" s="1534"/>
      <c r="P386" s="1534"/>
      <c r="Q386" s="1534"/>
      <c r="R386" s="1534"/>
      <c r="S386" s="1534"/>
      <c r="T386" s="1534"/>
      <c r="U386" s="1534"/>
      <c r="V386" s="1534"/>
      <c r="W386" s="1534"/>
      <c r="X386" s="1294"/>
      <c r="Y386" s="1294"/>
      <c r="Z386" s="1294"/>
      <c r="AA386" s="1294"/>
      <c r="AB386" s="1294"/>
      <c r="AC386" s="1294"/>
      <c r="AD386" s="1294"/>
      <c r="AE386" s="1294"/>
      <c r="AF386" s="1294"/>
    </row>
    <row r="387" spans="2:32" ht="28.5" customHeight="1" x14ac:dyDescent="0.3">
      <c r="B387" s="1294"/>
      <c r="C387" s="1294"/>
      <c r="D387" s="1535" t="s">
        <v>1911</v>
      </c>
      <c r="E387" s="1536"/>
      <c r="F387" s="1536"/>
      <c r="G387" s="1536"/>
      <c r="H387" s="1536"/>
      <c r="I387" s="1536"/>
      <c r="J387" s="1536"/>
      <c r="K387" s="1536"/>
      <c r="L387" s="1536"/>
      <c r="M387" s="1534"/>
      <c r="N387" s="1534"/>
      <c r="O387" s="1534"/>
      <c r="P387" s="1534"/>
      <c r="Q387" s="1534"/>
      <c r="R387" s="1534"/>
      <c r="S387" s="1534"/>
      <c r="T387" s="1534"/>
      <c r="U387" s="1534"/>
      <c r="V387" s="1534"/>
      <c r="W387" s="1534"/>
      <c r="X387" s="1294"/>
      <c r="Y387" s="1294"/>
      <c r="Z387" s="1294"/>
      <c r="AA387" s="1294"/>
      <c r="AB387" s="1294"/>
      <c r="AC387" s="1294"/>
      <c r="AD387" s="1294"/>
      <c r="AE387" s="1294"/>
      <c r="AF387" s="1294"/>
    </row>
    <row r="388" spans="2:32" ht="18.75" x14ac:dyDescent="0.3">
      <c r="B388" s="1537"/>
      <c r="C388" s="1294"/>
      <c r="D388" s="1534"/>
      <c r="E388" s="1206" t="s">
        <v>26</v>
      </c>
      <c r="F388" s="1206" t="s">
        <v>1909</v>
      </c>
      <c r="G388" s="1206" t="s">
        <v>28</v>
      </c>
      <c r="H388" s="1206" t="s">
        <v>27</v>
      </c>
      <c r="I388" s="1206" t="s">
        <v>30</v>
      </c>
      <c r="J388" s="1206" t="s">
        <v>31</v>
      </c>
      <c r="K388" s="1206" t="s">
        <v>25</v>
      </c>
      <c r="L388" s="1206" t="s">
        <v>1907</v>
      </c>
      <c r="T388" s="1534"/>
      <c r="U388" s="1534"/>
      <c r="V388" s="1534"/>
      <c r="W388" s="1534"/>
      <c r="X388" s="1294"/>
      <c r="Y388" s="1294"/>
      <c r="Z388" s="1294"/>
      <c r="AA388" s="1294"/>
      <c r="AB388" s="1294"/>
      <c r="AC388" s="1294"/>
      <c r="AD388" s="1294"/>
      <c r="AE388" s="1294"/>
      <c r="AF388" s="1294"/>
    </row>
    <row r="389" spans="2:32" ht="18.75" x14ac:dyDescent="0.3">
      <c r="B389" s="1538" t="s">
        <v>2041</v>
      </c>
      <c r="C389" s="1294"/>
      <c r="D389" s="1539" t="s">
        <v>1914</v>
      </c>
      <c r="E389" s="1206">
        <f>COUNTIFS(('FORMULAIRE PGA Eaux pluviales '!H671:H672),'MENU DÉROULANT'!$C$111)</f>
        <v>0</v>
      </c>
      <c r="F389" s="1206">
        <f>COUNTIFS(('FORMULAIRE PGA Eaux pluviales '!H675:H676),'MENU DÉROULANT'!$C$111)</f>
        <v>0</v>
      </c>
      <c r="G389" s="1206">
        <f>COUNTIFS(('FORMULAIRE PGA Eaux pluviales '!H679),'MENU DÉROULANT'!$C$111)</f>
        <v>0</v>
      </c>
      <c r="H389" s="1206">
        <f>COUNTIFS(('FORMULAIRE PGA Eaux pluviales '!H682),'MENU DÉROULANT'!$C$111)</f>
        <v>0</v>
      </c>
      <c r="I389" s="1206">
        <f>COUNTIFS(('FORMULAIRE PGA Eaux pluviales '!H685:H686),'MENU DÉROULANT'!$C$111)</f>
        <v>0</v>
      </c>
      <c r="J389" s="1206">
        <f>COUNTIFS(('FORMULAIRE PGA Eaux pluviales '!H689:H690),'MENU DÉROULANT'!$C$111)</f>
        <v>0</v>
      </c>
      <c r="K389" s="1206">
        <f>COUNTIFS(('FORMULAIRE PGA Eaux pluviales '!H693:H695),'MENU DÉROULANT'!$C$111)</f>
        <v>0</v>
      </c>
      <c r="L389" s="1206" t="s">
        <v>1910</v>
      </c>
      <c r="O389" s="1440" t="s">
        <v>179</v>
      </c>
      <c r="P389" s="1429" t="s">
        <v>2166</v>
      </c>
      <c r="T389" s="1534"/>
      <c r="U389" s="1534"/>
      <c r="V389" s="1534"/>
      <c r="W389" s="1534"/>
      <c r="X389" s="1294"/>
      <c r="Y389" s="1294"/>
      <c r="Z389" s="1294"/>
      <c r="AA389" s="1294"/>
      <c r="AB389" s="1294"/>
      <c r="AC389" s="1294"/>
      <c r="AD389" s="1294"/>
      <c r="AE389" s="1294"/>
      <c r="AF389" s="1294"/>
    </row>
    <row r="390" spans="2:32" ht="18.75" x14ac:dyDescent="0.3">
      <c r="B390" s="1537"/>
      <c r="C390" s="1294"/>
      <c r="D390" s="1539" t="s">
        <v>1915</v>
      </c>
      <c r="E390" s="1206">
        <f>'FORMULAIRE PGA Eaux pluviales '!H670</f>
        <v>0</v>
      </c>
      <c r="F390" s="1206">
        <f>'FORMULAIRE PGA Eaux pluviales '!H674</f>
        <v>0</v>
      </c>
      <c r="G390" s="1206">
        <f>'FORMULAIRE PGA Eaux pluviales '!H678</f>
        <v>0</v>
      </c>
      <c r="H390" s="1206">
        <f>'FORMULAIRE PGA Eaux pluviales '!H681</f>
        <v>0</v>
      </c>
      <c r="I390" s="1206">
        <f>'FORMULAIRE PGA Eaux pluviales '!H684</f>
        <v>0</v>
      </c>
      <c r="J390" s="1206">
        <f>'FORMULAIRE PGA Eaux pluviales '!H688</f>
        <v>0</v>
      </c>
      <c r="K390" s="1206">
        <f>'FORMULAIRE PGA Eaux pluviales '!H692</f>
        <v>0</v>
      </c>
      <c r="L390" s="1206">
        <f>'FORMULAIRE PGA Eaux pluviales '!H700</f>
        <v>0</v>
      </c>
      <c r="T390" s="1534"/>
      <c r="U390" s="1534"/>
      <c r="V390" s="1534"/>
      <c r="W390" s="1534"/>
      <c r="X390" s="1294"/>
      <c r="Y390" s="1294"/>
      <c r="Z390" s="1294"/>
      <c r="AA390" s="1294"/>
      <c r="AB390" s="1294"/>
      <c r="AC390" s="1294"/>
      <c r="AD390" s="1294"/>
      <c r="AE390" s="1294"/>
      <c r="AF390" s="1294"/>
    </row>
    <row r="391" spans="2:32" ht="18.75" x14ac:dyDescent="0.3">
      <c r="B391" s="1538" t="s">
        <v>2042</v>
      </c>
      <c r="C391" s="1294"/>
      <c r="D391" s="1539" t="s">
        <v>1914</v>
      </c>
      <c r="E391" s="1206">
        <f>COUNTIFS(('FORMULAIRE PGA Eaux pluviales '!M671:M672),'MENU DÉROULANT'!$C$111)</f>
        <v>0</v>
      </c>
      <c r="F391" s="1206">
        <f>COUNTIFS(('FORMULAIRE PGA Eaux pluviales '!M675:M676),'MENU DÉROULANT'!$C$111)</f>
        <v>0</v>
      </c>
      <c r="G391" s="1206">
        <f>COUNTIFS(('FORMULAIRE PGA Eaux pluviales '!M679),'MENU DÉROULANT'!$C$111)</f>
        <v>0</v>
      </c>
      <c r="H391" s="1206">
        <f>COUNTIFS(('FORMULAIRE PGA Eaux pluviales '!M682),'MENU DÉROULANT'!$C$111)</f>
        <v>0</v>
      </c>
      <c r="I391" s="1206">
        <f>COUNTIFS(('FORMULAIRE PGA Eaux pluviales '!M685:M686),'MENU DÉROULANT'!$C$111)</f>
        <v>0</v>
      </c>
      <c r="J391" s="1206">
        <f>COUNTIFS(('FORMULAIRE PGA Eaux pluviales '!M689:M690),'MENU DÉROULANT'!$C$111)</f>
        <v>0</v>
      </c>
      <c r="K391" s="1206">
        <f>COUNTIFS(('FORMULAIRE PGA Eaux pluviales '!M693:M695),'MENU DÉROULANT'!$C$111)</f>
        <v>0</v>
      </c>
      <c r="L391" s="1206" t="s">
        <v>1910</v>
      </c>
      <c r="T391" s="1534"/>
      <c r="U391" s="1534"/>
      <c r="V391" s="1534"/>
      <c r="W391" s="1534"/>
      <c r="X391" s="1294"/>
      <c r="Y391" s="1294"/>
      <c r="Z391" s="1294"/>
      <c r="AA391" s="1294"/>
      <c r="AB391" s="1294"/>
      <c r="AC391" s="1294"/>
      <c r="AD391" s="1294"/>
      <c r="AE391" s="1294"/>
      <c r="AF391" s="1294"/>
    </row>
    <row r="392" spans="2:32" ht="18.75" x14ac:dyDescent="0.3">
      <c r="B392" s="1537"/>
      <c r="C392" s="1294"/>
      <c r="D392" s="1539" t="s">
        <v>1915</v>
      </c>
      <c r="E392" s="1206">
        <f>'FORMULAIRE PGA Eaux pluviales '!M670</f>
        <v>0</v>
      </c>
      <c r="F392" s="1206">
        <f>'FORMULAIRE PGA Eaux pluviales '!M674</f>
        <v>0</v>
      </c>
      <c r="G392" s="1206">
        <f>'FORMULAIRE PGA Eaux pluviales '!M678</f>
        <v>0</v>
      </c>
      <c r="H392" s="1206">
        <f>'FORMULAIRE PGA Eaux pluviales '!M681</f>
        <v>0</v>
      </c>
      <c r="I392" s="1206">
        <f>'FORMULAIRE PGA Eaux pluviales '!M684</f>
        <v>0</v>
      </c>
      <c r="J392" s="1206">
        <f>'FORMULAIRE PGA Eaux pluviales '!M688</f>
        <v>0</v>
      </c>
      <c r="K392" s="1206">
        <f>'FORMULAIRE PGA Eaux pluviales '!M692</f>
        <v>0</v>
      </c>
      <c r="L392" s="1206">
        <f>'FORMULAIRE PGA Eaux pluviales '!M700</f>
        <v>0</v>
      </c>
      <c r="T392" s="1534"/>
      <c r="U392" s="1534"/>
      <c r="V392" s="1534"/>
      <c r="W392" s="1534"/>
      <c r="X392" s="1294"/>
      <c r="Y392" s="1294"/>
      <c r="Z392" s="1294"/>
      <c r="AA392" s="1294"/>
      <c r="AB392" s="1294"/>
      <c r="AC392" s="1294"/>
      <c r="AD392" s="1294"/>
      <c r="AE392" s="1294"/>
      <c r="AF392" s="1294"/>
    </row>
    <row r="393" spans="2:32" ht="18.75" x14ac:dyDescent="0.3">
      <c r="B393" s="1537"/>
      <c r="C393" s="1294"/>
      <c r="D393" s="1534"/>
      <c r="E393" s="1534"/>
      <c r="F393" s="1534"/>
      <c r="G393" s="1534"/>
      <c r="H393" s="1534"/>
      <c r="I393" s="1534"/>
      <c r="J393" s="1534"/>
      <c r="K393" s="1534"/>
      <c r="L393" s="1534"/>
      <c r="M393" s="2621"/>
      <c r="N393" s="2622" t="s">
        <v>2167</v>
      </c>
      <c r="O393" s="2621"/>
      <c r="P393" s="1534"/>
      <c r="Q393" s="1534"/>
      <c r="R393" s="1534"/>
      <c r="S393" s="1534"/>
      <c r="T393" s="1534"/>
      <c r="U393" s="1534"/>
      <c r="V393" s="1534"/>
      <c r="W393" s="1534"/>
      <c r="X393" s="1294"/>
      <c r="Y393" s="1294"/>
      <c r="Z393" s="1294"/>
      <c r="AA393" s="1294"/>
      <c r="AB393" s="1294"/>
      <c r="AC393" s="1294"/>
      <c r="AD393" s="1294"/>
      <c r="AE393" s="1294"/>
      <c r="AF393" s="1294"/>
    </row>
    <row r="394" spans="2:32" ht="18.75" x14ac:dyDescent="0.3">
      <c r="B394" s="1537"/>
      <c r="C394" s="1294"/>
      <c r="D394" s="1540" t="s">
        <v>2077</v>
      </c>
      <c r="E394" s="1541" t="str">
        <f>'FORMULAIRE PGA Eaux pluviales '!G700</f>
        <v/>
      </c>
      <c r="F394" s="1534" t="s">
        <v>1908</v>
      </c>
      <c r="G394" s="1534"/>
      <c r="H394" s="1534"/>
      <c r="I394" s="1534"/>
      <c r="J394" s="1534"/>
      <c r="K394" s="1534"/>
      <c r="L394" s="1534"/>
      <c r="M394" s="2275" t="s">
        <v>1879</v>
      </c>
      <c r="N394" s="2620">
        <f>IF(OR($I$41=1,$K$36=1),L390,IF($I$33=1,L392,ROUNDDOWN(AVERAGE(L390,L392),0)))</f>
        <v>0</v>
      </c>
      <c r="O394" s="1534"/>
      <c r="P394" s="1534"/>
      <c r="Q394" s="1534"/>
      <c r="R394" s="1534"/>
      <c r="S394" s="1534"/>
      <c r="T394" s="1534"/>
      <c r="U394" s="1534"/>
      <c r="V394" s="1534"/>
      <c r="W394" s="1534"/>
      <c r="X394" s="1294"/>
      <c r="Y394" s="1294"/>
      <c r="Z394" s="1294"/>
      <c r="AA394" s="1294"/>
      <c r="AB394" s="1294"/>
      <c r="AC394" s="1294"/>
      <c r="AD394" s="1294"/>
      <c r="AE394" s="1294"/>
      <c r="AF394" s="1294"/>
    </row>
    <row r="395" spans="2:32" ht="18.75" x14ac:dyDescent="0.3">
      <c r="B395" s="1294"/>
      <c r="C395" s="1294"/>
      <c r="D395" s="1542" t="s">
        <v>2078</v>
      </c>
      <c r="E395" s="1543" t="str">
        <f>'FORMULAIRE PGA Eaux pluviales '!L700</f>
        <v/>
      </c>
      <c r="F395" s="1534" t="s">
        <v>1908</v>
      </c>
      <c r="G395" s="1294"/>
      <c r="H395" s="1294"/>
      <c r="I395" s="1294"/>
      <c r="J395" s="1294"/>
      <c r="K395" s="1294"/>
      <c r="L395" s="1294"/>
      <c r="M395" s="2275" t="s">
        <v>122</v>
      </c>
      <c r="N395" s="920" t="e">
        <f>IF(OR($I$41=1,$K$36=1),E394,IF($I$33=1,E395,ROUNDDOWN(AVERAGE(E394,E395),0)))</f>
        <v>#DIV/0!</v>
      </c>
      <c r="O395" s="1294"/>
      <c r="P395" s="1294"/>
      <c r="Q395" s="1294"/>
      <c r="R395" s="1294"/>
      <c r="S395" s="1294"/>
      <c r="T395" s="1294"/>
      <c r="U395" s="1294"/>
      <c r="V395" s="1294"/>
      <c r="W395" s="1294"/>
      <c r="X395" s="1294"/>
      <c r="Y395" s="1294"/>
      <c r="Z395" s="1294"/>
      <c r="AA395" s="1294"/>
      <c r="AB395" s="1294"/>
      <c r="AC395" s="1294"/>
      <c r="AD395" s="1294"/>
      <c r="AE395" s="1294"/>
      <c r="AF395" s="1294"/>
    </row>
    <row r="396" spans="2:32" ht="18.75" x14ac:dyDescent="0.3">
      <c r="B396" s="1294"/>
      <c r="C396" s="1294"/>
      <c r="D396" s="1294"/>
      <c r="E396" s="1544"/>
      <c r="F396" s="1294"/>
      <c r="G396" s="1294"/>
      <c r="H396" s="1294"/>
      <c r="I396" s="1294"/>
      <c r="J396" s="1294"/>
      <c r="K396" s="1294"/>
      <c r="L396" s="1294"/>
      <c r="O396" s="1294"/>
      <c r="P396" s="1294"/>
      <c r="Q396" s="1294"/>
      <c r="R396" s="1294"/>
      <c r="S396" s="1294"/>
      <c r="T396" s="1294"/>
      <c r="U396" s="1294"/>
      <c r="V396" s="1294"/>
      <c r="W396" s="1294"/>
      <c r="X396" s="1294"/>
      <c r="Y396" s="1294"/>
      <c r="Z396" s="1294"/>
      <c r="AA396" s="1294"/>
      <c r="AB396" s="1294"/>
      <c r="AC396" s="1294"/>
      <c r="AD396" s="1294"/>
      <c r="AE396" s="1294"/>
      <c r="AF396" s="1294"/>
    </row>
    <row r="397" spans="2:32" ht="18.75" x14ac:dyDescent="0.3">
      <c r="B397" s="1285" t="s">
        <v>1814</v>
      </c>
      <c r="C397" s="1285"/>
      <c r="D397" s="1285"/>
      <c r="E397" s="1285"/>
      <c r="F397" s="1285"/>
      <c r="G397" s="1285"/>
      <c r="H397" s="1285"/>
      <c r="I397" s="1285"/>
      <c r="J397" s="1285"/>
      <c r="K397" s="1285"/>
      <c r="L397" s="1285"/>
      <c r="M397" s="1285"/>
      <c r="N397" s="1285"/>
      <c r="O397" s="1285"/>
      <c r="P397" s="1285"/>
      <c r="Q397" s="1285"/>
      <c r="R397" s="1285"/>
      <c r="S397" s="1285"/>
      <c r="T397" s="1285"/>
      <c r="U397" s="1285"/>
      <c r="V397" s="1285"/>
      <c r="W397" s="1285"/>
      <c r="X397" s="1285"/>
      <c r="Y397" s="1285"/>
      <c r="Z397" s="1285"/>
      <c r="AA397" s="1285"/>
      <c r="AB397" s="1285"/>
      <c r="AC397" s="1285"/>
      <c r="AD397" s="1285"/>
      <c r="AE397" s="1285"/>
      <c r="AF397" s="1285"/>
    </row>
    <row r="398" spans="2:32" ht="18.75" x14ac:dyDescent="0.3">
      <c r="B398" s="1294"/>
      <c r="C398" s="1294"/>
      <c r="D398" s="1294"/>
      <c r="E398" s="1294"/>
      <c r="F398" s="1294"/>
      <c r="G398" s="1294"/>
      <c r="H398" s="1294"/>
      <c r="I398" s="1294"/>
      <c r="J398" s="1294"/>
      <c r="K398" s="1294"/>
      <c r="L398" s="1294"/>
      <c r="M398" s="1294"/>
      <c r="N398" s="1294"/>
      <c r="O398" s="1294"/>
      <c r="P398" s="1294"/>
      <c r="Q398" s="1294"/>
      <c r="R398" s="1294"/>
      <c r="S398" s="1294"/>
      <c r="T398" s="1294"/>
      <c r="U398" s="1294"/>
      <c r="V398" s="1294"/>
      <c r="W398" s="1294"/>
      <c r="X398" s="1294"/>
      <c r="Y398" s="1294"/>
      <c r="Z398" s="1294"/>
      <c r="AA398" s="1294"/>
      <c r="AB398" s="1294"/>
      <c r="AC398" s="1294"/>
      <c r="AD398" s="1294"/>
      <c r="AE398" s="1294"/>
      <c r="AF398" s="1294"/>
    </row>
    <row r="399" spans="2:32" ht="28.5" customHeight="1" x14ac:dyDescent="0.3">
      <c r="B399" s="1294"/>
      <c r="C399" s="1294"/>
      <c r="D399" s="1535" t="s">
        <v>1911</v>
      </c>
      <c r="E399" s="1536"/>
      <c r="F399" s="1536"/>
      <c r="G399" s="1536"/>
      <c r="H399" s="1536"/>
      <c r="I399" s="1536"/>
      <c r="J399" s="1536"/>
      <c r="K399" s="1536"/>
      <c r="L399" s="1536"/>
      <c r="M399" s="1534"/>
      <c r="N399" s="1534"/>
      <c r="O399" s="1534"/>
      <c r="P399" s="1534"/>
      <c r="Q399" s="1534"/>
      <c r="R399" s="1534"/>
      <c r="S399" s="1534"/>
      <c r="T399" s="1534"/>
      <c r="U399" s="1534"/>
      <c r="V399" s="1534"/>
      <c r="W399" s="1534"/>
      <c r="X399" s="1294"/>
      <c r="Y399" s="1294"/>
      <c r="Z399" s="1294"/>
      <c r="AA399" s="1294"/>
      <c r="AB399" s="1294"/>
      <c r="AC399" s="1294"/>
      <c r="AD399" s="1294"/>
      <c r="AE399" s="1294"/>
      <c r="AF399" s="1294"/>
    </row>
    <row r="400" spans="2:32" ht="18.75" x14ac:dyDescent="0.3">
      <c r="B400" s="1537"/>
      <c r="C400" s="1294"/>
      <c r="D400" s="1534"/>
      <c r="E400" s="1206" t="s">
        <v>26</v>
      </c>
      <c r="F400" s="1206" t="s">
        <v>1909</v>
      </c>
      <c r="G400" s="1206" t="s">
        <v>28</v>
      </c>
      <c r="H400" s="1206" t="s">
        <v>27</v>
      </c>
      <c r="I400" s="1206" t="s">
        <v>30</v>
      </c>
      <c r="J400" s="1206" t="s">
        <v>31</v>
      </c>
      <c r="K400" s="1206" t="s">
        <v>25</v>
      </c>
      <c r="L400" s="1206" t="s">
        <v>1907</v>
      </c>
      <c r="T400" s="1534"/>
      <c r="U400" s="1534"/>
      <c r="V400" s="1534"/>
      <c r="W400" s="1534"/>
      <c r="X400" s="1294"/>
      <c r="Y400" s="1294"/>
      <c r="Z400" s="1294"/>
      <c r="AA400" s="1294"/>
      <c r="AB400" s="1294"/>
      <c r="AC400" s="1294"/>
      <c r="AD400" s="1294"/>
      <c r="AE400" s="1294"/>
      <c r="AF400" s="1294"/>
    </row>
    <row r="401" spans="2:32" ht="18.75" x14ac:dyDescent="0.3">
      <c r="B401" s="1538" t="s">
        <v>2041</v>
      </c>
      <c r="C401" s="1294"/>
      <c r="D401" s="1539" t="s">
        <v>1914</v>
      </c>
      <c r="E401" s="1206">
        <f>COUNTIFS(('FORMULAIRE PGA Eaux pluviales '!H605:H610),'MENU DÉROULANT'!$C$111)</f>
        <v>0</v>
      </c>
      <c r="F401" s="1206">
        <f>COUNTIFS(('FORMULAIRE PGA Eaux pluviales '!H613:H614),'MENU DÉROULANT'!$C$111)</f>
        <v>0</v>
      </c>
      <c r="G401" s="1206">
        <f>COUNTIFS(('FORMULAIRE PGA Eaux pluviales '!H617:H618),'MENU DÉROULANT'!$C$111)</f>
        <v>0</v>
      </c>
      <c r="H401" s="1206">
        <f>COUNTIFS(('FORMULAIRE PGA Eaux pluviales '!H621:H622),'MENU DÉROULANT'!$C$111)</f>
        <v>0</v>
      </c>
      <c r="I401" s="1206">
        <f>COUNTIFS(('FORMULAIRE PGA Eaux pluviales '!H625:H627),'MENU DÉROULANT'!$C$111)</f>
        <v>0</v>
      </c>
      <c r="J401" s="1206">
        <f>COUNTIFS(('FORMULAIRE PGA Eaux pluviales '!H630:H631),'MENU DÉROULANT'!$C$111)</f>
        <v>0</v>
      </c>
      <c r="K401" s="1206">
        <f>COUNTIFS(('FORMULAIRE PGA Eaux pluviales '!H634:H636),'MENU DÉROULANT'!$C$111)</f>
        <v>0</v>
      </c>
      <c r="L401" s="1206" t="s">
        <v>1910</v>
      </c>
      <c r="T401" s="1534"/>
      <c r="U401" s="1534"/>
      <c r="V401" s="1534"/>
      <c r="W401" s="1534"/>
      <c r="X401" s="1294"/>
      <c r="Y401" s="1294"/>
      <c r="Z401" s="1294"/>
      <c r="AA401" s="1294"/>
      <c r="AB401" s="1294"/>
      <c r="AC401" s="1294"/>
      <c r="AD401" s="1294"/>
      <c r="AE401" s="1294"/>
      <c r="AF401" s="1294"/>
    </row>
    <row r="402" spans="2:32" ht="18.75" x14ac:dyDescent="0.3">
      <c r="B402" s="1537"/>
      <c r="C402" s="1294"/>
      <c r="D402" s="1539" t="s">
        <v>1915</v>
      </c>
      <c r="E402" s="1206">
        <f>'FORMULAIRE PGA Eaux pluviales '!H604</f>
        <v>0</v>
      </c>
      <c r="F402" s="1206">
        <f>'FORMULAIRE PGA Eaux pluviales '!H612</f>
        <v>0</v>
      </c>
      <c r="G402" s="1206">
        <f>'FORMULAIRE PGA Eaux pluviales '!H616</f>
        <v>0</v>
      </c>
      <c r="H402" s="1206">
        <f>'FORMULAIRE PGA Eaux pluviales '!H620</f>
        <v>0</v>
      </c>
      <c r="I402" s="1206">
        <f>'FORMULAIRE PGA Eaux pluviales '!H624</f>
        <v>0</v>
      </c>
      <c r="J402" s="1206">
        <f>'FORMULAIRE PGA Eaux pluviales '!H629</f>
        <v>0</v>
      </c>
      <c r="K402" s="1206">
        <f>'FORMULAIRE PGA Eaux pluviales '!H633</f>
        <v>0</v>
      </c>
      <c r="L402" s="1206">
        <f>'FORMULAIRE PGA Eaux pluviales '!H638</f>
        <v>0</v>
      </c>
      <c r="T402" s="1534"/>
      <c r="U402" s="1534"/>
      <c r="V402" s="1534"/>
      <c r="W402" s="1534"/>
      <c r="X402" s="1294"/>
      <c r="Y402" s="1294"/>
      <c r="Z402" s="1294"/>
      <c r="AA402" s="1294"/>
      <c r="AB402" s="1294"/>
      <c r="AC402" s="1294"/>
      <c r="AD402" s="1294"/>
      <c r="AE402" s="1294"/>
      <c r="AF402" s="1294"/>
    </row>
    <row r="403" spans="2:32" ht="18.75" x14ac:dyDescent="0.3">
      <c r="B403" s="1538" t="s">
        <v>2042</v>
      </c>
      <c r="C403" s="1294"/>
      <c r="D403" s="1539" t="s">
        <v>1914</v>
      </c>
      <c r="E403" s="1206">
        <f>COUNTIFS(('FORMULAIRE PGA Eaux pluviales '!M605:M610),'MENU DÉROULANT'!$C$111)</f>
        <v>0</v>
      </c>
      <c r="F403" s="1206">
        <f>COUNTIFS(('FORMULAIRE PGA Eaux pluviales '!M613:M614),'MENU DÉROULANT'!$C$111)</f>
        <v>0</v>
      </c>
      <c r="G403" s="1206">
        <f>COUNTIFS(('FORMULAIRE PGA Eaux pluviales '!M617:M618),'MENU DÉROULANT'!$C$111)</f>
        <v>0</v>
      </c>
      <c r="H403" s="1206">
        <f>COUNTIFS(('FORMULAIRE PGA Eaux pluviales '!M621:M622),'MENU DÉROULANT'!$C$111)</f>
        <v>0</v>
      </c>
      <c r="I403" s="1206">
        <f>COUNTIFS(('FORMULAIRE PGA Eaux pluviales '!M625:M627),'MENU DÉROULANT'!$C$111)</f>
        <v>0</v>
      </c>
      <c r="J403" s="1206">
        <f>COUNTIFS(('FORMULAIRE PGA Eaux pluviales '!M630:M631),'MENU DÉROULANT'!$C$111)</f>
        <v>0</v>
      </c>
      <c r="K403" s="1206">
        <f>COUNTIFS(('FORMULAIRE PGA Eaux pluviales '!M634:M636),'MENU DÉROULANT'!$C$111)</f>
        <v>0</v>
      </c>
      <c r="L403" s="1206" t="s">
        <v>1910</v>
      </c>
      <c r="T403" s="23"/>
      <c r="U403" s="1534"/>
      <c r="V403" s="1534"/>
      <c r="W403" s="1534"/>
      <c r="X403" s="1294"/>
      <c r="Y403" s="1294"/>
      <c r="Z403" s="1294"/>
      <c r="AA403" s="1294"/>
      <c r="AB403" s="1294"/>
      <c r="AC403" s="1294"/>
      <c r="AD403" s="1294"/>
      <c r="AE403" s="1294"/>
      <c r="AF403" s="1294"/>
    </row>
    <row r="404" spans="2:32" ht="18.75" x14ac:dyDescent="0.3">
      <c r="B404" s="1537"/>
      <c r="C404" s="1294"/>
      <c r="D404" s="1539" t="s">
        <v>1915</v>
      </c>
      <c r="E404" s="1206">
        <f>'FORMULAIRE PGA Eaux pluviales '!M604</f>
        <v>0</v>
      </c>
      <c r="F404" s="1206">
        <f>'FORMULAIRE PGA Eaux pluviales '!M612</f>
        <v>0</v>
      </c>
      <c r="G404" s="1206">
        <f>'FORMULAIRE PGA Eaux pluviales '!M616</f>
        <v>0</v>
      </c>
      <c r="H404" s="1206">
        <f>'FORMULAIRE PGA Eaux pluviales '!M620</f>
        <v>0</v>
      </c>
      <c r="I404" s="1206">
        <f>'FORMULAIRE PGA Eaux pluviales '!M624</f>
        <v>0</v>
      </c>
      <c r="J404" s="1206">
        <f>'FORMULAIRE PGA Eaux pluviales '!M629</f>
        <v>0</v>
      </c>
      <c r="K404" s="1206">
        <f>'FORMULAIRE PGA Eaux pluviales '!M633</f>
        <v>0</v>
      </c>
      <c r="L404" s="1206">
        <f>'FORMULAIRE PGA Eaux pluviales '!M638</f>
        <v>0</v>
      </c>
      <c r="T404" s="1534"/>
      <c r="U404" s="1534"/>
      <c r="V404" s="1534"/>
      <c r="W404" s="1534"/>
      <c r="X404" s="1294"/>
      <c r="Y404" s="1294"/>
      <c r="Z404" s="1294"/>
      <c r="AA404" s="1294"/>
      <c r="AB404" s="1294"/>
      <c r="AC404" s="1294"/>
      <c r="AD404" s="1294"/>
      <c r="AE404" s="1294"/>
      <c r="AF404" s="1294"/>
    </row>
    <row r="405" spans="2:32" ht="18.75" x14ac:dyDescent="0.3">
      <c r="B405" s="1537"/>
      <c r="C405" s="1294"/>
      <c r="D405" s="1534"/>
      <c r="E405" s="1534"/>
      <c r="F405" s="1534"/>
      <c r="G405" s="1534"/>
      <c r="H405" s="1534"/>
      <c r="I405" s="1534"/>
      <c r="J405" s="1534"/>
      <c r="K405" s="1534"/>
      <c r="L405" s="1534"/>
      <c r="M405" s="2621"/>
      <c r="N405" s="2622" t="s">
        <v>2167</v>
      </c>
      <c r="O405" s="2621"/>
      <c r="P405" s="1534"/>
      <c r="Q405" s="1534"/>
      <c r="R405" s="1534"/>
      <c r="S405" s="1534"/>
      <c r="T405" s="1534"/>
      <c r="U405" s="1534"/>
      <c r="V405" s="1534"/>
      <c r="W405" s="1534"/>
      <c r="X405" s="1294"/>
      <c r="Y405" s="1294"/>
      <c r="Z405" s="1294"/>
      <c r="AA405" s="1294"/>
      <c r="AB405" s="1294"/>
      <c r="AC405" s="1294"/>
      <c r="AD405" s="1294"/>
      <c r="AE405" s="1294"/>
      <c r="AF405" s="1294"/>
    </row>
    <row r="406" spans="2:32" ht="18.75" x14ac:dyDescent="0.3">
      <c r="B406" s="1537"/>
      <c r="C406" s="1294"/>
      <c r="D406" s="1540" t="s">
        <v>2077</v>
      </c>
      <c r="E406" s="1541" t="str">
        <f>'FORMULAIRE PGA Eaux pluviales '!G638</f>
        <v/>
      </c>
      <c r="F406" s="1534" t="s">
        <v>1908</v>
      </c>
      <c r="G406" s="1534"/>
      <c r="H406" s="1534"/>
      <c r="I406" s="1534"/>
      <c r="J406" s="1534"/>
      <c r="K406" s="1534"/>
      <c r="L406" s="1534"/>
      <c r="M406" s="2275" t="s">
        <v>1879</v>
      </c>
      <c r="N406" s="2620">
        <f>IF(OR($I$41=1,$K$36=1),L402,IF($I$33=1,L404,ROUNDDOWN(AVERAGE(L402,L404),0)))</f>
        <v>0</v>
      </c>
      <c r="O406" s="1534"/>
      <c r="P406" s="1534"/>
      <c r="Q406" s="1534"/>
      <c r="R406" s="1534"/>
      <c r="S406" s="1534"/>
      <c r="T406" s="1534"/>
      <c r="U406" s="1534"/>
      <c r="V406" s="1534"/>
      <c r="W406" s="1534"/>
      <c r="X406" s="1294"/>
      <c r="Y406" s="1294"/>
      <c r="Z406" s="1294"/>
      <c r="AA406" s="1294"/>
      <c r="AB406" s="1294"/>
      <c r="AC406" s="1294"/>
      <c r="AD406" s="1294"/>
      <c r="AE406" s="1294"/>
      <c r="AF406" s="1294"/>
    </row>
    <row r="407" spans="2:32" ht="18.75" x14ac:dyDescent="0.3">
      <c r="B407" s="1294"/>
      <c r="C407" s="1294"/>
      <c r="D407" s="1542" t="s">
        <v>2078</v>
      </c>
      <c r="E407" s="1543" t="str">
        <f>'FORMULAIRE PGA Eaux pluviales '!L638</f>
        <v/>
      </c>
      <c r="F407" s="1534" t="s">
        <v>1908</v>
      </c>
      <c r="G407" s="1294"/>
      <c r="H407" s="1294"/>
      <c r="I407" s="1294"/>
      <c r="J407" s="1294"/>
      <c r="K407" s="1294"/>
      <c r="L407" s="1294"/>
      <c r="M407" s="2275" t="s">
        <v>122</v>
      </c>
      <c r="N407" s="920" t="e">
        <f>IF(OR($I$41=1,$K$36=1),E406,IF($I$33=1,E407,ROUNDDOWN(AVERAGE(E406,E407),0)))</f>
        <v>#DIV/0!</v>
      </c>
      <c r="O407" s="1294"/>
      <c r="P407" s="1294"/>
      <c r="Q407" s="1294"/>
      <c r="R407" s="1294"/>
      <c r="S407" s="1294"/>
      <c r="T407" s="1294"/>
      <c r="U407" s="1294"/>
      <c r="V407" s="1294"/>
      <c r="W407" s="1294"/>
      <c r="X407" s="1294"/>
      <c r="Y407" s="1294"/>
      <c r="Z407" s="1294"/>
      <c r="AA407" s="1294"/>
      <c r="AB407" s="1294"/>
      <c r="AC407" s="1294"/>
      <c r="AD407" s="1294"/>
      <c r="AE407" s="1294"/>
      <c r="AF407" s="1294"/>
    </row>
  </sheetData>
  <sheetProtection password="C518" sheet="1" objects="1" scenarios="1"/>
  <mergeCells count="81">
    <mergeCell ref="K25:K26"/>
    <mergeCell ref="L26:N26"/>
    <mergeCell ref="K21:K22"/>
    <mergeCell ref="P21:P23"/>
    <mergeCell ref="L22:N22"/>
    <mergeCell ref="K23:K24"/>
    <mergeCell ref="L24:N24"/>
    <mergeCell ref="E44:H45"/>
    <mergeCell ref="K27:K28"/>
    <mergeCell ref="E28:F29"/>
    <mergeCell ref="L28:N28"/>
    <mergeCell ref="K29:K30"/>
    <mergeCell ref="L30:N30"/>
    <mergeCell ref="K31:K32"/>
    <mergeCell ref="L32:N32"/>
    <mergeCell ref="E34:H35"/>
    <mergeCell ref="E36:H37"/>
    <mergeCell ref="E38:H39"/>
    <mergeCell ref="E42:H43"/>
    <mergeCell ref="E54:H54"/>
    <mergeCell ref="I54:L54"/>
    <mergeCell ref="I91:J91"/>
    <mergeCell ref="K91:L91"/>
    <mergeCell ref="L115:N115"/>
    <mergeCell ref="M61:M62"/>
    <mergeCell ref="N61:N64"/>
    <mergeCell ref="M63:M64"/>
    <mergeCell ref="E46:H47"/>
    <mergeCell ref="E49:F49"/>
    <mergeCell ref="E52:H52"/>
    <mergeCell ref="I52:L52"/>
    <mergeCell ref="E53:H53"/>
    <mergeCell ref="I53:L53"/>
    <mergeCell ref="L146:N146"/>
    <mergeCell ref="K189:L189"/>
    <mergeCell ref="H190:H191"/>
    <mergeCell ref="O190:O191"/>
    <mergeCell ref="Q119:Q120"/>
    <mergeCell ref="Q161:Q162"/>
    <mergeCell ref="Q121:Q122"/>
    <mergeCell ref="Q123:Q124"/>
    <mergeCell ref="Q125:Q126"/>
    <mergeCell ref="Q127:Q128"/>
    <mergeCell ref="Q129:Q130"/>
    <mergeCell ref="Q151:Q152"/>
    <mergeCell ref="Q153:Q154"/>
    <mergeCell ref="Q155:Q156"/>
    <mergeCell ref="Q157:Q158"/>
    <mergeCell ref="Q159:Q160"/>
    <mergeCell ref="H192:H198"/>
    <mergeCell ref="O192:O198"/>
    <mergeCell ref="V303:W303"/>
    <mergeCell ref="O265:P265"/>
    <mergeCell ref="X303:Y303"/>
    <mergeCell ref="L293:N293"/>
    <mergeCell ref="H265:I265"/>
    <mergeCell ref="J265:K265"/>
    <mergeCell ref="H203:H209"/>
    <mergeCell ref="X298:Y298"/>
    <mergeCell ref="S299:U299"/>
    <mergeCell ref="V299:W299"/>
    <mergeCell ref="X299:Y299"/>
    <mergeCell ref="S301:T301"/>
    <mergeCell ref="V301:W301"/>
    <mergeCell ref="X301:Y301"/>
    <mergeCell ref="D200:E200"/>
    <mergeCell ref="I376:N376"/>
    <mergeCell ref="S303:U303"/>
    <mergeCell ref="I352:N352"/>
    <mergeCell ref="D221:E221"/>
    <mergeCell ref="F248:G248"/>
    <mergeCell ref="H248:I248"/>
    <mergeCell ref="J248:K248"/>
    <mergeCell ref="M248:N248"/>
    <mergeCell ref="F265:G265"/>
    <mergeCell ref="M265:N265"/>
    <mergeCell ref="O248:P248"/>
    <mergeCell ref="H201:H202"/>
    <mergeCell ref="K201:K209"/>
    <mergeCell ref="I328:N328"/>
    <mergeCell ref="U298:W298"/>
  </mergeCells>
  <conditionalFormatting sqref="S120:V120">
    <cfRule type="expression" dxfId="180" priority="18">
      <formula>OR($I$110=1,$I$110=4)</formula>
    </cfRule>
  </conditionalFormatting>
  <conditionalFormatting sqref="S122:V122">
    <cfRule type="expression" dxfId="179" priority="19">
      <formula>OR($I$111=1,$I$111=4)</formula>
    </cfRule>
  </conditionalFormatting>
  <conditionalFormatting sqref="S124:V124">
    <cfRule type="expression" dxfId="178" priority="17">
      <formula>OR($I$112=1,$I$112=4)</formula>
    </cfRule>
  </conditionalFormatting>
  <conditionalFormatting sqref="S126:V126">
    <cfRule type="expression" dxfId="177" priority="16">
      <formula>OR($I$113=1,$I$113=4)</formula>
    </cfRule>
  </conditionalFormatting>
  <conditionalFormatting sqref="S128:V128">
    <cfRule type="expression" dxfId="176" priority="15">
      <formula>OR($I$114=1,$I$114=4)</formula>
    </cfRule>
  </conditionalFormatting>
  <conditionalFormatting sqref="S130:V130">
    <cfRule type="expression" dxfId="175" priority="14">
      <formula>OR($I$115=1,$I$115=4)</formula>
    </cfRule>
  </conditionalFormatting>
  <conditionalFormatting sqref="W120:Z120">
    <cfRule type="expression" dxfId="174" priority="13">
      <formula>OR($I$110=2,$I$110=4)</formula>
    </cfRule>
  </conditionalFormatting>
  <conditionalFormatting sqref="W122:Z122">
    <cfRule type="expression" dxfId="173" priority="12">
      <formula>OR($I$111=2,$I$111=4)</formula>
    </cfRule>
  </conditionalFormatting>
  <conditionalFormatting sqref="W124:Z124">
    <cfRule type="expression" dxfId="172" priority="11">
      <formula>OR($I$112=2,$I$112=4)</formula>
    </cfRule>
  </conditionalFormatting>
  <conditionalFormatting sqref="W126:Z126">
    <cfRule type="expression" dxfId="171" priority="10">
      <formula>OR($I$113=2,$I$113=4)</formula>
    </cfRule>
  </conditionalFormatting>
  <conditionalFormatting sqref="W128:Z128">
    <cfRule type="expression" dxfId="170" priority="9">
      <formula>OR($I$114=2,$I$114=4)</formula>
    </cfRule>
  </conditionalFormatting>
  <conditionalFormatting sqref="W130:Z130">
    <cfRule type="expression" dxfId="169" priority="8">
      <formula>OR($I$115=2,$I$115=4)</formula>
    </cfRule>
  </conditionalFormatting>
  <conditionalFormatting sqref="Z299 Z301 Z303">
    <cfRule type="iconSet" priority="1">
      <iconSet iconSet="5Rating" showValue="0">
        <cfvo type="percent" val="0"/>
        <cfvo type="num" val="1" gte="0"/>
        <cfvo type="num" val="2" gte="0"/>
        <cfvo type="num" val="3" gte="0"/>
        <cfvo type="num" val="4" gte="0"/>
      </iconSet>
    </cfRule>
  </conditionalFormatting>
  <conditionalFormatting sqref="AA120:AD120">
    <cfRule type="expression" dxfId="168" priority="2">
      <formula>OR($I$110=3,$I$110=4)</formula>
    </cfRule>
  </conditionalFormatting>
  <conditionalFormatting sqref="AA122:AD122">
    <cfRule type="expression" dxfId="167" priority="3">
      <formula>OR($I$111=3,$I$111=4)</formula>
    </cfRule>
  </conditionalFormatting>
  <conditionalFormatting sqref="AA124:AD124">
    <cfRule type="expression" dxfId="166" priority="4">
      <formula>OR($I$112=3,$I$112=4)</formula>
    </cfRule>
  </conditionalFormatting>
  <conditionalFormatting sqref="AA126:AD126">
    <cfRule type="expression" dxfId="165" priority="5">
      <formula>OR($I$113=3,$I$113=4)</formula>
    </cfRule>
  </conditionalFormatting>
  <conditionalFormatting sqref="AA128:AD128">
    <cfRule type="expression" dxfId="164" priority="6">
      <formula>OR($I$114=3,$I$114=4)</formula>
    </cfRule>
  </conditionalFormatting>
  <conditionalFormatting sqref="AA130:AD130">
    <cfRule type="expression" dxfId="163" priority="7">
      <formula>OR($I$115=3,$I$115=4)</formula>
    </cfRule>
  </conditionalFormatting>
  <pageMargins left="0.70866141732283472" right="0.70866141732283472" top="0.62992125984251968" bottom="0.59055118110236227" header="0.31496062992125984" footer="0.31496062992125984"/>
  <pageSetup paperSize="3" scale="50" fitToHeight="0" orientation="landscape" r:id="rId1"/>
  <headerFooter>
    <oddFooter xml:space="preserve">&amp;L&amp;10Version 1.0    © CERIU, 2023&amp;R&amp;10Onglet CALCULS eaux pluviales
Page &amp;P de &amp;N </oddFooter>
  </headerFooter>
  <rowBreaks count="7" manualBreakCount="7">
    <brk id="57" max="16383" man="1"/>
    <brk id="104" max="16383" man="1"/>
    <brk id="170" max="16383" man="1"/>
    <brk id="230" max="16383" man="1"/>
    <brk id="274" max="16383" man="1"/>
    <brk id="307" max="16383" man="1"/>
    <brk id="357" max="16383" man="1"/>
  </rowBreaks>
  <ignoredErrors>
    <ignoredError sqref="L25" formula="1"/>
  </ignoredError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24988A"/>
    <pageSetUpPr fitToPage="1"/>
  </sheetPr>
  <dimension ref="B1:CE144"/>
  <sheetViews>
    <sheetView showGridLines="0" zoomScaleNormal="100" workbookViewId="0"/>
  </sheetViews>
  <sheetFormatPr baseColWidth="10" defaultRowHeight="15" x14ac:dyDescent="0.25"/>
  <cols>
    <col min="1" max="1" width="4.5703125" style="28" customWidth="1"/>
    <col min="2" max="2" width="2.7109375" style="28" customWidth="1"/>
    <col min="3" max="3" width="2" style="28" customWidth="1"/>
    <col min="4" max="4" width="18.140625" style="28" customWidth="1"/>
    <col min="5" max="5" width="4.7109375" style="28" customWidth="1"/>
    <col min="6" max="6" width="3" style="28" customWidth="1"/>
    <col min="7" max="7" width="0.7109375" style="28" customWidth="1"/>
    <col min="8" max="8" width="3" style="28" customWidth="1"/>
    <col min="9" max="9" width="0.7109375" style="28" customWidth="1"/>
    <col min="10" max="10" width="3" style="28" customWidth="1"/>
    <col min="11" max="11" width="0.7109375" style="28" customWidth="1"/>
    <col min="12" max="12" width="3" style="28" customWidth="1"/>
    <col min="13" max="13" width="0.7109375" style="28" customWidth="1"/>
    <col min="14" max="14" width="3" style="28" customWidth="1"/>
    <col min="15" max="15" width="0.7109375" style="28" customWidth="1"/>
    <col min="16" max="16" width="3" style="28" customWidth="1"/>
    <col min="17" max="17" width="0.7109375" style="28" customWidth="1"/>
    <col min="18" max="18" width="3" style="28" customWidth="1"/>
    <col min="19" max="19" width="2.28515625" style="28" customWidth="1"/>
    <col min="20" max="20" width="3" style="28" customWidth="1"/>
    <col min="21" max="21" width="6.42578125" style="28" customWidth="1"/>
    <col min="22" max="22" width="3" style="28" customWidth="1"/>
    <col min="23" max="23" width="0.7109375" style="28" customWidth="1"/>
    <col min="24" max="24" width="3" style="28" customWidth="1"/>
    <col min="25" max="25" width="0.7109375" style="28" customWidth="1"/>
    <col min="26" max="26" width="3" style="28" customWidth="1"/>
    <col min="27" max="27" width="0.7109375" style="28" customWidth="1"/>
    <col min="28" max="28" width="3" style="28" customWidth="1"/>
    <col min="29" max="29" width="0.7109375" style="28" customWidth="1"/>
    <col min="30" max="30" width="3" style="28" customWidth="1"/>
    <col min="31" max="31" width="0.85546875" style="28" customWidth="1"/>
    <col min="32" max="32" width="3" style="28" customWidth="1"/>
    <col min="33" max="33" width="0.7109375" style="28" customWidth="1"/>
    <col min="34" max="34" width="3" style="28" customWidth="1"/>
    <col min="35" max="35" width="2.28515625" style="28" customWidth="1"/>
    <col min="36" max="36" width="3" style="28" customWidth="1"/>
    <col min="37" max="37" width="1.28515625" style="28" customWidth="1"/>
    <col min="38" max="38" width="2.7109375" style="28" customWidth="1"/>
    <col min="39" max="39" width="1.85546875" style="28" customWidth="1"/>
    <col min="40" max="40" width="2.140625" style="28" customWidth="1"/>
    <col min="41" max="41" width="1.7109375" style="28" customWidth="1"/>
    <col min="42" max="42" width="2" style="28" customWidth="1"/>
    <col min="43" max="43" width="2.7109375" style="28" customWidth="1"/>
    <col min="44" max="44" width="5.140625" style="28" customWidth="1"/>
    <col min="45" max="45" width="7" style="28" customWidth="1"/>
    <col min="46" max="46" width="6.5703125" style="28" customWidth="1"/>
    <col min="47" max="47" width="4.7109375" style="28" customWidth="1"/>
    <col min="48" max="48" width="3" style="28" customWidth="1"/>
    <col min="49" max="49" width="0.7109375" style="28" customWidth="1"/>
    <col min="50" max="50" width="3" style="28" customWidth="1"/>
    <col min="51" max="51" width="0.7109375" style="28" customWidth="1"/>
    <col min="52" max="52" width="3" style="28" customWidth="1"/>
    <col min="53" max="53" width="0.7109375" style="28" customWidth="1"/>
    <col min="54" max="54" width="3" style="28" customWidth="1"/>
    <col min="55" max="55" width="0.7109375" style="28" customWidth="1"/>
    <col min="56" max="56" width="3" style="28" customWidth="1"/>
    <col min="57" max="57" width="0.7109375" style="28" customWidth="1"/>
    <col min="58" max="58" width="3" style="28" customWidth="1"/>
    <col min="59" max="59" width="0.7109375" style="28" customWidth="1"/>
    <col min="60" max="60" width="3" style="28" customWidth="1"/>
    <col min="61" max="61" width="2.28515625" style="28" customWidth="1"/>
    <col min="62" max="62" width="3" style="28" customWidth="1"/>
    <col min="63" max="63" width="5.42578125" style="28" customWidth="1"/>
    <col min="64" max="64" width="3" style="28" customWidth="1"/>
    <col min="65" max="65" width="0.7109375" style="28" customWidth="1"/>
    <col min="66" max="66" width="3" style="28" customWidth="1"/>
    <col min="67" max="67" width="0.7109375" style="28" customWidth="1"/>
    <col min="68" max="68" width="3" style="28" customWidth="1"/>
    <col min="69" max="69" width="0.7109375" style="28" customWidth="1"/>
    <col min="70" max="70" width="3" style="28" customWidth="1"/>
    <col min="71" max="71" width="0.7109375" style="28" customWidth="1"/>
    <col min="72" max="72" width="3" style="28" customWidth="1"/>
    <col min="73" max="73" width="0.85546875" style="28" customWidth="1"/>
    <col min="74" max="74" width="3" style="28" customWidth="1"/>
    <col min="75" max="75" width="0.7109375" style="28" customWidth="1"/>
    <col min="76" max="76" width="3" style="28" customWidth="1"/>
    <col min="77" max="77" width="2.28515625" style="28" customWidth="1"/>
    <col min="78" max="78" width="3" style="28" customWidth="1"/>
    <col min="79" max="79" width="1.28515625" style="28" customWidth="1"/>
    <col min="80" max="80" width="3.28515625" style="28" customWidth="1"/>
    <col min="81" max="81" width="2.85546875" style="28" customWidth="1"/>
    <col min="82" max="82" width="2.5703125" style="28" customWidth="1"/>
    <col min="83" max="83" width="1.7109375" style="28" customWidth="1"/>
    <col min="84" max="84" width="65.28515625" style="28" customWidth="1"/>
    <col min="85" max="16384" width="11.42578125" style="28"/>
  </cols>
  <sheetData>
    <row r="1" spans="2:83" ht="7.5" customHeight="1" x14ac:dyDescent="0.25"/>
    <row r="2" spans="2:83" ht="26.25" customHeight="1" x14ac:dyDescent="0.35">
      <c r="B2" s="2101"/>
      <c r="C2" s="2102" t="str">
        <f>CONCATENATE('CALCULS Eaux pluviales'!D8,'CALCULS Eaux pluviales'!G8)</f>
        <v xml:space="preserve">MUNICIPALITÉ:  </v>
      </c>
      <c r="D2" s="2103"/>
      <c r="E2" s="2104"/>
      <c r="F2" s="2104"/>
      <c r="G2" s="2104"/>
      <c r="H2" s="2104"/>
      <c r="I2" s="2104"/>
      <c r="J2" s="2104"/>
      <c r="K2" s="2104"/>
      <c r="L2" s="2104"/>
      <c r="M2" s="2104"/>
      <c r="N2" s="2104"/>
      <c r="O2" s="2104"/>
      <c r="P2" s="2104"/>
      <c r="Q2" s="2104"/>
      <c r="R2" s="2104"/>
      <c r="S2" s="2104"/>
      <c r="T2" s="2104"/>
      <c r="U2" s="2104"/>
      <c r="V2" s="2105"/>
      <c r="W2" s="2105"/>
      <c r="X2" s="2105"/>
      <c r="Y2" s="2105"/>
      <c r="Z2" s="3445" t="s">
        <v>11</v>
      </c>
      <c r="AA2" s="3445"/>
      <c r="AB2" s="3445"/>
      <c r="AC2" s="3445"/>
      <c r="AD2" s="3445"/>
      <c r="AE2" s="3445"/>
      <c r="AF2" s="3445"/>
      <c r="AG2" s="3445"/>
      <c r="AH2" s="3445"/>
      <c r="AI2" s="3445"/>
      <c r="AJ2" s="3445"/>
      <c r="AK2" s="3445"/>
      <c r="AL2" s="3445"/>
      <c r="AM2" s="3445"/>
      <c r="AN2" s="3445"/>
      <c r="AO2" s="3445"/>
      <c r="AP2" s="3445"/>
      <c r="AQ2" s="3445"/>
      <c r="AR2" s="3445"/>
      <c r="AS2" s="3445"/>
      <c r="AT2" s="3445"/>
      <c r="AU2" s="3445"/>
      <c r="AV2" s="3445"/>
      <c r="AW2" s="3445"/>
      <c r="AX2" s="3445"/>
      <c r="AY2" s="2105"/>
      <c r="AZ2" s="2105"/>
      <c r="BA2" s="2105"/>
      <c r="BB2" s="2105"/>
      <c r="BC2" s="2105"/>
      <c r="BD2" s="2105"/>
      <c r="BE2" s="2105"/>
      <c r="BF2" s="2105"/>
      <c r="BG2" s="2105"/>
      <c r="BH2" s="2105"/>
      <c r="BI2" s="2105"/>
      <c r="BJ2" s="2105"/>
      <c r="BK2" s="2105"/>
      <c r="BL2" s="2105"/>
      <c r="BM2" s="2105"/>
      <c r="BN2" s="2105"/>
      <c r="BO2" s="2105"/>
      <c r="BP2" s="2105"/>
      <c r="BQ2" s="2105"/>
      <c r="BR2" s="2105"/>
      <c r="BS2" s="2105"/>
      <c r="BT2" s="2105"/>
      <c r="BU2" s="2105"/>
      <c r="BV2" s="2105"/>
      <c r="BW2" s="2105"/>
      <c r="BX2" s="2105"/>
      <c r="BY2" s="2104"/>
      <c r="BZ2" s="2104"/>
      <c r="CA2" s="2105"/>
      <c r="CB2" s="2105"/>
      <c r="CC2" s="2106" t="str">
        <f>CONCATENATE('CALCULS Eaux pluviales'!D11,'CALCULS Eaux pluviales'!G11)</f>
        <v xml:space="preserve">ANNÉE DU PGA:  </v>
      </c>
      <c r="CD2" s="2105"/>
      <c r="CE2" s="33"/>
    </row>
    <row r="3" spans="2:83" ht="15.75" customHeight="1" x14ac:dyDescent="0.35">
      <c r="B3" s="2101"/>
      <c r="C3" s="2107" t="str">
        <f>CONCATENATE('CALCULS Eaux pluviales'!D10,'CALCULS Eaux pluviales'!G10)</f>
        <v xml:space="preserve">RÉGION ADMINISTRATIVE:  </v>
      </c>
      <c r="D3" s="2103"/>
      <c r="E3" s="2104"/>
      <c r="F3" s="2104"/>
      <c r="G3" s="2104"/>
      <c r="H3" s="2104"/>
      <c r="I3" s="2104"/>
      <c r="J3" s="2104"/>
      <c r="K3" s="2104"/>
      <c r="L3" s="2104"/>
      <c r="M3" s="2104"/>
      <c r="N3" s="2104"/>
      <c r="O3" s="2104"/>
      <c r="P3" s="2104"/>
      <c r="Q3" s="2104"/>
      <c r="R3" s="2104"/>
      <c r="S3" s="2104"/>
      <c r="T3" s="2104"/>
      <c r="U3" s="2104"/>
      <c r="V3" s="2105"/>
      <c r="W3" s="2105"/>
      <c r="X3" s="2105"/>
      <c r="Y3" s="2105"/>
      <c r="Z3" s="3446" t="s">
        <v>2010</v>
      </c>
      <c r="AA3" s="3446"/>
      <c r="AB3" s="3446"/>
      <c r="AC3" s="3446"/>
      <c r="AD3" s="3446"/>
      <c r="AE3" s="3446"/>
      <c r="AF3" s="3446"/>
      <c r="AG3" s="3446"/>
      <c r="AH3" s="3446"/>
      <c r="AI3" s="3446"/>
      <c r="AJ3" s="3446"/>
      <c r="AK3" s="3446"/>
      <c r="AL3" s="3446"/>
      <c r="AM3" s="3446"/>
      <c r="AN3" s="3446"/>
      <c r="AO3" s="3446"/>
      <c r="AP3" s="3446"/>
      <c r="AQ3" s="3446"/>
      <c r="AR3" s="3446"/>
      <c r="AS3" s="3446"/>
      <c r="AT3" s="3446"/>
      <c r="AU3" s="3446"/>
      <c r="AV3" s="3446"/>
      <c r="AW3" s="3446"/>
      <c r="AX3" s="3446"/>
      <c r="AY3" s="2105"/>
      <c r="AZ3" s="2105"/>
      <c r="BA3" s="2105"/>
      <c r="BB3" s="2105"/>
      <c r="BC3" s="2105"/>
      <c r="BD3" s="2105"/>
      <c r="BE3" s="2105"/>
      <c r="BF3" s="2105"/>
      <c r="BG3" s="2105"/>
      <c r="BH3" s="2105"/>
      <c r="BI3" s="2105"/>
      <c r="BJ3" s="2105"/>
      <c r="BK3" s="2105"/>
      <c r="BL3" s="2105"/>
      <c r="BM3" s="2105"/>
      <c r="BN3" s="2105"/>
      <c r="BO3" s="2105"/>
      <c r="BP3" s="2105"/>
      <c r="BQ3" s="2105"/>
      <c r="BR3" s="2105"/>
      <c r="BS3" s="2105"/>
      <c r="BT3" s="2105"/>
      <c r="BU3" s="2105"/>
      <c r="BV3" s="2105"/>
      <c r="BW3" s="2105"/>
      <c r="BX3" s="2105"/>
      <c r="BY3" s="2104"/>
      <c r="BZ3" s="2104"/>
      <c r="CA3" s="2105"/>
      <c r="CB3" s="2105"/>
      <c r="CC3" s="2108" t="str">
        <f>CONCATENATE('CALCULS Eaux pluviales'!G12,'CALCULS Eaux pluviales'!H12,'CALCULS Eaux pluviales'!I12)</f>
        <v>( PGA remis par la municipalité)</v>
      </c>
      <c r="CD3" s="2105"/>
      <c r="CE3" s="33"/>
    </row>
    <row r="4" spans="2:83" ht="22.5" customHeight="1" x14ac:dyDescent="0.25">
      <c r="B4" s="2101"/>
      <c r="C4" s="2107" t="str">
        <f>CONCATENATE('CALCULS Eaux pluviales'!D9,'CALCULS Eaux pluviales'!G9)</f>
        <v xml:space="preserve">CODE GÉOGRAPHIQUE:  </v>
      </c>
      <c r="D4" s="2103"/>
      <c r="E4" s="2104"/>
      <c r="F4" s="2104"/>
      <c r="G4" s="2104"/>
      <c r="H4" s="2104"/>
      <c r="I4" s="2104"/>
      <c r="J4" s="2104"/>
      <c r="K4" s="2104"/>
      <c r="L4" s="2104"/>
      <c r="M4" s="2104"/>
      <c r="N4" s="2104"/>
      <c r="O4" s="2104"/>
      <c r="P4" s="2104"/>
      <c r="Q4" s="2104"/>
      <c r="R4" s="2104"/>
      <c r="S4" s="2104"/>
      <c r="T4" s="2104"/>
      <c r="U4" s="2104"/>
      <c r="V4" s="2109"/>
      <c r="W4" s="2109"/>
      <c r="X4" s="2109"/>
      <c r="Y4" s="2109"/>
      <c r="Z4" s="3446"/>
      <c r="AA4" s="3446"/>
      <c r="AB4" s="3446"/>
      <c r="AC4" s="3446"/>
      <c r="AD4" s="3446"/>
      <c r="AE4" s="3446"/>
      <c r="AF4" s="3446"/>
      <c r="AG4" s="3446"/>
      <c r="AH4" s="3446"/>
      <c r="AI4" s="3446"/>
      <c r="AJ4" s="3446"/>
      <c r="AK4" s="3446"/>
      <c r="AL4" s="3446"/>
      <c r="AM4" s="3446"/>
      <c r="AN4" s="3446"/>
      <c r="AO4" s="3446"/>
      <c r="AP4" s="3446"/>
      <c r="AQ4" s="3446"/>
      <c r="AR4" s="3446"/>
      <c r="AS4" s="3446"/>
      <c r="AT4" s="3446"/>
      <c r="AU4" s="3446"/>
      <c r="AV4" s="3446"/>
      <c r="AW4" s="3446"/>
      <c r="AX4" s="3446"/>
      <c r="AY4" s="2109"/>
      <c r="AZ4" s="2109"/>
      <c r="BA4" s="2109"/>
      <c r="BB4" s="2109"/>
      <c r="BC4" s="2109"/>
      <c r="BD4" s="2109"/>
      <c r="BE4" s="2109"/>
      <c r="BF4" s="2109"/>
      <c r="BG4" s="2109"/>
      <c r="BH4" s="2109"/>
      <c r="BI4" s="2109"/>
      <c r="BJ4" s="2109"/>
      <c r="BK4" s="2109"/>
      <c r="BL4" s="2109"/>
      <c r="BM4" s="2109"/>
      <c r="BN4" s="2109"/>
      <c r="BO4" s="2109"/>
      <c r="BP4" s="2109"/>
      <c r="BQ4" s="2109"/>
      <c r="BR4" s="2109"/>
      <c r="BS4" s="2109"/>
      <c r="BT4" s="2109"/>
      <c r="BU4" s="2109"/>
      <c r="BV4" s="2109"/>
      <c r="BW4" s="2109"/>
      <c r="BX4" s="2110" t="str">
        <f>'CALCULS Eaux pluviales'!D13</f>
        <v>DATE DE COMPLÉTION DU FORMULAIRE:</v>
      </c>
      <c r="BY4" s="3447" t="str">
        <f>'CALCULS Eaux pluviales'!G13</f>
        <v/>
      </c>
      <c r="BZ4" s="3447"/>
      <c r="CA4" s="3447"/>
      <c r="CB4" s="3447"/>
      <c r="CC4" s="3447"/>
      <c r="CD4" s="2109"/>
      <c r="CE4" s="35"/>
    </row>
    <row r="5" spans="2:83" ht="6.75" customHeight="1" x14ac:dyDescent="0.25">
      <c r="B5" s="2101"/>
      <c r="C5" s="2107"/>
      <c r="D5" s="2103"/>
      <c r="E5" s="2104"/>
      <c r="F5" s="2104"/>
      <c r="G5" s="2104"/>
      <c r="H5" s="2104"/>
      <c r="I5" s="2104"/>
      <c r="J5" s="2104"/>
      <c r="K5" s="2104"/>
      <c r="L5" s="2104"/>
      <c r="M5" s="2104"/>
      <c r="N5" s="2104"/>
      <c r="O5" s="2104"/>
      <c r="P5" s="2104"/>
      <c r="Q5" s="2104"/>
      <c r="R5" s="2104"/>
      <c r="S5" s="2104"/>
      <c r="T5" s="2104"/>
      <c r="U5" s="2104"/>
      <c r="V5" s="2109"/>
      <c r="W5" s="2109"/>
      <c r="X5" s="2109"/>
      <c r="Y5" s="2109"/>
      <c r="Z5" s="2111"/>
      <c r="AA5" s="2111"/>
      <c r="AB5" s="2111"/>
      <c r="AC5" s="2111"/>
      <c r="AD5" s="2111"/>
      <c r="AE5" s="2111"/>
      <c r="AF5" s="2111"/>
      <c r="AG5" s="2111"/>
      <c r="AH5" s="2111"/>
      <c r="AI5" s="2111"/>
      <c r="AJ5" s="2111"/>
      <c r="AK5" s="2111"/>
      <c r="AL5" s="2111"/>
      <c r="AM5" s="2111"/>
      <c r="AN5" s="2111"/>
      <c r="AO5" s="2111"/>
      <c r="AP5" s="2111"/>
      <c r="AQ5" s="2111"/>
      <c r="AR5" s="2111"/>
      <c r="AS5" s="2111"/>
      <c r="AT5" s="2111"/>
      <c r="AU5" s="2111"/>
      <c r="AV5" s="2111"/>
      <c r="AW5" s="2111"/>
      <c r="AX5" s="2111"/>
      <c r="AY5" s="2109"/>
      <c r="AZ5" s="2109"/>
      <c r="BA5" s="2109"/>
      <c r="BB5" s="2109"/>
      <c r="BC5" s="2109"/>
      <c r="BD5" s="2109"/>
      <c r="BE5" s="2109"/>
      <c r="BF5" s="2109"/>
      <c r="BG5" s="2109"/>
      <c r="BH5" s="2109"/>
      <c r="BI5" s="2109"/>
      <c r="BJ5" s="2109"/>
      <c r="BK5" s="2109"/>
      <c r="BL5" s="2109"/>
      <c r="BM5" s="2109"/>
      <c r="BN5" s="2109"/>
      <c r="BO5" s="2109"/>
      <c r="BP5" s="2109"/>
      <c r="BQ5" s="2109"/>
      <c r="BR5" s="2109"/>
      <c r="BS5" s="2109"/>
      <c r="BT5" s="2109"/>
      <c r="BU5" s="2109"/>
      <c r="BV5" s="2109"/>
      <c r="BW5" s="2109"/>
      <c r="BX5" s="2109"/>
      <c r="BY5" s="2104"/>
      <c r="BZ5" s="2104"/>
      <c r="CA5" s="2109"/>
      <c r="CB5" s="2109"/>
      <c r="CC5" s="2110"/>
      <c r="CD5" s="2109"/>
      <c r="CE5" s="35"/>
    </row>
    <row r="6" spans="2:83" ht="18" customHeight="1" x14ac:dyDescent="0.25">
      <c r="B6" s="2532" t="str">
        <f>IF((IDENTIFICATION!G93='MENU DÉROULANT'!C10),"Note: La municipalité a fait le choix d'intégrer sa gestion des infrastructures d'eaux pluviales avec celles des eaux usées. Le présent sommaire ne contient donc pas de résultats.","")</f>
        <v/>
      </c>
      <c r="C6" s="599"/>
      <c r="BR6" s="3450" t="s">
        <v>2149</v>
      </c>
      <c r="BS6" s="3450"/>
      <c r="BT6" s="3450"/>
      <c r="BU6" s="3450"/>
      <c r="BV6" s="3450"/>
      <c r="BW6" s="3450"/>
      <c r="BX6" s="3450"/>
      <c r="BY6" s="3450"/>
      <c r="BZ6" s="3450"/>
      <c r="CA6" s="3450"/>
      <c r="CB6" s="3450"/>
      <c r="CC6" s="3450"/>
      <c r="CD6" s="3450"/>
    </row>
    <row r="7" spans="2:83" ht="20.25" customHeight="1" x14ac:dyDescent="0.25">
      <c r="B7" s="2534" t="str">
        <f>IF(('FORMULAIRE PGA Eaux pluviales '!M73='MENU DÉROULANT'!C63),"Note: La municipalité traite l'ensemble de ses actifs en eaux pluviales dans le sous-service Collecte. Les graphiques liés au sous-service Traitement ne contiennent donc pas de résultats.","")</f>
        <v/>
      </c>
    </row>
    <row r="8" spans="2:83" ht="22.5" customHeight="1" x14ac:dyDescent="0.25">
      <c r="B8" s="2112"/>
      <c r="C8" s="2113" t="s">
        <v>24</v>
      </c>
      <c r="D8" s="2114"/>
      <c r="E8" s="2114"/>
      <c r="F8" s="2114"/>
      <c r="G8" s="2114"/>
      <c r="H8" s="2114"/>
      <c r="I8" s="2114"/>
      <c r="J8" s="2114"/>
      <c r="K8" s="2114"/>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c r="AP8" s="2114"/>
      <c r="AQ8" s="2115"/>
      <c r="AR8" s="2115"/>
      <c r="AS8" s="2114"/>
      <c r="AT8" s="2114"/>
      <c r="AU8" s="2114"/>
      <c r="AV8" s="2114"/>
      <c r="AW8" s="2114"/>
      <c r="AX8" s="2114"/>
      <c r="AY8" s="2114"/>
      <c r="AZ8" s="2114"/>
      <c r="BA8" s="2114"/>
      <c r="BB8" s="2114"/>
      <c r="BC8" s="2114"/>
      <c r="BD8" s="2114"/>
      <c r="BE8" s="2114"/>
      <c r="BF8" s="2114"/>
      <c r="BG8" s="2114"/>
      <c r="BH8" s="2114"/>
      <c r="BI8" s="2114"/>
      <c r="BJ8" s="2114"/>
      <c r="BK8" s="2114"/>
      <c r="BL8" s="2114"/>
      <c r="BM8" s="2114"/>
      <c r="BN8" s="2114"/>
      <c r="BO8" s="2114"/>
      <c r="BP8" s="2114"/>
      <c r="BQ8" s="2114"/>
      <c r="BR8" s="2114"/>
      <c r="BS8" s="2114"/>
      <c r="BT8" s="2114"/>
      <c r="BU8" s="2114"/>
      <c r="BV8" s="2114"/>
      <c r="BW8" s="2114"/>
      <c r="BX8" s="2114"/>
      <c r="BY8" s="2112"/>
      <c r="BZ8" s="2116"/>
      <c r="CA8" s="2112"/>
      <c r="CB8" s="3448"/>
      <c r="CC8" s="3448"/>
      <c r="CD8" s="2114"/>
    </row>
    <row r="9" spans="2:83" ht="6.75" customHeight="1" x14ac:dyDescent="0.25"/>
    <row r="10" spans="2:83" ht="12" customHeight="1" x14ac:dyDescent="0.25">
      <c r="B10" s="2117"/>
      <c r="C10" s="2121"/>
      <c r="D10" s="2121"/>
      <c r="E10" s="2121"/>
      <c r="F10" s="2121"/>
      <c r="G10" s="2121"/>
      <c r="H10" s="2121"/>
      <c r="I10" s="2121"/>
      <c r="J10" s="2121"/>
      <c r="K10" s="2121"/>
      <c r="L10" s="2121"/>
      <c r="M10" s="2121"/>
      <c r="N10" s="2121"/>
      <c r="O10" s="2121"/>
      <c r="P10" s="2121"/>
      <c r="Q10" s="2121"/>
      <c r="R10" s="2121"/>
      <c r="S10" s="2121"/>
      <c r="T10" s="2121"/>
      <c r="U10" s="2121"/>
      <c r="V10" s="2121"/>
      <c r="W10" s="2121"/>
      <c r="X10" s="2121"/>
      <c r="Y10" s="2121"/>
      <c r="Z10" s="2121"/>
      <c r="AA10" s="2121"/>
      <c r="AB10" s="2121"/>
      <c r="AC10" s="2121"/>
      <c r="AD10" s="2121"/>
      <c r="AE10" s="2121"/>
      <c r="AF10" s="2121"/>
      <c r="AG10" s="2121"/>
      <c r="AH10" s="2121"/>
      <c r="AI10" s="2121"/>
      <c r="AJ10" s="2121"/>
      <c r="AK10" s="2121"/>
      <c r="AL10" s="2121"/>
      <c r="AM10" s="2121"/>
      <c r="AN10" s="2121"/>
      <c r="AO10" s="2121"/>
      <c r="AP10" s="2121"/>
      <c r="AQ10" s="2121"/>
      <c r="AR10" s="2121"/>
      <c r="AS10" s="2121"/>
      <c r="AT10" s="2121"/>
      <c r="AU10" s="2121"/>
      <c r="AV10" s="2121"/>
      <c r="AW10" s="2121"/>
      <c r="AX10" s="2121"/>
      <c r="AY10" s="2121"/>
      <c r="AZ10" s="2121"/>
      <c r="BA10" s="2121"/>
      <c r="BB10" s="2121"/>
      <c r="BC10" s="2121"/>
      <c r="BD10" s="2121"/>
      <c r="BE10" s="2121"/>
      <c r="BF10" s="2121"/>
      <c r="BG10" s="2121"/>
      <c r="BH10" s="2121"/>
      <c r="BI10" s="2121"/>
      <c r="BJ10" s="2121"/>
      <c r="BK10" s="2121"/>
      <c r="BL10" s="2121"/>
      <c r="BM10" s="2121"/>
      <c r="BN10" s="2121"/>
      <c r="BO10" s="2121"/>
      <c r="BP10" s="2121"/>
      <c r="BQ10" s="2121"/>
      <c r="BR10" s="2121"/>
      <c r="BS10" s="2121"/>
      <c r="BT10" s="2121"/>
      <c r="BU10" s="2121"/>
      <c r="BV10" s="2121"/>
      <c r="BW10" s="2121"/>
      <c r="BX10" s="2121"/>
      <c r="BY10" s="2121"/>
      <c r="BZ10" s="2121"/>
      <c r="CA10" s="2121"/>
      <c r="CB10" s="2121"/>
      <c r="CC10" s="2121"/>
      <c r="CD10" s="2128"/>
      <c r="CE10" s="43"/>
    </row>
    <row r="11" spans="2:83" ht="9" customHeight="1" x14ac:dyDescent="0.25">
      <c r="B11" s="2118"/>
      <c r="C11" s="45"/>
      <c r="D11" s="46"/>
      <c r="E11" s="46"/>
      <c r="F11" s="46"/>
      <c r="G11" s="46"/>
      <c r="H11" s="46"/>
      <c r="I11" s="46"/>
      <c r="J11" s="46"/>
      <c r="K11" s="46"/>
      <c r="L11" s="46"/>
      <c r="M11" s="46"/>
      <c r="N11" s="46"/>
      <c r="O11" s="46"/>
      <c r="P11" s="46"/>
      <c r="Q11" s="46"/>
      <c r="R11" s="46"/>
      <c r="S11" s="46"/>
      <c r="T11" s="46"/>
      <c r="U11" s="46"/>
      <c r="V11" s="46"/>
      <c r="W11" s="111"/>
      <c r="X11" s="111"/>
      <c r="Y11" s="111"/>
      <c r="Z11" s="111"/>
      <c r="AA11" s="112"/>
      <c r="AB11" s="2122"/>
      <c r="AC11" s="45"/>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7"/>
      <c r="CD11" s="2129"/>
      <c r="CE11" s="43"/>
    </row>
    <row r="12" spans="2:83" ht="21.75" customHeight="1" x14ac:dyDescent="0.3">
      <c r="B12" s="2118"/>
      <c r="C12" s="50"/>
      <c r="D12" s="51" t="s">
        <v>1830</v>
      </c>
      <c r="E12" s="52"/>
      <c r="F12" s="52"/>
      <c r="G12" s="53"/>
      <c r="H12" s="54"/>
      <c r="I12" s="53"/>
      <c r="J12" s="24"/>
      <c r="K12" s="53"/>
      <c r="L12" s="25"/>
      <c r="M12" s="53"/>
      <c r="N12" s="25"/>
      <c r="O12" s="53"/>
      <c r="P12" s="25"/>
      <c r="Q12" s="53"/>
      <c r="R12" s="25"/>
      <c r="S12" s="25"/>
      <c r="T12" s="55"/>
      <c r="V12" s="52"/>
      <c r="W12" s="53"/>
      <c r="X12" s="3323">
        <f>'CALCULS Eaux pluviales'!J30</f>
        <v>0</v>
      </c>
      <c r="Y12" s="3323"/>
      <c r="Z12" s="3323"/>
      <c r="AA12" s="995"/>
      <c r="AB12" s="2123"/>
      <c r="AC12" s="56"/>
      <c r="AD12" s="57" t="s">
        <v>51</v>
      </c>
      <c r="AE12" s="53"/>
      <c r="AF12" s="52"/>
      <c r="AG12" s="52"/>
      <c r="AH12" s="52"/>
      <c r="AI12" s="25"/>
      <c r="AJ12" s="58"/>
      <c r="AK12" s="52"/>
      <c r="AL12" s="52"/>
      <c r="AM12" s="52"/>
      <c r="AN12" s="59"/>
      <c r="AO12" s="59"/>
      <c r="AP12" s="59"/>
      <c r="AQ12" s="1163"/>
      <c r="AR12" s="1163"/>
      <c r="AS12" s="52"/>
      <c r="AT12" s="52"/>
      <c r="AU12" s="52"/>
      <c r="AV12" s="53"/>
      <c r="AW12" s="54"/>
      <c r="AX12" s="53"/>
      <c r="AY12" s="24"/>
      <c r="AZ12" s="53"/>
      <c r="BA12" s="25"/>
      <c r="BB12" s="53"/>
      <c r="BC12" s="25"/>
      <c r="BD12" s="53"/>
      <c r="BE12" s="25"/>
      <c r="BF12" s="53"/>
      <c r="BG12" s="25"/>
      <c r="BH12" s="25"/>
      <c r="BI12" s="58"/>
      <c r="BJ12" s="60"/>
      <c r="BK12" s="52"/>
      <c r="BL12" s="53"/>
      <c r="BM12" s="54"/>
      <c r="BN12" s="53"/>
      <c r="BO12" s="24"/>
      <c r="BP12" s="53"/>
      <c r="BQ12" s="25"/>
      <c r="BR12" s="53"/>
      <c r="BS12" s="25"/>
      <c r="BT12" s="53"/>
      <c r="BU12" s="52"/>
      <c r="BV12" s="52"/>
      <c r="BW12" s="52"/>
      <c r="BX12" s="25"/>
      <c r="BY12" s="58"/>
      <c r="BZ12" s="52"/>
      <c r="CA12" s="52"/>
      <c r="CB12" s="52"/>
      <c r="CC12" s="61"/>
      <c r="CD12" s="2129"/>
      <c r="CE12" s="43"/>
    </row>
    <row r="13" spans="2:83" ht="18" customHeight="1" x14ac:dyDescent="0.3">
      <c r="B13" s="2118"/>
      <c r="C13" s="50"/>
      <c r="D13" s="62"/>
      <c r="E13" s="52"/>
      <c r="F13" s="52"/>
      <c r="G13" s="53"/>
      <c r="H13" s="54"/>
      <c r="I13" s="53"/>
      <c r="J13" s="24"/>
      <c r="K13" s="53"/>
      <c r="L13" s="25"/>
      <c r="M13" s="53"/>
      <c r="N13" s="25"/>
      <c r="O13" s="53"/>
      <c r="P13" s="25"/>
      <c r="Q13" s="53"/>
      <c r="R13" s="25"/>
      <c r="S13" s="25"/>
      <c r="T13" s="58"/>
      <c r="U13" s="60"/>
      <c r="V13" s="52"/>
      <c r="W13" s="53"/>
      <c r="X13" s="54"/>
      <c r="Y13" s="53"/>
      <c r="Z13" s="24"/>
      <c r="AA13" s="996"/>
      <c r="AB13" s="2123"/>
      <c r="AC13" s="56"/>
      <c r="AD13" s="994"/>
      <c r="AE13" s="2157" t="s">
        <v>2043</v>
      </c>
      <c r="AF13" s="2158"/>
      <c r="AG13" s="2158"/>
      <c r="AH13" s="2158"/>
      <c r="AI13" s="2159"/>
      <c r="AJ13" s="2160"/>
      <c r="AK13" s="2158"/>
      <c r="AL13" s="2158"/>
      <c r="AM13" s="2158"/>
      <c r="AN13" s="2161"/>
      <c r="AO13" s="2161"/>
      <c r="AP13" s="2161"/>
      <c r="AQ13" s="2162"/>
      <c r="AR13" s="2162"/>
      <c r="AS13" s="2158"/>
      <c r="AT13" s="2158"/>
      <c r="AU13" s="2158"/>
      <c r="AV13" s="2163"/>
      <c r="AW13" s="2164"/>
      <c r="AX13" s="2555" t="str">
        <f>IF(('FORMULAIRE PGA Eaux pluviales '!$H$120='MENU DÉROULANT'!$C$54),"(Aucun actif)","")</f>
        <v/>
      </c>
      <c r="AY13" s="2165"/>
      <c r="AZ13" s="53"/>
      <c r="BA13" s="2157" t="s">
        <v>2044</v>
      </c>
      <c r="BB13" s="2163"/>
      <c r="BC13" s="2159"/>
      <c r="BD13" s="2163"/>
      <c r="BE13" s="2159"/>
      <c r="BF13" s="2163"/>
      <c r="BG13" s="2159"/>
      <c r="BH13" s="2159"/>
      <c r="BI13" s="2160"/>
      <c r="BJ13" s="2166"/>
      <c r="BK13" s="2158"/>
      <c r="BL13" s="2550" t="str">
        <f>IF(('FORMULAIRE PGA Eaux pluviales '!M73='MENU DÉROULANT'!C63),"(Non applicable)","")</f>
        <v/>
      </c>
      <c r="BM13" s="2164"/>
      <c r="BN13" s="2163"/>
      <c r="BO13" s="2167"/>
      <c r="BP13" s="2163"/>
      <c r="BQ13" s="2159"/>
      <c r="BR13" s="2163"/>
      <c r="BS13" s="2159"/>
      <c r="BT13" s="2163"/>
      <c r="BU13" s="2158"/>
      <c r="BV13" s="2158"/>
      <c r="BW13" s="2158"/>
      <c r="BX13" s="2158"/>
      <c r="BY13" s="2160"/>
      <c r="BZ13" s="2158"/>
      <c r="CA13" s="2158"/>
      <c r="CB13" s="2557" t="str">
        <f>IF(('FORMULAIRE PGA Eaux pluviales '!$H$81='MENU DÉROULANT'!$F$54),"(Aucun actif)","")</f>
        <v/>
      </c>
      <c r="CC13" s="61"/>
      <c r="CD13" s="2129"/>
      <c r="CE13" s="43"/>
    </row>
    <row r="14" spans="2:83" ht="11.25" customHeight="1" x14ac:dyDescent="0.3">
      <c r="B14" s="2118"/>
      <c r="C14" s="50"/>
      <c r="D14" s="62"/>
      <c r="E14" s="52"/>
      <c r="F14" s="52"/>
      <c r="G14" s="53"/>
      <c r="H14" s="54"/>
      <c r="I14" s="53"/>
      <c r="J14" s="24"/>
      <c r="K14" s="53"/>
      <c r="L14" s="25"/>
      <c r="M14" s="53"/>
      <c r="N14" s="25"/>
      <c r="O14" s="53"/>
      <c r="P14" s="25"/>
      <c r="Q14" s="53"/>
      <c r="R14" s="25"/>
      <c r="S14" s="25"/>
      <c r="T14" s="58"/>
      <c r="U14" s="60"/>
      <c r="V14" s="52"/>
      <c r="W14" s="53"/>
      <c r="X14" s="54"/>
      <c r="Y14" s="53"/>
      <c r="Z14" s="24"/>
      <c r="AA14" s="995"/>
      <c r="AB14" s="2123"/>
      <c r="AC14" s="56"/>
      <c r="AD14" s="25"/>
      <c r="AE14" s="1005"/>
      <c r="AF14" s="1006"/>
      <c r="AG14" s="1006"/>
      <c r="AH14" s="1006"/>
      <c r="AI14" s="1007"/>
      <c r="AJ14" s="1008"/>
      <c r="AK14" s="1006"/>
      <c r="AL14" s="1006"/>
      <c r="AM14" s="1006"/>
      <c r="AN14" s="46"/>
      <c r="AO14" s="46"/>
      <c r="AP14" s="46"/>
      <c r="AQ14" s="1009"/>
      <c r="AR14" s="1009"/>
      <c r="AS14" s="1006"/>
      <c r="AT14" s="1006"/>
      <c r="AU14" s="1006"/>
      <c r="AV14" s="1010"/>
      <c r="AW14" s="1011"/>
      <c r="AX14" s="1010"/>
      <c r="AY14" s="1012"/>
      <c r="AZ14" s="53"/>
      <c r="BA14" s="604"/>
      <c r="BB14" s="53"/>
      <c r="BC14" s="25"/>
      <c r="BD14" s="53"/>
      <c r="BE14" s="25"/>
      <c r="BF14" s="53"/>
      <c r="BG14" s="25"/>
      <c r="BH14" s="25"/>
      <c r="BI14" s="58"/>
      <c r="BJ14" s="60"/>
      <c r="BK14" s="52"/>
      <c r="BL14" s="53"/>
      <c r="BM14" s="54"/>
      <c r="BN14" s="53"/>
      <c r="BO14" s="24"/>
      <c r="BP14" s="53"/>
      <c r="BQ14" s="25"/>
      <c r="BR14" s="53"/>
      <c r="BS14" s="25"/>
      <c r="BT14" s="53"/>
      <c r="BU14" s="52"/>
      <c r="BV14" s="52"/>
      <c r="BW14" s="52"/>
      <c r="BX14" s="25"/>
      <c r="BY14" s="58"/>
      <c r="BZ14" s="52"/>
      <c r="CA14" s="52"/>
      <c r="CB14" s="450"/>
      <c r="CC14" s="61"/>
      <c r="CD14" s="2129"/>
      <c r="CE14" s="43"/>
    </row>
    <row r="15" spans="2:83" s="72" customFormat="1" ht="15" customHeight="1" x14ac:dyDescent="0.25">
      <c r="B15" s="2119"/>
      <c r="C15" s="64"/>
      <c r="D15" s="3388"/>
      <c r="E15" s="3388"/>
      <c r="F15" s="3388"/>
      <c r="G15" s="3388"/>
      <c r="H15" s="3388"/>
      <c r="I15" s="3388"/>
      <c r="J15" s="3388"/>
      <c r="K15" s="3388"/>
      <c r="L15" s="3388"/>
      <c r="M15" s="3388"/>
      <c r="N15" s="3388"/>
      <c r="O15" s="3388"/>
      <c r="P15" s="3388"/>
      <c r="Q15" s="3388"/>
      <c r="R15" s="3388"/>
      <c r="S15" s="3388"/>
      <c r="T15" s="3388"/>
      <c r="U15" s="3388"/>
      <c r="V15" s="66"/>
      <c r="W15" s="66"/>
      <c r="X15" s="66"/>
      <c r="Y15" s="66"/>
      <c r="Z15" s="1163"/>
      <c r="AA15" s="997"/>
      <c r="AB15" s="2124"/>
      <c r="AC15" s="68"/>
      <c r="AD15" s="66"/>
      <c r="AE15" s="1050" t="s">
        <v>69</v>
      </c>
      <c r="AF15" s="1049"/>
      <c r="AG15" s="66"/>
      <c r="AH15" s="66"/>
      <c r="AI15" s="66"/>
      <c r="AJ15" s="2604" t="str">
        <f>'CALCULS Eaux pluviales'!E38</f>
        <v/>
      </c>
      <c r="AK15" s="66"/>
      <c r="AL15" s="66"/>
      <c r="AM15" s="66"/>
      <c r="AN15" s="59"/>
      <c r="AO15" s="59"/>
      <c r="AP15" s="59"/>
      <c r="AQ15" s="221"/>
      <c r="AR15" s="221"/>
      <c r="AS15" s="221"/>
      <c r="AT15" s="221"/>
      <c r="AU15" s="221"/>
      <c r="AV15" s="221"/>
      <c r="AW15" s="221"/>
      <c r="AX15" s="221"/>
      <c r="AY15" s="1013"/>
      <c r="BA15" s="1050" t="s">
        <v>69</v>
      </c>
      <c r="BB15" s="221"/>
      <c r="BC15" s="221"/>
      <c r="BD15" s="221"/>
      <c r="BE15" s="221"/>
      <c r="BF15" s="2604"/>
      <c r="BG15" s="2604" t="str">
        <f>'CALCULS Eaux pluviales'!E46</f>
        <v/>
      </c>
      <c r="BH15" s="2604"/>
      <c r="BI15" s="65"/>
      <c r="BJ15" s="66"/>
      <c r="BK15" s="66"/>
      <c r="BL15" s="66"/>
      <c r="BM15" s="66"/>
      <c r="BN15" s="66"/>
      <c r="BO15" s="66"/>
      <c r="BP15" s="66"/>
      <c r="BQ15" s="66"/>
      <c r="BR15" s="66"/>
      <c r="BS15" s="66"/>
      <c r="BT15" s="66"/>
      <c r="BU15" s="66"/>
      <c r="BV15" s="66"/>
      <c r="BW15" s="66"/>
      <c r="BX15" s="66"/>
      <c r="BY15" s="66"/>
      <c r="BZ15" s="66"/>
      <c r="CA15" s="66"/>
      <c r="CB15" s="67"/>
      <c r="CC15" s="69"/>
      <c r="CD15" s="2130"/>
      <c r="CE15" s="71"/>
    </row>
    <row r="16" spans="2:83" s="72" customFormat="1" ht="18" customHeight="1" x14ac:dyDescent="0.3">
      <c r="B16" s="2119"/>
      <c r="C16" s="64"/>
      <c r="D16" s="3388"/>
      <c r="E16" s="3388"/>
      <c r="F16" s="3388"/>
      <c r="G16" s="3388"/>
      <c r="H16" s="3388"/>
      <c r="I16" s="3388"/>
      <c r="J16" s="3388"/>
      <c r="K16" s="3388"/>
      <c r="L16" s="3388"/>
      <c r="M16" s="3388"/>
      <c r="N16" s="3388"/>
      <c r="O16" s="3388"/>
      <c r="P16" s="3388"/>
      <c r="Q16" s="3388"/>
      <c r="R16" s="3388"/>
      <c r="S16" s="3388"/>
      <c r="T16" s="3388"/>
      <c r="U16" s="3388"/>
      <c r="V16" s="66"/>
      <c r="W16" s="66"/>
      <c r="X16" s="66"/>
      <c r="Y16" s="66"/>
      <c r="Z16" s="66"/>
      <c r="AA16" s="997"/>
      <c r="AB16" s="2124"/>
      <c r="AC16" s="68"/>
      <c r="AD16" s="66"/>
      <c r="AE16" s="68"/>
      <c r="AF16" s="3370">
        <f>'CALCULS Eaux pluviales'!L61</f>
        <v>0</v>
      </c>
      <c r="AG16" s="3370"/>
      <c r="AH16" s="3370"/>
      <c r="AI16" s="66"/>
      <c r="AJ16" s="66"/>
      <c r="AK16" s="66"/>
      <c r="AL16" s="66"/>
      <c r="AM16" s="66"/>
      <c r="AN16" s="59"/>
      <c r="AO16" s="59"/>
      <c r="AP16" s="59"/>
      <c r="AQ16" s="65"/>
      <c r="AR16" s="65"/>
      <c r="AS16" s="65"/>
      <c r="AT16" s="65"/>
      <c r="AU16" s="65"/>
      <c r="AV16" s="65"/>
      <c r="AW16" s="65"/>
      <c r="AX16" s="65"/>
      <c r="AY16" s="1014"/>
      <c r="BA16" s="1017"/>
      <c r="BB16" s="3370">
        <f>'CALCULS Eaux pluviales'!L63</f>
        <v>0</v>
      </c>
      <c r="BC16" s="3370"/>
      <c r="BD16" s="3370"/>
      <c r="BE16" s="65"/>
      <c r="BF16" s="65"/>
      <c r="BG16" s="65"/>
      <c r="BH16" s="59"/>
      <c r="BI16" s="65"/>
      <c r="BJ16" s="66"/>
      <c r="BK16" s="66"/>
      <c r="BL16" s="66"/>
      <c r="BM16" s="66"/>
      <c r="BN16" s="66"/>
      <c r="BO16" s="66"/>
      <c r="BP16" s="66"/>
      <c r="BQ16" s="66"/>
      <c r="BR16" s="66"/>
      <c r="BS16" s="66"/>
      <c r="BT16" s="66"/>
      <c r="BU16" s="66"/>
      <c r="BV16" s="66"/>
      <c r="BW16" s="66"/>
      <c r="BX16" s="66"/>
      <c r="BY16" s="66"/>
      <c r="BZ16" s="66"/>
      <c r="CA16" s="66"/>
      <c r="CB16" s="67"/>
      <c r="CC16" s="69"/>
      <c r="CD16" s="2130"/>
      <c r="CE16" s="71"/>
    </row>
    <row r="17" spans="2:83" s="72" customFormat="1" ht="73.5" customHeight="1" x14ac:dyDescent="0.25">
      <c r="B17" s="2119"/>
      <c r="C17" s="64"/>
      <c r="D17" s="3388"/>
      <c r="E17" s="3388"/>
      <c r="F17" s="3388"/>
      <c r="G17" s="3388"/>
      <c r="H17" s="3388"/>
      <c r="I17" s="3388"/>
      <c r="J17" s="3388"/>
      <c r="K17" s="3388"/>
      <c r="L17" s="3388"/>
      <c r="M17" s="3388"/>
      <c r="N17" s="3388"/>
      <c r="O17" s="3388"/>
      <c r="P17" s="3388"/>
      <c r="Q17" s="3388"/>
      <c r="R17" s="3388"/>
      <c r="S17" s="3388"/>
      <c r="T17" s="3388"/>
      <c r="U17" s="3388"/>
      <c r="V17" s="78"/>
      <c r="W17" s="76"/>
      <c r="X17" s="73"/>
      <c r="Y17" s="76"/>
      <c r="Z17" s="81"/>
      <c r="AA17" s="998"/>
      <c r="AB17" s="2125"/>
      <c r="AC17" s="80"/>
      <c r="AD17" s="76"/>
      <c r="AE17" s="80"/>
      <c r="AF17" s="76"/>
      <c r="AG17" s="73"/>
      <c r="AH17" s="3348"/>
      <c r="AI17" s="3348"/>
      <c r="AJ17" s="3348"/>
      <c r="AK17" s="3348"/>
      <c r="AL17" s="3348"/>
      <c r="AM17" s="77"/>
      <c r="AN17" s="82"/>
      <c r="AO17" s="75"/>
      <c r="AP17" s="75"/>
      <c r="AQ17" s="82"/>
      <c r="AR17" s="82"/>
      <c r="AS17" s="73"/>
      <c r="AT17" s="73"/>
      <c r="AU17" s="74"/>
      <c r="AV17" s="75"/>
      <c r="AW17" s="82"/>
      <c r="AX17" s="73"/>
      <c r="AY17" s="79"/>
      <c r="AZ17" s="1016"/>
      <c r="BA17" s="1018"/>
      <c r="BB17" s="1016"/>
      <c r="BC17" s="1016"/>
      <c r="BD17" s="1016"/>
      <c r="BE17" s="1016"/>
      <c r="BF17" s="83"/>
      <c r="BG17" s="82"/>
      <c r="BH17" s="75"/>
      <c r="BI17" s="77"/>
      <c r="BJ17" s="78"/>
      <c r="BK17" s="78"/>
      <c r="BL17" s="82"/>
      <c r="BM17" s="82"/>
      <c r="BN17" s="73"/>
      <c r="BO17" s="81"/>
      <c r="BP17" s="76"/>
      <c r="BQ17" s="78"/>
      <c r="BR17" s="82"/>
      <c r="BS17" s="76"/>
      <c r="BT17" s="77"/>
      <c r="BU17" s="76"/>
      <c r="BV17" s="73"/>
      <c r="BW17" s="3348"/>
      <c r="BX17" s="3348"/>
      <c r="BY17" s="3348"/>
      <c r="BZ17" s="3348"/>
      <c r="CA17" s="3348"/>
      <c r="CB17" s="1019"/>
      <c r="CC17" s="84"/>
      <c r="CD17" s="2130"/>
      <c r="CE17" s="71"/>
    </row>
    <row r="18" spans="2:83" s="72" customFormat="1" ht="11.25" customHeight="1" x14ac:dyDescent="0.25">
      <c r="B18" s="2119"/>
      <c r="C18" s="64"/>
      <c r="D18" s="3388"/>
      <c r="E18" s="3388"/>
      <c r="F18" s="3388"/>
      <c r="G18" s="3388"/>
      <c r="H18" s="3388"/>
      <c r="I18" s="3388"/>
      <c r="J18" s="3388"/>
      <c r="K18" s="3388"/>
      <c r="L18" s="3388"/>
      <c r="M18" s="3388"/>
      <c r="N18" s="3388"/>
      <c r="O18" s="3388"/>
      <c r="P18" s="3388"/>
      <c r="Q18" s="3388"/>
      <c r="R18" s="3388"/>
      <c r="S18" s="3388"/>
      <c r="T18" s="3388"/>
      <c r="U18" s="3388"/>
      <c r="V18" s="75"/>
      <c r="W18" s="75"/>
      <c r="X18" s="75"/>
      <c r="Y18" s="75"/>
      <c r="Z18" s="75"/>
      <c r="AA18" s="175"/>
      <c r="AB18" s="2126"/>
      <c r="AC18" s="64"/>
      <c r="AD18" s="75"/>
      <c r="AE18" s="64"/>
      <c r="AF18" s="75"/>
      <c r="AG18" s="75"/>
      <c r="AH18" s="75"/>
      <c r="AI18" s="75"/>
      <c r="AJ18" s="75"/>
      <c r="AK18" s="75"/>
      <c r="AL18" s="75"/>
      <c r="AM18" s="75"/>
      <c r="AN18" s="75"/>
      <c r="AO18" s="75"/>
      <c r="AP18" s="75"/>
      <c r="AQ18" s="86"/>
      <c r="AR18" s="86"/>
      <c r="AS18" s="75"/>
      <c r="AT18" s="75"/>
      <c r="AU18" s="75"/>
      <c r="AV18" s="75"/>
      <c r="AW18" s="75"/>
      <c r="AX18" s="75"/>
      <c r="AY18" s="69"/>
      <c r="AZ18" s="75"/>
      <c r="BA18" s="64"/>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69"/>
      <c r="CC18" s="69"/>
      <c r="CD18" s="2130"/>
      <c r="CE18" s="71"/>
    </row>
    <row r="19" spans="2:83" s="72" customFormat="1" ht="15" customHeight="1" x14ac:dyDescent="0.25">
      <c r="B19" s="2119"/>
      <c r="C19" s="64"/>
      <c r="D19" s="3388"/>
      <c r="E19" s="3388"/>
      <c r="F19" s="3388"/>
      <c r="G19" s="3388"/>
      <c r="H19" s="3388"/>
      <c r="I19" s="3388"/>
      <c r="J19" s="3388"/>
      <c r="K19" s="3388"/>
      <c r="L19" s="3388"/>
      <c r="M19" s="3388"/>
      <c r="N19" s="3388"/>
      <c r="O19" s="3388"/>
      <c r="P19" s="3388"/>
      <c r="Q19" s="3388"/>
      <c r="R19" s="3388"/>
      <c r="S19" s="3388"/>
      <c r="T19" s="3388"/>
      <c r="U19" s="3388"/>
      <c r="V19" s="75"/>
      <c r="W19" s="75"/>
      <c r="X19" s="75"/>
      <c r="Y19" s="75"/>
      <c r="Z19" s="75"/>
      <c r="AA19" s="997"/>
      <c r="AB19" s="2124"/>
      <c r="AC19" s="64"/>
      <c r="AD19" s="75"/>
      <c r="AE19" s="1050" t="s">
        <v>77</v>
      </c>
      <c r="AF19" s="75"/>
      <c r="AG19" s="75"/>
      <c r="AH19" s="75"/>
      <c r="AI19" s="75"/>
      <c r="AK19" s="2604" t="str">
        <f>'CALCULS Eaux pluviales'!E36</f>
        <v/>
      </c>
      <c r="AL19" s="2605"/>
      <c r="AM19" s="2605"/>
      <c r="AN19" s="2605"/>
      <c r="AO19" s="2605"/>
      <c r="AP19" s="2605"/>
      <c r="AQ19" s="2605"/>
      <c r="AR19" s="2605"/>
      <c r="AS19" s="2605"/>
      <c r="AT19" s="2605"/>
      <c r="AU19" s="2605"/>
      <c r="AV19" s="2605"/>
      <c r="AW19" s="2605"/>
      <c r="AX19" s="2605"/>
      <c r="AY19" s="1013"/>
      <c r="BA19" s="1050" t="s">
        <v>77</v>
      </c>
      <c r="BB19" s="75"/>
      <c r="BC19" s="75"/>
      <c r="BD19" s="75"/>
      <c r="BE19" s="75"/>
      <c r="BF19" s="75"/>
      <c r="BG19" s="75"/>
      <c r="BH19" s="2604" t="str">
        <f>'CALCULS Eaux pluviales'!E44</f>
        <v/>
      </c>
      <c r="BI19" s="75"/>
      <c r="BJ19" s="75"/>
      <c r="BK19" s="75"/>
      <c r="BL19" s="75"/>
      <c r="BM19" s="75"/>
      <c r="BN19" s="75"/>
      <c r="BO19" s="75"/>
      <c r="BP19" s="75"/>
      <c r="BQ19" s="75"/>
      <c r="BR19" s="75"/>
      <c r="BS19" s="75"/>
      <c r="BT19" s="75"/>
      <c r="BU19" s="75"/>
      <c r="BV19" s="75"/>
      <c r="BW19" s="75"/>
      <c r="BX19" s="75"/>
      <c r="BY19" s="75"/>
      <c r="BZ19" s="75"/>
      <c r="CA19" s="75"/>
      <c r="CB19" s="69"/>
      <c r="CC19" s="69"/>
      <c r="CD19" s="2130"/>
      <c r="CE19" s="71"/>
    </row>
    <row r="20" spans="2:83" s="72" customFormat="1" ht="18" customHeight="1" x14ac:dyDescent="0.3">
      <c r="B20" s="2119"/>
      <c r="C20" s="64"/>
      <c r="D20" s="3388"/>
      <c r="E20" s="3388"/>
      <c r="F20" s="3388"/>
      <c r="G20" s="3388"/>
      <c r="H20" s="3388"/>
      <c r="I20" s="3388"/>
      <c r="J20" s="3388"/>
      <c r="K20" s="3388"/>
      <c r="L20" s="3388"/>
      <c r="M20" s="3388"/>
      <c r="N20" s="3388"/>
      <c r="O20" s="3388"/>
      <c r="P20" s="3388"/>
      <c r="Q20" s="3388"/>
      <c r="R20" s="3388"/>
      <c r="S20" s="3388"/>
      <c r="T20" s="3388"/>
      <c r="U20" s="3388"/>
      <c r="V20" s="75"/>
      <c r="W20" s="75"/>
      <c r="X20" s="75"/>
      <c r="Y20" s="75"/>
      <c r="Z20" s="75"/>
      <c r="AA20" s="997"/>
      <c r="AB20" s="2124"/>
      <c r="AC20" s="64"/>
      <c r="AD20" s="75"/>
      <c r="AE20" s="1015"/>
      <c r="AF20" s="3371">
        <f>'CALCULS Eaux pluviales'!L62</f>
        <v>0</v>
      </c>
      <c r="AG20" s="3371"/>
      <c r="AH20" s="3371"/>
      <c r="AI20" s="75"/>
      <c r="AJ20" s="75"/>
      <c r="AK20" s="75"/>
      <c r="AL20" s="75"/>
      <c r="AM20" s="75"/>
      <c r="AN20" s="75"/>
      <c r="AO20" s="75"/>
      <c r="AP20" s="75"/>
      <c r="AQ20" s="86"/>
      <c r="AR20" s="86"/>
      <c r="AS20" s="75"/>
      <c r="AT20" s="75"/>
      <c r="AU20" s="75"/>
      <c r="AV20" s="75"/>
      <c r="AW20" s="75"/>
      <c r="AX20" s="75"/>
      <c r="AY20" s="1013"/>
      <c r="BA20" s="1015"/>
      <c r="BB20" s="3371">
        <f>'CALCULS Eaux pluviales'!L64</f>
        <v>0</v>
      </c>
      <c r="BC20" s="3371"/>
      <c r="BD20" s="3371"/>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69"/>
      <c r="CC20" s="69"/>
      <c r="CD20" s="2130"/>
      <c r="CE20" s="71"/>
    </row>
    <row r="21" spans="2:83" ht="78" customHeight="1" x14ac:dyDescent="0.25">
      <c r="B21" s="2118"/>
      <c r="C21" s="50"/>
      <c r="D21" s="3388"/>
      <c r="E21" s="3388"/>
      <c r="F21" s="3388"/>
      <c r="G21" s="3388"/>
      <c r="H21" s="3388"/>
      <c r="I21" s="3388"/>
      <c r="J21" s="3388"/>
      <c r="K21" s="3388"/>
      <c r="L21" s="3388"/>
      <c r="M21" s="3388"/>
      <c r="N21" s="3388"/>
      <c r="O21" s="3388"/>
      <c r="P21" s="3388"/>
      <c r="Q21" s="3388"/>
      <c r="R21" s="3388"/>
      <c r="S21" s="3388"/>
      <c r="T21" s="3388"/>
      <c r="U21" s="3388"/>
      <c r="V21" s="59"/>
      <c r="W21" s="59"/>
      <c r="X21" s="59"/>
      <c r="Y21" s="59"/>
      <c r="Z21" s="59"/>
      <c r="AA21" s="114"/>
      <c r="AB21" s="2122"/>
      <c r="AC21" s="50"/>
      <c r="AD21" s="59"/>
      <c r="AE21" s="91"/>
      <c r="AF21" s="92"/>
      <c r="AG21" s="92"/>
      <c r="AH21" s="92"/>
      <c r="AI21" s="92"/>
      <c r="AJ21" s="92"/>
      <c r="AK21" s="92"/>
      <c r="AL21" s="92"/>
      <c r="AM21" s="92"/>
      <c r="AN21" s="92"/>
      <c r="AO21" s="92"/>
      <c r="AP21" s="92"/>
      <c r="AQ21" s="92"/>
      <c r="AR21" s="92"/>
      <c r="AS21" s="92"/>
      <c r="AT21" s="92"/>
      <c r="AU21" s="92"/>
      <c r="AV21" s="92"/>
      <c r="AW21" s="92"/>
      <c r="AX21" s="92"/>
      <c r="AY21" s="93"/>
      <c r="AZ21" s="59"/>
      <c r="BA21" s="91"/>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3"/>
      <c r="CC21" s="61"/>
      <c r="CD21" s="2129"/>
      <c r="CE21" s="43"/>
    </row>
    <row r="22" spans="2:83" ht="12" customHeight="1" x14ac:dyDescent="0.25">
      <c r="B22" s="2118"/>
      <c r="C22" s="91"/>
      <c r="D22" s="92"/>
      <c r="E22" s="92"/>
      <c r="F22" s="92"/>
      <c r="G22" s="92"/>
      <c r="H22" s="92"/>
      <c r="I22" s="92"/>
      <c r="J22" s="92"/>
      <c r="K22" s="92"/>
      <c r="L22" s="92"/>
      <c r="M22" s="92"/>
      <c r="N22" s="92"/>
      <c r="O22" s="92"/>
      <c r="P22" s="92"/>
      <c r="Q22" s="92"/>
      <c r="R22" s="92"/>
      <c r="S22" s="92"/>
      <c r="T22" s="92"/>
      <c r="U22" s="92"/>
      <c r="V22" s="92"/>
      <c r="W22" s="116"/>
      <c r="X22" s="116"/>
      <c r="Y22" s="116"/>
      <c r="Z22" s="116"/>
      <c r="AA22" s="117"/>
      <c r="AB22" s="2122"/>
      <c r="AC22" s="91"/>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3"/>
      <c r="CD22" s="2129"/>
      <c r="CE22" s="43"/>
    </row>
    <row r="23" spans="2:83" ht="9" customHeight="1" x14ac:dyDescent="0.25">
      <c r="B23" s="2120"/>
      <c r="C23" s="2127"/>
      <c r="D23" s="2127"/>
      <c r="E23" s="2127"/>
      <c r="F23" s="2127"/>
      <c r="G23" s="2127"/>
      <c r="H23" s="2127"/>
      <c r="I23" s="2127"/>
      <c r="J23" s="2127"/>
      <c r="K23" s="2127"/>
      <c r="L23" s="2127"/>
      <c r="M23" s="2127"/>
      <c r="N23" s="2127"/>
      <c r="O23" s="2127"/>
      <c r="P23" s="2127"/>
      <c r="Q23" s="2127"/>
      <c r="R23" s="2127"/>
      <c r="S23" s="2127"/>
      <c r="T23" s="2127"/>
      <c r="U23" s="2127"/>
      <c r="V23" s="2127"/>
      <c r="W23" s="2127"/>
      <c r="X23" s="2127"/>
      <c r="Y23" s="2127"/>
      <c r="Z23" s="2127"/>
      <c r="AA23" s="2127"/>
      <c r="AB23" s="2127"/>
      <c r="AC23" s="2127"/>
      <c r="AD23" s="2127"/>
      <c r="AE23" s="2127"/>
      <c r="AF23" s="2127"/>
      <c r="AG23" s="2127"/>
      <c r="AH23" s="2127"/>
      <c r="AI23" s="2127"/>
      <c r="AJ23" s="2127"/>
      <c r="AK23" s="2127"/>
      <c r="AL23" s="2127"/>
      <c r="AM23" s="2127"/>
      <c r="AN23" s="2127"/>
      <c r="AO23" s="2127"/>
      <c r="AP23" s="2127"/>
      <c r="AQ23" s="2127"/>
      <c r="AR23" s="2127"/>
      <c r="AS23" s="2127"/>
      <c r="AT23" s="2127"/>
      <c r="AU23" s="2127"/>
      <c r="AV23" s="2127"/>
      <c r="AW23" s="2127"/>
      <c r="AX23" s="2127"/>
      <c r="AY23" s="2127"/>
      <c r="AZ23" s="2127"/>
      <c r="BA23" s="2127"/>
      <c r="BB23" s="2127"/>
      <c r="BC23" s="2127"/>
      <c r="BD23" s="2127"/>
      <c r="BE23" s="2127"/>
      <c r="BF23" s="2127"/>
      <c r="BG23" s="2127"/>
      <c r="BH23" s="2127"/>
      <c r="BI23" s="2127"/>
      <c r="BJ23" s="2127"/>
      <c r="BK23" s="2127"/>
      <c r="BL23" s="2127"/>
      <c r="BM23" s="2127"/>
      <c r="BN23" s="2127"/>
      <c r="BO23" s="2127"/>
      <c r="BP23" s="2127"/>
      <c r="BQ23" s="2127"/>
      <c r="BR23" s="2127"/>
      <c r="BS23" s="2127"/>
      <c r="BT23" s="2127"/>
      <c r="BU23" s="2127"/>
      <c r="BV23" s="2127"/>
      <c r="BW23" s="2127"/>
      <c r="BX23" s="2127"/>
      <c r="BY23" s="2127"/>
      <c r="BZ23" s="2127"/>
      <c r="CA23" s="2127"/>
      <c r="CB23" s="2127"/>
      <c r="CC23" s="2127"/>
      <c r="CD23" s="2131"/>
      <c r="CE23" s="43"/>
    </row>
    <row r="24" spans="2:83" ht="15.75" customHeight="1" x14ac:dyDescent="0.25">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row>
    <row r="25" spans="2:83" ht="22.5" customHeight="1" x14ac:dyDescent="0.25">
      <c r="B25" s="2112"/>
      <c r="C25" s="2113" t="s">
        <v>165</v>
      </c>
      <c r="D25" s="2114"/>
      <c r="E25" s="2114"/>
      <c r="F25" s="2114"/>
      <c r="G25" s="2114"/>
      <c r="H25" s="2114"/>
      <c r="I25" s="2114"/>
      <c r="J25" s="2114"/>
      <c r="K25" s="2114"/>
      <c r="L25" s="2114"/>
      <c r="M25" s="2114"/>
      <c r="N25" s="2114"/>
      <c r="O25" s="2114"/>
      <c r="P25" s="2114"/>
      <c r="Q25" s="2114"/>
      <c r="R25" s="2114"/>
      <c r="S25" s="2114"/>
      <c r="T25" s="2116"/>
      <c r="U25" s="2132"/>
      <c r="V25" s="2132"/>
      <c r="W25" s="2132"/>
      <c r="X25" s="2132"/>
      <c r="Y25" s="2132"/>
      <c r="Z25" s="2132"/>
      <c r="AA25" s="2132"/>
      <c r="AB25" s="2132"/>
      <c r="AC25" s="2132"/>
      <c r="AD25" s="2132"/>
      <c r="AE25" s="2132"/>
      <c r="AF25" s="2132"/>
      <c r="AG25" s="2132"/>
      <c r="AH25" s="2132"/>
      <c r="AI25" s="2132"/>
      <c r="AJ25" s="2132"/>
      <c r="AK25" s="2132"/>
      <c r="AL25" s="2132"/>
      <c r="AM25" s="2132"/>
      <c r="AN25" s="2132"/>
      <c r="AO25" s="2132"/>
      <c r="AP25" s="2132"/>
      <c r="AQ25" s="2132"/>
      <c r="AR25" s="2132"/>
      <c r="AS25" s="2132"/>
      <c r="AT25" s="2132"/>
      <c r="AU25" s="2132"/>
      <c r="AV25" s="2132"/>
      <c r="AW25" s="2132"/>
      <c r="AX25" s="2132"/>
      <c r="AY25" s="2132"/>
      <c r="AZ25" s="2132"/>
      <c r="BA25" s="2132"/>
      <c r="BB25" s="2132"/>
      <c r="BC25" s="2132"/>
      <c r="BD25" s="2132"/>
      <c r="BE25" s="2132"/>
      <c r="BF25" s="2132"/>
      <c r="BG25" s="2132"/>
      <c r="BH25" s="2132"/>
      <c r="BI25" s="2132"/>
      <c r="BJ25" s="2132"/>
      <c r="BK25" s="2132"/>
      <c r="BL25" s="2132"/>
      <c r="BM25" s="2132"/>
      <c r="BN25" s="2132"/>
      <c r="BO25" s="2114"/>
      <c r="BP25" s="2114"/>
      <c r="BQ25" s="2114"/>
      <c r="BR25" s="2114"/>
      <c r="BS25" s="2114"/>
      <c r="BT25" s="2114"/>
      <c r="BU25" s="2114"/>
      <c r="BV25" s="2114"/>
      <c r="BW25" s="2114"/>
      <c r="BX25" s="2114"/>
      <c r="BY25" s="2114"/>
      <c r="BZ25" s="2116"/>
      <c r="CA25" s="2112"/>
      <c r="CB25" s="3449"/>
      <c r="CC25" s="3449"/>
      <c r="CD25" s="2114"/>
    </row>
    <row r="26" spans="2:83" ht="6.75" customHeight="1" x14ac:dyDescent="0.25"/>
    <row r="27" spans="2:83" ht="14.25" customHeight="1" x14ac:dyDescent="0.25">
      <c r="B27" s="2117"/>
      <c r="C27" s="2121"/>
      <c r="D27" s="2121"/>
      <c r="E27" s="2121"/>
      <c r="F27" s="2121"/>
      <c r="G27" s="2121"/>
      <c r="H27" s="2121"/>
      <c r="I27" s="2121"/>
      <c r="J27" s="2121"/>
      <c r="K27" s="2121"/>
      <c r="L27" s="2121"/>
      <c r="M27" s="2121"/>
      <c r="N27" s="2121"/>
      <c r="O27" s="2121"/>
      <c r="P27" s="2121"/>
      <c r="Q27" s="2121"/>
      <c r="R27" s="2121"/>
      <c r="S27" s="2121"/>
      <c r="T27" s="2151"/>
      <c r="U27" s="2151"/>
      <c r="V27" s="2151"/>
      <c r="W27" s="2151"/>
      <c r="X27" s="2151"/>
      <c r="Y27" s="2151"/>
      <c r="Z27" s="2151"/>
      <c r="AA27" s="2151"/>
      <c r="AB27" s="2151"/>
      <c r="AC27" s="2151"/>
      <c r="AD27" s="2151"/>
      <c r="AE27" s="2151"/>
      <c r="AF27" s="2151"/>
      <c r="AG27" s="2151"/>
      <c r="AH27" s="2151"/>
      <c r="AI27" s="2151"/>
      <c r="AJ27" s="2151"/>
      <c r="AK27" s="2151"/>
      <c r="AL27" s="2151"/>
      <c r="AM27" s="2151"/>
      <c r="AN27" s="2151"/>
      <c r="AO27" s="2151"/>
      <c r="AP27" s="2151"/>
      <c r="AQ27" s="2151"/>
      <c r="AR27" s="2151"/>
      <c r="AS27" s="2151"/>
      <c r="AT27" s="2151"/>
      <c r="AU27" s="2151"/>
      <c r="AV27" s="2151"/>
      <c r="AW27" s="2151"/>
      <c r="AX27" s="2151"/>
      <c r="AY27" s="2151"/>
      <c r="AZ27" s="2151"/>
      <c r="BA27" s="2151"/>
      <c r="BB27" s="2151"/>
      <c r="BC27" s="2121"/>
      <c r="BD27" s="2121"/>
      <c r="BE27" s="2121"/>
      <c r="BF27" s="2121"/>
      <c r="BG27" s="2121"/>
      <c r="BH27" s="2121"/>
      <c r="BI27" s="2121"/>
      <c r="BJ27" s="2121"/>
      <c r="BK27" s="2121"/>
      <c r="BL27" s="2121"/>
      <c r="BM27" s="2121"/>
      <c r="BN27" s="2121"/>
      <c r="BO27" s="2121"/>
      <c r="BP27" s="2121"/>
      <c r="BQ27" s="2121"/>
      <c r="BR27" s="2121"/>
      <c r="BS27" s="2121"/>
      <c r="BT27" s="2121"/>
      <c r="BU27" s="2121"/>
      <c r="BV27" s="2121"/>
      <c r="BW27" s="2121"/>
      <c r="BX27" s="2121"/>
      <c r="BY27" s="2121"/>
      <c r="BZ27" s="2121"/>
      <c r="CA27" s="2121"/>
      <c r="CB27" s="2121"/>
      <c r="CC27" s="2121"/>
      <c r="CD27" s="2128"/>
      <c r="CE27" s="43"/>
    </row>
    <row r="28" spans="2:83" ht="9.75" customHeight="1" x14ac:dyDescent="0.25">
      <c r="B28" s="2118"/>
      <c r="C28" s="45"/>
      <c r="D28" s="46"/>
      <c r="E28" s="46"/>
      <c r="F28" s="46"/>
      <c r="G28" s="46"/>
      <c r="H28" s="46"/>
      <c r="I28" s="46"/>
      <c r="J28" s="46"/>
      <c r="K28" s="46"/>
      <c r="L28" s="46"/>
      <c r="M28" s="46"/>
      <c r="N28" s="46"/>
      <c r="O28" s="46"/>
      <c r="P28" s="46"/>
      <c r="Q28" s="46"/>
      <c r="R28" s="46"/>
      <c r="S28" s="410"/>
      <c r="T28" s="46"/>
      <c r="U28" s="47"/>
      <c r="V28" s="2142"/>
      <c r="W28" s="45"/>
      <c r="X28" s="46"/>
      <c r="Y28" s="410"/>
      <c r="Z28" s="410"/>
      <c r="AA28" s="410"/>
      <c r="AB28" s="410"/>
      <c r="AC28" s="46"/>
      <c r="AD28" s="46"/>
      <c r="AE28" s="46"/>
      <c r="AF28" s="46"/>
      <c r="AG28" s="46"/>
      <c r="AH28" s="46"/>
      <c r="AI28" s="46"/>
      <c r="AJ28" s="46"/>
      <c r="AK28" s="46"/>
      <c r="AL28" s="46"/>
      <c r="AM28" s="46"/>
      <c r="AN28" s="46"/>
      <c r="AO28" s="46"/>
      <c r="AP28" s="46"/>
      <c r="AQ28" s="46"/>
      <c r="AR28" s="46"/>
      <c r="AS28" s="46"/>
      <c r="AT28" s="46"/>
      <c r="AU28" s="468"/>
      <c r="AV28" s="410"/>
      <c r="AW28" s="410"/>
      <c r="AX28" s="46"/>
      <c r="AY28" s="46"/>
      <c r="AZ28" s="46"/>
      <c r="BA28" s="46"/>
      <c r="BB28" s="2129"/>
      <c r="BC28" s="410"/>
      <c r="BD28" s="410"/>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7"/>
      <c r="CD28" s="2136"/>
      <c r="CE28" s="43"/>
    </row>
    <row r="29" spans="2:83" ht="19.5" customHeight="1" x14ac:dyDescent="0.25">
      <c r="B29" s="2118"/>
      <c r="C29" s="101"/>
      <c r="D29" s="102" t="s">
        <v>1508</v>
      </c>
      <c r="E29" s="59"/>
      <c r="F29" s="59"/>
      <c r="G29" s="59"/>
      <c r="H29" s="59"/>
      <c r="I29" s="59"/>
      <c r="J29" s="59"/>
      <c r="K29" s="59"/>
      <c r="L29" s="59"/>
      <c r="M29" s="59"/>
      <c r="N29" s="59"/>
      <c r="O29" s="59"/>
      <c r="P29" s="59"/>
      <c r="Q29" s="59"/>
      <c r="R29" s="59"/>
      <c r="U29" s="1277">
        <f>'CALCULS Eaux pluviales'!O71</f>
        <v>0</v>
      </c>
      <c r="V29" s="2129"/>
      <c r="W29" s="50"/>
      <c r="X29" s="57" t="s">
        <v>1509</v>
      </c>
      <c r="AC29" s="59"/>
      <c r="AD29" s="59"/>
      <c r="AE29" s="59"/>
      <c r="AF29" s="59"/>
      <c r="AG29" s="59"/>
      <c r="AH29" s="59"/>
      <c r="AI29" s="59"/>
      <c r="AJ29" s="59"/>
      <c r="AK29" s="59"/>
      <c r="AL29" s="59"/>
      <c r="AM29" s="59"/>
      <c r="AN29" s="59"/>
      <c r="AO29" s="59"/>
      <c r="AP29" s="59"/>
      <c r="AQ29" s="59"/>
      <c r="AR29" s="59"/>
      <c r="AW29" s="1073"/>
      <c r="AX29" s="3323">
        <f>'CALCULS Eaux pluviales'!O76</f>
        <v>0</v>
      </c>
      <c r="AY29" s="3323"/>
      <c r="AZ29" s="3323"/>
      <c r="BB29" s="2129"/>
      <c r="BD29" s="57" t="s">
        <v>1510</v>
      </c>
      <c r="BE29" s="59"/>
      <c r="BF29" s="57"/>
      <c r="BG29" s="59"/>
      <c r="BH29" s="59"/>
      <c r="BI29" s="59"/>
      <c r="BJ29" s="59"/>
      <c r="BK29" s="59"/>
      <c r="BL29" s="59"/>
      <c r="BM29" s="59"/>
      <c r="BN29" s="59"/>
      <c r="BO29" s="59"/>
      <c r="BP29" s="59"/>
      <c r="BQ29" s="59"/>
      <c r="BR29" s="59"/>
      <c r="BS29" s="59"/>
      <c r="BT29" s="59"/>
      <c r="BU29" s="59"/>
      <c r="BV29" s="59"/>
      <c r="BW29" s="59"/>
      <c r="BX29" s="59"/>
      <c r="BY29" s="59"/>
      <c r="BZ29" s="59"/>
      <c r="CA29" s="3322">
        <f>'CALCULS Eaux pluviales'!O91</f>
        <v>0</v>
      </c>
      <c r="CB29" s="3322"/>
      <c r="CC29" s="61"/>
      <c r="CD29" s="2136"/>
      <c r="CE29" s="43"/>
    </row>
    <row r="30" spans="2:83" ht="7.5" customHeight="1" x14ac:dyDescent="0.25">
      <c r="B30" s="2118"/>
      <c r="C30" s="418"/>
      <c r="D30" s="102"/>
      <c r="E30" s="59"/>
      <c r="F30" s="59"/>
      <c r="G30" s="59"/>
      <c r="H30" s="59"/>
      <c r="I30" s="59"/>
      <c r="J30" s="59"/>
      <c r="K30" s="59"/>
      <c r="L30" s="59"/>
      <c r="M30" s="59"/>
      <c r="N30" s="59"/>
      <c r="O30" s="59"/>
      <c r="P30" s="59"/>
      <c r="Q30" s="59"/>
      <c r="R30" s="59"/>
      <c r="T30" s="59"/>
      <c r="U30" s="61"/>
      <c r="V30" s="2154"/>
      <c r="W30" s="50"/>
      <c r="AC30" s="59"/>
      <c r="AD30" s="59"/>
      <c r="AE30" s="59"/>
      <c r="AF30" s="59"/>
      <c r="AG30" s="59"/>
      <c r="AH30" s="59"/>
      <c r="AI30" s="59"/>
      <c r="AJ30" s="59"/>
      <c r="AK30" s="59"/>
      <c r="AL30" s="59"/>
      <c r="AM30" s="59"/>
      <c r="AN30" s="59"/>
      <c r="AO30" s="59"/>
      <c r="AP30" s="59"/>
      <c r="AQ30" s="59"/>
      <c r="AR30" s="59"/>
      <c r="AS30" s="1271"/>
      <c r="AT30" s="1271"/>
      <c r="AU30" s="55"/>
      <c r="AX30" s="59"/>
      <c r="AY30" s="55"/>
      <c r="BB30" s="2129"/>
      <c r="BE30" s="59"/>
      <c r="BF30" s="57"/>
      <c r="BG30" s="59"/>
      <c r="BH30" s="59"/>
      <c r="BI30" s="59"/>
      <c r="BJ30" s="59"/>
      <c r="BK30" s="59"/>
      <c r="BL30" s="59"/>
      <c r="BM30" s="59"/>
      <c r="BN30" s="59"/>
      <c r="BO30" s="59"/>
      <c r="BP30" s="59"/>
      <c r="BQ30" s="59"/>
      <c r="BR30" s="59"/>
      <c r="BS30" s="59"/>
      <c r="BT30" s="59"/>
      <c r="BU30" s="59"/>
      <c r="BV30" s="59"/>
      <c r="BW30" s="59"/>
      <c r="BX30" s="59"/>
      <c r="BY30" s="59"/>
      <c r="BZ30" s="59"/>
      <c r="CA30" s="59"/>
      <c r="CB30" s="1271"/>
      <c r="CC30" s="61"/>
      <c r="CD30" s="2136"/>
      <c r="CE30" s="43"/>
    </row>
    <row r="31" spans="2:83" ht="23.25" customHeight="1" x14ac:dyDescent="0.25">
      <c r="B31" s="2118"/>
      <c r="C31" s="392"/>
      <c r="D31" s="403" t="s">
        <v>1511</v>
      </c>
      <c r="E31" s="409"/>
      <c r="F31" s="409"/>
      <c r="G31" s="409"/>
      <c r="I31" s="409"/>
      <c r="K31" s="572" t="s">
        <v>1458</v>
      </c>
      <c r="L31" s="409"/>
      <c r="M31" s="103"/>
      <c r="O31" s="413"/>
      <c r="P31" s="413"/>
      <c r="Q31" s="413"/>
      <c r="R31" s="413"/>
      <c r="S31" s="413"/>
      <c r="T31" s="413"/>
      <c r="U31" s="120"/>
      <c r="V31" s="2129"/>
      <c r="W31" s="1063"/>
      <c r="Z31" s="1058" t="s">
        <v>1831</v>
      </c>
      <c r="AA31" s="413"/>
      <c r="AB31" s="413"/>
      <c r="AC31" s="413"/>
      <c r="AD31" s="413"/>
      <c r="AE31" s="413"/>
      <c r="AF31" s="413"/>
      <c r="AG31" s="413"/>
      <c r="AH31" s="413"/>
      <c r="AI31" s="413"/>
      <c r="AJ31" s="413"/>
      <c r="AK31" s="413"/>
      <c r="AL31" s="413"/>
      <c r="AM31" s="413"/>
      <c r="AN31" s="3329"/>
      <c r="AO31" s="3329"/>
      <c r="AP31" s="3329"/>
      <c r="AQ31" s="3329"/>
      <c r="AR31" s="3347"/>
      <c r="AS31" s="3346" t="s">
        <v>1823</v>
      </c>
      <c r="AT31" s="3347"/>
      <c r="AU31" s="3329" t="s">
        <v>1512</v>
      </c>
      <c r="AV31" s="3329"/>
      <c r="AW31" s="3329"/>
      <c r="AX31" s="3329"/>
      <c r="AY31" s="3329"/>
      <c r="BB31" s="2129"/>
      <c r="BE31" s="103"/>
      <c r="BF31" s="400" t="s">
        <v>223</v>
      </c>
      <c r="BG31" s="400"/>
      <c r="BH31" s="400"/>
      <c r="BI31" s="400"/>
      <c r="BJ31" s="400"/>
      <c r="BK31" s="400"/>
      <c r="BM31" s="413"/>
      <c r="BN31" s="413"/>
      <c r="BO31" s="413"/>
      <c r="BP31" s="3339" t="s">
        <v>1807</v>
      </c>
      <c r="BQ31" s="3340"/>
      <c r="BR31" s="3340"/>
      <c r="BS31" s="3340"/>
      <c r="BT31" s="3340"/>
      <c r="BU31" s="3340"/>
      <c r="BV31" s="3340"/>
      <c r="BW31" s="1071"/>
      <c r="BX31" s="3338" t="s">
        <v>1507</v>
      </c>
      <c r="BY31" s="3338"/>
      <c r="BZ31" s="3338"/>
      <c r="CA31" s="3338"/>
      <c r="CB31" s="3338"/>
      <c r="CC31" s="567"/>
      <c r="CD31" s="2136"/>
      <c r="CE31" s="43"/>
    </row>
    <row r="32" spans="2:83" ht="3.75" customHeight="1" thickBot="1" x14ac:dyDescent="0.3">
      <c r="B32" s="2118"/>
      <c r="C32" s="392"/>
      <c r="D32" s="1067"/>
      <c r="E32" s="1067"/>
      <c r="F32" s="1067"/>
      <c r="G32" s="1067"/>
      <c r="H32" s="1067"/>
      <c r="I32" s="1067"/>
      <c r="J32" s="412"/>
      <c r="K32" s="1068"/>
      <c r="L32" s="1067"/>
      <c r="M32" s="1067"/>
      <c r="N32" s="1067"/>
      <c r="O32" s="1067"/>
      <c r="P32" s="1067"/>
      <c r="Q32" s="411"/>
      <c r="R32" s="411"/>
      <c r="S32" s="411"/>
      <c r="T32" s="411"/>
      <c r="U32" s="1061"/>
      <c r="V32" s="2155"/>
      <c r="W32" s="1064"/>
      <c r="X32" s="391"/>
      <c r="Y32" s="405"/>
      <c r="Z32" s="405"/>
      <c r="AA32" s="405"/>
      <c r="AB32" s="405"/>
      <c r="AC32" s="405"/>
      <c r="AD32" s="405"/>
      <c r="AE32" s="405"/>
      <c r="AF32" s="405"/>
      <c r="AG32" s="405"/>
      <c r="AH32" s="405"/>
      <c r="AI32" s="405"/>
      <c r="AJ32" s="406"/>
      <c r="AK32" s="406"/>
      <c r="AL32" s="406"/>
      <c r="AM32" s="406"/>
      <c r="AN32" s="406"/>
      <c r="AO32" s="406"/>
      <c r="AP32" s="406"/>
      <c r="AQ32" s="406"/>
      <c r="AR32" s="1054"/>
      <c r="AS32" s="1147"/>
      <c r="AT32" s="1054"/>
      <c r="AU32" s="406"/>
      <c r="AV32" s="406"/>
      <c r="AW32" s="406"/>
      <c r="AX32" s="406"/>
      <c r="AY32" s="1072"/>
      <c r="BB32" s="2129"/>
      <c r="BD32" s="103"/>
      <c r="BE32" s="411"/>
      <c r="BF32" s="412"/>
      <c r="BG32" s="401"/>
      <c r="BH32" s="401"/>
      <c r="BI32" s="401"/>
      <c r="BJ32" s="401"/>
      <c r="BK32" s="401"/>
      <c r="BL32" s="401"/>
      <c r="BM32" s="401"/>
      <c r="BN32" s="399"/>
      <c r="BO32" s="399"/>
      <c r="BP32" s="1076"/>
      <c r="BQ32" s="411"/>
      <c r="BR32" s="399"/>
      <c r="BS32" s="401"/>
      <c r="BT32" s="401"/>
      <c r="BU32" s="401"/>
      <c r="BV32" s="401"/>
      <c r="BW32" s="401"/>
      <c r="BX32" s="402"/>
      <c r="BY32" s="401"/>
      <c r="BZ32" s="401"/>
      <c r="CA32" s="401"/>
      <c r="CB32" s="401"/>
      <c r="CC32" s="393"/>
      <c r="CD32" s="2136"/>
      <c r="CE32" s="43"/>
    </row>
    <row r="33" spans="2:83" ht="4.5" customHeight="1" x14ac:dyDescent="0.25">
      <c r="B33" s="2118"/>
      <c r="C33" s="392"/>
      <c r="D33" s="404"/>
      <c r="E33" s="103"/>
      <c r="F33" s="103"/>
      <c r="G33" s="103"/>
      <c r="I33" s="103"/>
      <c r="K33" s="408"/>
      <c r="L33" s="103"/>
      <c r="M33" s="103"/>
      <c r="O33" s="103"/>
      <c r="P33" s="103"/>
      <c r="Q33" s="103"/>
      <c r="R33" s="103"/>
      <c r="S33" s="103"/>
      <c r="T33" s="103"/>
      <c r="U33" s="1062"/>
      <c r="V33" s="2129"/>
      <c r="W33" s="1065"/>
      <c r="AA33" s="391"/>
      <c r="AB33" s="391"/>
      <c r="AC33" s="391"/>
      <c r="AD33" s="391"/>
      <c r="AE33" s="391"/>
      <c r="AF33" s="391"/>
      <c r="AG33" s="391"/>
      <c r="AH33" s="391"/>
      <c r="AI33" s="391"/>
      <c r="AJ33" s="391"/>
      <c r="AK33" s="103"/>
      <c r="AL33" s="103"/>
      <c r="AM33" s="103"/>
      <c r="AN33" s="103"/>
      <c r="AP33" s="103"/>
      <c r="AQ33" s="103"/>
      <c r="AR33" s="1055"/>
      <c r="AS33" s="408"/>
      <c r="AT33" s="1148"/>
      <c r="AU33" s="55"/>
      <c r="AV33" s="55"/>
      <c r="AW33" s="55"/>
      <c r="AX33" s="55"/>
      <c r="AY33" s="55"/>
      <c r="BB33" s="2129"/>
      <c r="BD33" s="103"/>
      <c r="BE33" s="103"/>
      <c r="BG33" s="103"/>
      <c r="BH33" s="103"/>
      <c r="BI33" s="103"/>
      <c r="BJ33" s="103"/>
      <c r="BK33" s="103"/>
      <c r="BM33" s="103"/>
      <c r="BN33" s="103"/>
      <c r="BO33" s="103"/>
      <c r="BP33" s="1077"/>
      <c r="BQ33" s="103"/>
      <c r="BR33" s="103"/>
      <c r="BS33" s="398"/>
      <c r="BT33" s="103"/>
      <c r="BU33" s="103"/>
      <c r="BV33" s="103"/>
      <c r="BW33" s="103"/>
      <c r="BY33" s="103"/>
      <c r="BZ33" s="398"/>
      <c r="CA33" s="103"/>
      <c r="CB33" s="103"/>
      <c r="CC33" s="393"/>
      <c r="CD33" s="2136"/>
      <c r="CE33" s="43"/>
    </row>
    <row r="34" spans="2:83" ht="21" customHeight="1" x14ac:dyDescent="0.25">
      <c r="B34" s="2118"/>
      <c r="C34" s="392"/>
      <c r="D34" s="3383" t="str">
        <f>IF(ISBLANK('FORMULAIRE PGA Eaux pluviales '!D199)=TRUE,"",'FORMULAIRE PGA Eaux pluviales '!D199)</f>
        <v/>
      </c>
      <c r="E34" s="3383"/>
      <c r="F34" s="3383"/>
      <c r="G34" s="3383"/>
      <c r="H34" s="3383"/>
      <c r="I34" s="3383"/>
      <c r="K34" s="3389" t="str">
        <f>IF(ISBLANK('FORMULAIRE PGA Eaux pluviales '!J199)=TRUE,"",'FORMULAIRE PGA Eaux pluviales '!J199)</f>
        <v/>
      </c>
      <c r="L34" s="3383"/>
      <c r="M34" s="3383"/>
      <c r="N34" s="3383"/>
      <c r="O34" s="3383"/>
      <c r="P34" s="3383"/>
      <c r="Q34" s="3383"/>
      <c r="R34" s="3383"/>
      <c r="S34" s="3383"/>
      <c r="T34" s="3383"/>
      <c r="U34" s="3390"/>
      <c r="V34" s="2129"/>
      <c r="W34" s="1066"/>
      <c r="Y34" s="1059" t="s">
        <v>229</v>
      </c>
      <c r="Z34" s="589"/>
      <c r="AA34" s="590"/>
      <c r="AB34" s="590"/>
      <c r="AC34" s="590"/>
      <c r="AD34" s="590"/>
      <c r="AE34" s="591"/>
      <c r="AF34" s="591"/>
      <c r="AG34" s="591"/>
      <c r="AH34" s="591"/>
      <c r="AI34" s="591"/>
      <c r="AJ34" s="592"/>
      <c r="AK34" s="592"/>
      <c r="AL34" s="592"/>
      <c r="AM34" s="592"/>
      <c r="AN34" s="592"/>
      <c r="AO34" s="1052"/>
      <c r="AP34" s="1052"/>
      <c r="AQ34" s="1052"/>
      <c r="AR34" s="1056"/>
      <c r="AS34" s="1151" t="str">
        <f>IF('CALCULS Eaux pluviales'!J77&gt;0,"P","")</f>
        <v/>
      </c>
      <c r="AT34" s="1149"/>
      <c r="AU34" s="3328" t="str">
        <f>IF('CALCULS Eaux pluviales'!K77&gt;0,"P","")</f>
        <v/>
      </c>
      <c r="AV34" s="3328"/>
      <c r="AW34" s="3328"/>
      <c r="AX34" s="3328"/>
      <c r="AY34" s="591"/>
      <c r="BB34" s="2129"/>
      <c r="BD34" s="76"/>
      <c r="BE34" s="76"/>
      <c r="BF34" s="1079" t="str">
        <f>IF(ISBLANK('FORMULAIRE PGA Eaux pluviales '!D220)=TRUE,"",'FORMULAIRE PGA Eaux pluviales '!D220)</f>
        <v/>
      </c>
      <c r="BG34" s="1079"/>
      <c r="BH34" s="1079"/>
      <c r="BI34" s="1079"/>
      <c r="BJ34" s="1079"/>
      <c r="BK34" s="1079"/>
      <c r="BL34" s="1079"/>
      <c r="BM34" s="1079"/>
      <c r="BN34" s="1079"/>
      <c r="BO34" s="569"/>
      <c r="BP34" s="1080"/>
      <c r="BQ34" s="570"/>
      <c r="BR34" s="1081" t="str">
        <f>'CALCULS Eaux pluviales'!J92</f>
        <v/>
      </c>
      <c r="BS34" s="3324" t="str">
        <f>'CALCULS Eaux pluviales'!I92</f>
        <v/>
      </c>
      <c r="BT34" s="3324"/>
      <c r="BU34" s="72"/>
      <c r="BV34" s="1074"/>
      <c r="BW34" s="1074"/>
      <c r="BX34" s="72"/>
      <c r="BY34" s="1081" t="str">
        <f>'CALCULS Eaux pluviales'!L92</f>
        <v/>
      </c>
      <c r="BZ34" s="3325" t="str">
        <f>'CALCULS Eaux pluviales'!K92</f>
        <v/>
      </c>
      <c r="CA34" s="3325"/>
      <c r="CB34" s="3325"/>
      <c r="CC34" s="393"/>
      <c r="CD34" s="2136"/>
      <c r="CE34" s="43"/>
    </row>
    <row r="35" spans="2:83" ht="21" customHeight="1" x14ac:dyDescent="0.25">
      <c r="B35" s="2118"/>
      <c r="C35" s="392"/>
      <c r="D35" s="3383" t="str">
        <f>IF(ISBLANK('FORMULAIRE PGA Eaux pluviales '!D200)=TRUE,"",'FORMULAIRE PGA Eaux pluviales '!D200)</f>
        <v/>
      </c>
      <c r="E35" s="3383"/>
      <c r="F35" s="3383"/>
      <c r="G35" s="3383"/>
      <c r="H35" s="3383"/>
      <c r="I35" s="3383"/>
      <c r="K35" s="3389" t="str">
        <f>IF(ISBLANK('FORMULAIRE PGA Eaux pluviales '!J200)=TRUE,"",'FORMULAIRE PGA Eaux pluviales '!J200)</f>
        <v/>
      </c>
      <c r="L35" s="3383"/>
      <c r="M35" s="3383"/>
      <c r="N35" s="3383"/>
      <c r="O35" s="3383"/>
      <c r="P35" s="3383"/>
      <c r="Q35" s="3383"/>
      <c r="R35" s="3383"/>
      <c r="S35" s="3383"/>
      <c r="T35" s="3383"/>
      <c r="U35" s="3390"/>
      <c r="V35" s="2129"/>
      <c r="W35" s="1066"/>
      <c r="Y35" s="1060" t="s">
        <v>1802</v>
      </c>
      <c r="Z35" s="593"/>
      <c r="AA35" s="594"/>
      <c r="AB35" s="594"/>
      <c r="AC35" s="594"/>
      <c r="AD35" s="594"/>
      <c r="AE35" s="595"/>
      <c r="AF35" s="595"/>
      <c r="AG35" s="595"/>
      <c r="AH35" s="595"/>
      <c r="AI35" s="595"/>
      <c r="AJ35" s="596"/>
      <c r="AK35" s="596"/>
      <c r="AL35" s="596"/>
      <c r="AM35" s="596"/>
      <c r="AN35" s="596"/>
      <c r="AO35" s="1053"/>
      <c r="AP35" s="1053"/>
      <c r="AQ35" s="1053"/>
      <c r="AR35" s="1057"/>
      <c r="AS35" s="1152" t="str">
        <f>IF('CALCULS Eaux pluviales'!J78&gt;0,"P","")</f>
        <v/>
      </c>
      <c r="AT35" s="1150"/>
      <c r="AU35" s="3327" t="str">
        <f>IF('CALCULS Eaux pluviales'!K78&gt;0,"P","")</f>
        <v/>
      </c>
      <c r="AV35" s="3327"/>
      <c r="AW35" s="3327"/>
      <c r="AX35" s="3327"/>
      <c r="AY35" s="595"/>
      <c r="BB35" s="2129"/>
      <c r="BD35" s="76"/>
      <c r="BE35" s="76"/>
      <c r="BF35" s="1079" t="str">
        <f>IF(ISBLANK('FORMULAIRE PGA Eaux pluviales '!D221)=TRUE,"",'FORMULAIRE PGA Eaux pluviales '!D221)</f>
        <v/>
      </c>
      <c r="BG35" s="1079"/>
      <c r="BH35" s="1079"/>
      <c r="BI35" s="1079"/>
      <c r="BJ35" s="1079"/>
      <c r="BK35" s="1079"/>
      <c r="BL35" s="1079"/>
      <c r="BM35" s="1079"/>
      <c r="BN35" s="1079"/>
      <c r="BO35" s="569"/>
      <c r="BP35" s="1078"/>
      <c r="BQ35" s="570"/>
      <c r="BR35" s="1081" t="str">
        <f>'CALCULS Eaux pluviales'!J93</f>
        <v/>
      </c>
      <c r="BS35" s="3324" t="str">
        <f>'CALCULS Eaux pluviales'!I93</f>
        <v/>
      </c>
      <c r="BT35" s="3324"/>
      <c r="BU35" s="72"/>
      <c r="BV35" s="1074"/>
      <c r="BW35" s="1074"/>
      <c r="BX35" s="1074"/>
      <c r="BY35" s="1081" t="str">
        <f>'CALCULS Eaux pluviales'!L93</f>
        <v/>
      </c>
      <c r="BZ35" s="3325" t="str">
        <f>'CALCULS Eaux pluviales'!K93</f>
        <v/>
      </c>
      <c r="CA35" s="3325"/>
      <c r="CB35" s="3325"/>
      <c r="CC35" s="393"/>
      <c r="CD35" s="2136"/>
      <c r="CE35" s="43"/>
    </row>
    <row r="36" spans="2:83" ht="21" customHeight="1" x14ac:dyDescent="0.25">
      <c r="B36" s="2118"/>
      <c r="C36" s="392"/>
      <c r="D36" s="3383" t="str">
        <f>IF(ISBLANK('FORMULAIRE PGA Eaux pluviales '!D201)=TRUE,"",'FORMULAIRE PGA Eaux pluviales '!D201)</f>
        <v/>
      </c>
      <c r="E36" s="3383"/>
      <c r="F36" s="3383"/>
      <c r="G36" s="3383"/>
      <c r="H36" s="3383"/>
      <c r="I36" s="3383"/>
      <c r="K36" s="3389" t="str">
        <f>IF(ISBLANK('FORMULAIRE PGA Eaux pluviales '!J201)=TRUE,"",'FORMULAIRE PGA Eaux pluviales '!J201)</f>
        <v/>
      </c>
      <c r="L36" s="3383"/>
      <c r="M36" s="3383"/>
      <c r="N36" s="3383"/>
      <c r="O36" s="3383"/>
      <c r="P36" s="3383"/>
      <c r="Q36" s="3383"/>
      <c r="R36" s="3383"/>
      <c r="S36" s="3383"/>
      <c r="T36" s="3383"/>
      <c r="U36" s="3390"/>
      <c r="V36" s="2129"/>
      <c r="W36" s="1066"/>
      <c r="Y36" s="1060" t="s">
        <v>1803</v>
      </c>
      <c r="Z36" s="593"/>
      <c r="AA36" s="594"/>
      <c r="AB36" s="594"/>
      <c r="AC36" s="594"/>
      <c r="AD36" s="594"/>
      <c r="AE36" s="596"/>
      <c r="AF36" s="596"/>
      <c r="AG36" s="596"/>
      <c r="AH36" s="596"/>
      <c r="AI36" s="596"/>
      <c r="AJ36" s="596"/>
      <c r="AK36" s="596"/>
      <c r="AL36" s="596"/>
      <c r="AM36" s="596"/>
      <c r="AN36" s="596"/>
      <c r="AO36" s="1053"/>
      <c r="AP36" s="1053"/>
      <c r="AQ36" s="1053"/>
      <c r="AR36" s="1057"/>
      <c r="AS36" s="1152" t="str">
        <f>IF('CALCULS Eaux pluviales'!J79&gt;0,"P","")</f>
        <v/>
      </c>
      <c r="AT36" s="1150"/>
      <c r="AU36" s="3327" t="str">
        <f>IF('CALCULS Eaux pluviales'!K79&gt;0,"P","")</f>
        <v/>
      </c>
      <c r="AV36" s="3327"/>
      <c r="AW36" s="3327"/>
      <c r="AX36" s="3327"/>
      <c r="AY36" s="596"/>
      <c r="BB36" s="2152"/>
      <c r="BD36" s="76"/>
      <c r="BE36" s="76"/>
      <c r="BF36" s="1079" t="str">
        <f>IF(ISBLANK('FORMULAIRE PGA Eaux pluviales '!D222)=TRUE,"",'FORMULAIRE PGA Eaux pluviales '!D222)</f>
        <v/>
      </c>
      <c r="BG36" s="1079"/>
      <c r="BH36" s="1079"/>
      <c r="BI36" s="1079"/>
      <c r="BJ36" s="1079"/>
      <c r="BK36" s="1079"/>
      <c r="BL36" s="1079"/>
      <c r="BM36" s="1079"/>
      <c r="BN36" s="1079"/>
      <c r="BO36" s="570"/>
      <c r="BP36" s="1078"/>
      <c r="BQ36" s="570"/>
      <c r="BR36" s="1081" t="str">
        <f>'CALCULS Eaux pluviales'!J94</f>
        <v/>
      </c>
      <c r="BS36" s="3324" t="str">
        <f>'CALCULS Eaux pluviales'!I94</f>
        <v/>
      </c>
      <c r="BT36" s="3324"/>
      <c r="BU36" s="72"/>
      <c r="BV36" s="1074"/>
      <c r="BW36" s="1074"/>
      <c r="BX36" s="1074"/>
      <c r="BY36" s="1081" t="str">
        <f>'CALCULS Eaux pluviales'!L94</f>
        <v/>
      </c>
      <c r="BZ36" s="3325" t="str">
        <f>'CALCULS Eaux pluviales'!K94</f>
        <v/>
      </c>
      <c r="CA36" s="3325"/>
      <c r="CB36" s="3325"/>
      <c r="CC36" s="393"/>
      <c r="CD36" s="2136"/>
      <c r="CE36" s="43"/>
    </row>
    <row r="37" spans="2:83" ht="21" customHeight="1" x14ac:dyDescent="0.25">
      <c r="B37" s="2118"/>
      <c r="C37" s="392"/>
      <c r="D37" s="3383"/>
      <c r="E37" s="3383"/>
      <c r="F37" s="3383"/>
      <c r="G37" s="3383"/>
      <c r="H37" s="3383"/>
      <c r="I37" s="3383"/>
      <c r="K37" s="3383"/>
      <c r="L37" s="3383"/>
      <c r="M37" s="3383"/>
      <c r="N37" s="3383"/>
      <c r="O37" s="3383"/>
      <c r="P37" s="3383"/>
      <c r="Q37" s="3383"/>
      <c r="R37" s="3383"/>
      <c r="S37" s="3383"/>
      <c r="T37" s="3383"/>
      <c r="U37" s="3390"/>
      <c r="V37" s="2129"/>
      <c r="W37" s="1066"/>
      <c r="Y37" s="1060" t="s">
        <v>1804</v>
      </c>
      <c r="Z37" s="593"/>
      <c r="AA37" s="594"/>
      <c r="AB37" s="594"/>
      <c r="AC37" s="594"/>
      <c r="AD37" s="594"/>
      <c r="AE37" s="595"/>
      <c r="AF37" s="595"/>
      <c r="AG37" s="595"/>
      <c r="AH37" s="595"/>
      <c r="AI37" s="595"/>
      <c r="AJ37" s="596"/>
      <c r="AK37" s="596"/>
      <c r="AL37" s="596"/>
      <c r="AM37" s="596"/>
      <c r="AN37" s="596"/>
      <c r="AO37" s="1053"/>
      <c r="AP37" s="1053"/>
      <c r="AQ37" s="1053"/>
      <c r="AR37" s="1057"/>
      <c r="AS37" s="1152" t="str">
        <f>IF('CALCULS Eaux pluviales'!J80&gt;0,"P","")</f>
        <v/>
      </c>
      <c r="AT37" s="1150"/>
      <c r="AU37" s="3327" t="str">
        <f>IF('CALCULS Eaux pluviales'!K80&gt;0,"P","")</f>
        <v/>
      </c>
      <c r="AV37" s="3327"/>
      <c r="AW37" s="3327"/>
      <c r="AX37" s="3327"/>
      <c r="AY37" s="595"/>
      <c r="BB37" s="2152"/>
      <c r="BD37" s="76"/>
      <c r="BE37" s="76"/>
      <c r="BF37" s="1079"/>
      <c r="BG37" s="76"/>
      <c r="BH37" s="76"/>
      <c r="BI37" s="76"/>
      <c r="BJ37" s="76"/>
      <c r="BK37" s="76"/>
      <c r="BL37" s="72"/>
      <c r="BM37" s="570"/>
      <c r="BN37" s="570"/>
      <c r="BO37" s="570"/>
      <c r="BP37" s="570"/>
      <c r="BQ37" s="570"/>
      <c r="BR37" s="1081"/>
      <c r="BS37" s="3324"/>
      <c r="BT37" s="3324"/>
      <c r="BU37" s="72"/>
      <c r="BV37" s="570"/>
      <c r="BW37" s="570"/>
      <c r="BX37" s="570"/>
      <c r="BY37" s="1081"/>
      <c r="BZ37" s="3325"/>
      <c r="CA37" s="3325"/>
      <c r="CB37" s="3325"/>
      <c r="CC37" s="393"/>
      <c r="CD37" s="2136"/>
      <c r="CE37" s="43"/>
    </row>
    <row r="38" spans="2:83" ht="17.25" customHeight="1" x14ac:dyDescent="0.25">
      <c r="B38" s="2118"/>
      <c r="C38" s="392"/>
      <c r="D38" s="3383"/>
      <c r="E38" s="3383"/>
      <c r="F38" s="3383"/>
      <c r="G38" s="3383"/>
      <c r="H38" s="3383"/>
      <c r="I38" s="3383"/>
      <c r="K38" s="3383"/>
      <c r="L38" s="3383"/>
      <c r="M38" s="3383"/>
      <c r="N38" s="3383"/>
      <c r="O38" s="3383"/>
      <c r="P38" s="3383"/>
      <c r="Q38" s="3383"/>
      <c r="R38" s="3383"/>
      <c r="S38" s="3383"/>
      <c r="T38" s="3383"/>
      <c r="U38" s="3390"/>
      <c r="V38" s="2129"/>
      <c r="W38" s="1066"/>
      <c r="Y38" s="1171" t="s">
        <v>1812</v>
      </c>
      <c r="Z38" s="1165"/>
      <c r="AA38" s="1166"/>
      <c r="AB38" s="1166"/>
      <c r="AC38" s="1166"/>
      <c r="AD38" s="1166"/>
      <c r="AE38" s="1166"/>
      <c r="AF38" s="1166"/>
      <c r="AG38" s="1166"/>
      <c r="AH38" s="1166"/>
      <c r="AI38" s="1166"/>
      <c r="AJ38" s="1167"/>
      <c r="AK38" s="1167"/>
      <c r="AL38" s="1167"/>
      <c r="AM38" s="1167"/>
      <c r="AN38" s="1167"/>
      <c r="AO38" s="1168"/>
      <c r="AP38" s="1168"/>
      <c r="AQ38" s="1168"/>
      <c r="AR38" s="1169"/>
      <c r="AS38" s="1172" t="str">
        <f>IF('CALCULS Eaux pluviales'!J81&gt;0,"P","")</f>
        <v/>
      </c>
      <c r="AT38" s="1170"/>
      <c r="AU38" s="3372" t="str">
        <f>IF('CALCULS Eaux pluviales'!K81&gt;0,"P","")</f>
        <v/>
      </c>
      <c r="AV38" s="3373"/>
      <c r="AW38" s="3373"/>
      <c r="AX38" s="3373"/>
      <c r="AY38" s="1166"/>
      <c r="BB38" s="2152"/>
      <c r="BD38" s="76"/>
      <c r="BE38" s="76"/>
      <c r="BF38" s="1079"/>
      <c r="BG38" s="76"/>
      <c r="BH38" s="76"/>
      <c r="BI38" s="76"/>
      <c r="BJ38" s="76"/>
      <c r="BK38" s="76"/>
      <c r="BL38" s="72"/>
      <c r="BM38" s="570"/>
      <c r="BN38" s="570"/>
      <c r="BO38" s="570"/>
      <c r="BP38" s="570"/>
      <c r="BQ38" s="570"/>
      <c r="BR38" s="1081"/>
      <c r="BS38" s="3324"/>
      <c r="BT38" s="3324"/>
      <c r="BU38" s="72"/>
      <c r="BV38" s="570"/>
      <c r="BW38" s="570"/>
      <c r="BX38" s="570"/>
      <c r="BY38" s="1081"/>
      <c r="BZ38" s="3325"/>
      <c r="CA38" s="3325"/>
      <c r="CB38" s="3325"/>
      <c r="CC38" s="393"/>
      <c r="CD38" s="2136"/>
      <c r="CE38" s="43"/>
    </row>
    <row r="39" spans="2:83" ht="6.75" customHeight="1" x14ac:dyDescent="0.25">
      <c r="B39" s="2118"/>
      <c r="C39" s="394"/>
      <c r="D39" s="395"/>
      <c r="E39" s="396"/>
      <c r="F39" s="396"/>
      <c r="G39" s="396"/>
      <c r="H39" s="396"/>
      <c r="I39" s="396"/>
      <c r="J39" s="396"/>
      <c r="K39" s="396"/>
      <c r="L39" s="396"/>
      <c r="M39" s="396"/>
      <c r="N39" s="396"/>
      <c r="O39" s="396"/>
      <c r="P39" s="396"/>
      <c r="Q39" s="396"/>
      <c r="R39" s="396"/>
      <c r="S39" s="163"/>
      <c r="T39" s="396"/>
      <c r="U39" s="397"/>
      <c r="V39" s="2156"/>
      <c r="W39" s="394"/>
      <c r="X39" s="396"/>
      <c r="Y39" s="163"/>
      <c r="Z39" s="163"/>
      <c r="AA39" s="163"/>
      <c r="AB39" s="163"/>
      <c r="AC39" s="396"/>
      <c r="AD39" s="396"/>
      <c r="AE39" s="396"/>
      <c r="AF39" s="396"/>
      <c r="AG39" s="396"/>
      <c r="AH39" s="396"/>
      <c r="AI39" s="396"/>
      <c r="AJ39" s="396"/>
      <c r="AK39" s="396"/>
      <c r="AL39" s="396"/>
      <c r="AM39" s="396"/>
      <c r="AN39" s="396"/>
      <c r="AO39" s="396"/>
      <c r="AP39" s="396"/>
      <c r="AQ39" s="396"/>
      <c r="AR39" s="396"/>
      <c r="AS39" s="396"/>
      <c r="AT39" s="396"/>
      <c r="AU39" s="162"/>
      <c r="AV39" s="163"/>
      <c r="AW39" s="163"/>
      <c r="AX39" s="396"/>
      <c r="AY39" s="162"/>
      <c r="AZ39" s="163"/>
      <c r="BA39" s="163"/>
      <c r="BB39" s="2129"/>
      <c r="BC39" s="163"/>
      <c r="BD39" s="163"/>
      <c r="BE39" s="396"/>
      <c r="BF39" s="396"/>
      <c r="BG39" s="396"/>
      <c r="BH39" s="396"/>
      <c r="BI39" s="396"/>
      <c r="BJ39" s="396"/>
      <c r="BK39" s="396"/>
      <c r="BL39" s="396"/>
      <c r="BM39" s="396"/>
      <c r="BN39" s="396"/>
      <c r="BO39" s="396"/>
      <c r="BP39" s="396"/>
      <c r="BQ39" s="396"/>
      <c r="BR39" s="396"/>
      <c r="BS39" s="396"/>
      <c r="BT39" s="396"/>
      <c r="BU39" s="396"/>
      <c r="BV39" s="396"/>
      <c r="BW39" s="396"/>
      <c r="BX39" s="396"/>
      <c r="BY39" s="396"/>
      <c r="BZ39" s="396"/>
      <c r="CA39" s="396"/>
      <c r="CB39" s="396"/>
      <c r="CC39" s="397"/>
      <c r="CD39" s="2136"/>
      <c r="CE39" s="43"/>
    </row>
    <row r="40" spans="2:83" ht="12.75" customHeight="1" x14ac:dyDescent="0.25">
      <c r="B40" s="2120"/>
      <c r="C40" s="2127"/>
      <c r="D40" s="2127"/>
      <c r="E40" s="2127"/>
      <c r="F40" s="2127"/>
      <c r="G40" s="2127"/>
      <c r="H40" s="2127"/>
      <c r="I40" s="2127"/>
      <c r="J40" s="2127"/>
      <c r="K40" s="2127"/>
      <c r="L40" s="2127"/>
      <c r="M40" s="2127"/>
      <c r="N40" s="2127"/>
      <c r="O40" s="2127"/>
      <c r="P40" s="2127"/>
      <c r="Q40" s="2127"/>
      <c r="R40" s="2127"/>
      <c r="S40" s="2127"/>
      <c r="T40" s="2153"/>
      <c r="U40" s="2153"/>
      <c r="V40" s="2153"/>
      <c r="W40" s="2153"/>
      <c r="X40" s="2153"/>
      <c r="Y40" s="2153"/>
      <c r="Z40" s="2153"/>
      <c r="AA40" s="2153"/>
      <c r="AB40" s="2153"/>
      <c r="AC40" s="2153"/>
      <c r="AD40" s="2153"/>
      <c r="AE40" s="2153"/>
      <c r="AF40" s="2153"/>
      <c r="AG40" s="2153"/>
      <c r="AH40" s="2153"/>
      <c r="AI40" s="2153"/>
      <c r="AJ40" s="2153"/>
      <c r="AK40" s="2153"/>
      <c r="AL40" s="2153"/>
      <c r="AM40" s="2153"/>
      <c r="AN40" s="2153"/>
      <c r="AO40" s="2153"/>
      <c r="AP40" s="2153"/>
      <c r="AQ40" s="2153"/>
      <c r="AR40" s="2153"/>
      <c r="AS40" s="2153"/>
      <c r="AT40" s="2153"/>
      <c r="AU40" s="2153"/>
      <c r="AV40" s="2153"/>
      <c r="AW40" s="2153"/>
      <c r="AX40" s="2153"/>
      <c r="AY40" s="2153"/>
      <c r="AZ40" s="2153"/>
      <c r="BA40" s="2153"/>
      <c r="BB40" s="2153"/>
      <c r="BC40" s="2127"/>
      <c r="BD40" s="2127"/>
      <c r="BE40" s="2127"/>
      <c r="BF40" s="2127"/>
      <c r="BG40" s="2127"/>
      <c r="BH40" s="2127"/>
      <c r="BI40" s="2127"/>
      <c r="BJ40" s="2127"/>
      <c r="BK40" s="2127"/>
      <c r="BL40" s="2127"/>
      <c r="BM40" s="2127"/>
      <c r="BN40" s="2127"/>
      <c r="BO40" s="2127"/>
      <c r="BP40" s="2127"/>
      <c r="BQ40" s="2127"/>
      <c r="BR40" s="2127"/>
      <c r="BS40" s="2127"/>
      <c r="BT40" s="2127"/>
      <c r="BU40" s="2127"/>
      <c r="BV40" s="2127"/>
      <c r="BW40" s="2127"/>
      <c r="BX40" s="2127"/>
      <c r="BY40" s="2127"/>
      <c r="BZ40" s="2127"/>
      <c r="CA40" s="2127"/>
      <c r="CB40" s="2127"/>
      <c r="CC40" s="2127"/>
      <c r="CD40" s="2131"/>
      <c r="CE40" s="43"/>
    </row>
    <row r="41" spans="2:83" ht="15.75" customHeight="1" x14ac:dyDescent="0.25">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row>
    <row r="42" spans="2:83" ht="22.5" customHeight="1" x14ac:dyDescent="0.25">
      <c r="B42" s="2112"/>
      <c r="C42" s="2113" t="s">
        <v>28</v>
      </c>
      <c r="D42" s="2114"/>
      <c r="E42" s="2114"/>
      <c r="F42" s="2114"/>
      <c r="G42" s="2114"/>
      <c r="H42" s="2114"/>
      <c r="I42" s="2114"/>
      <c r="J42" s="2114"/>
      <c r="K42" s="2114"/>
      <c r="L42" s="2114"/>
      <c r="M42" s="2114"/>
      <c r="N42" s="2114"/>
      <c r="O42" s="2114"/>
      <c r="P42" s="2114"/>
      <c r="Q42" s="2114"/>
      <c r="R42" s="2114"/>
      <c r="S42" s="2114"/>
      <c r="T42" s="2116"/>
      <c r="U42" s="3451"/>
      <c r="V42" s="3451"/>
      <c r="W42" s="3451"/>
      <c r="X42" s="3451"/>
      <c r="Y42" s="2114"/>
      <c r="Z42" s="2133"/>
      <c r="AA42" s="2114"/>
      <c r="AB42" s="2114"/>
      <c r="AC42" s="2114"/>
      <c r="AD42" s="2114"/>
      <c r="AE42" s="2114"/>
      <c r="AF42" s="2133"/>
      <c r="AG42" s="2114"/>
      <c r="AH42" s="2114"/>
      <c r="AI42" s="2114"/>
      <c r="AJ42" s="2114"/>
      <c r="AK42" s="2114"/>
      <c r="AL42" s="2114"/>
      <c r="AM42" s="2114"/>
      <c r="AN42" s="2114"/>
      <c r="AO42" s="55"/>
      <c r="AP42" s="2114"/>
      <c r="AQ42" s="2134" t="s">
        <v>52</v>
      </c>
      <c r="AR42" s="2135"/>
      <c r="AS42" s="2116"/>
      <c r="AT42" s="2116"/>
      <c r="AU42" s="3451"/>
      <c r="AV42" s="3451"/>
      <c r="AW42" s="3451"/>
      <c r="AX42" s="3451"/>
      <c r="AY42" s="3451"/>
      <c r="AZ42" s="3451"/>
      <c r="BA42" s="3451"/>
      <c r="BB42" s="3451"/>
      <c r="BC42" s="3451"/>
      <c r="BD42" s="3451"/>
      <c r="BE42" s="3451"/>
      <c r="BF42" s="3451"/>
      <c r="BG42" s="3451"/>
      <c r="BH42" s="3451"/>
      <c r="BI42" s="2114"/>
      <c r="BJ42" s="2114"/>
      <c r="BK42" s="2114"/>
      <c r="BL42" s="2114"/>
      <c r="BM42" s="2114"/>
      <c r="BN42" s="2114"/>
      <c r="BO42" s="2114"/>
      <c r="BP42" s="2114"/>
      <c r="BQ42" s="2114"/>
      <c r="BR42" s="2114"/>
      <c r="BS42" s="2114"/>
      <c r="BT42" s="2114"/>
      <c r="BU42" s="2114"/>
      <c r="BV42" s="2114"/>
      <c r="BW42" s="2114"/>
      <c r="BX42" s="2114"/>
      <c r="BY42" s="2114"/>
      <c r="BZ42" s="2116"/>
      <c r="CA42" s="2112"/>
      <c r="CB42" s="3449"/>
      <c r="CC42" s="3449"/>
      <c r="CD42" s="2114"/>
    </row>
    <row r="43" spans="2:83" ht="6.75" customHeight="1" x14ac:dyDescent="0.25"/>
    <row r="44" spans="2:83" ht="14.25" customHeight="1" x14ac:dyDescent="0.25">
      <c r="B44" s="2117"/>
      <c r="C44" s="2121"/>
      <c r="D44" s="2121"/>
      <c r="E44" s="2121"/>
      <c r="F44" s="2121"/>
      <c r="G44" s="2121"/>
      <c r="H44" s="2121"/>
      <c r="I44" s="2121"/>
      <c r="J44" s="2121"/>
      <c r="K44" s="2121"/>
      <c r="L44" s="2121"/>
      <c r="M44" s="2121"/>
      <c r="N44" s="2121"/>
      <c r="O44" s="2121"/>
      <c r="P44" s="2121"/>
      <c r="Q44" s="2121"/>
      <c r="R44" s="2121"/>
      <c r="S44" s="2121"/>
      <c r="T44" s="2121"/>
      <c r="U44" s="2121"/>
      <c r="V44" s="2121"/>
      <c r="W44" s="2121"/>
      <c r="X44" s="2121"/>
      <c r="Y44" s="2121"/>
      <c r="Z44" s="2121"/>
      <c r="AA44" s="2121"/>
      <c r="AB44" s="2121"/>
      <c r="AC44" s="2121"/>
      <c r="AD44" s="2121"/>
      <c r="AE44" s="2121"/>
      <c r="AF44" s="2121"/>
      <c r="AG44" s="2150"/>
      <c r="AH44" s="2150"/>
      <c r="AI44" s="2150"/>
      <c r="AJ44" s="2150"/>
      <c r="AK44" s="2150"/>
      <c r="AL44" s="2150"/>
      <c r="AM44" s="2150"/>
      <c r="AN44" s="2150"/>
      <c r="AO44" s="110"/>
      <c r="AP44" s="2150"/>
      <c r="AQ44" s="2150"/>
      <c r="AR44" s="2150"/>
      <c r="AS44" s="2150"/>
      <c r="AT44" s="2150"/>
      <c r="AU44" s="2150"/>
      <c r="AV44" s="2150"/>
      <c r="AW44" s="2150"/>
      <c r="AX44" s="2150"/>
      <c r="AY44" s="2150"/>
      <c r="AZ44" s="2150"/>
      <c r="BA44" s="2121"/>
      <c r="BB44" s="2121"/>
      <c r="BC44" s="2121"/>
      <c r="BD44" s="2121"/>
      <c r="BE44" s="2121"/>
      <c r="BF44" s="2121"/>
      <c r="BG44" s="2121"/>
      <c r="BH44" s="2121"/>
      <c r="BI44" s="2121"/>
      <c r="BJ44" s="2121"/>
      <c r="BK44" s="2121"/>
      <c r="BL44" s="2121"/>
      <c r="BM44" s="2121"/>
      <c r="BN44" s="2121"/>
      <c r="BO44" s="2121"/>
      <c r="BP44" s="2121"/>
      <c r="BQ44" s="2121"/>
      <c r="BR44" s="2121"/>
      <c r="BS44" s="2121"/>
      <c r="BT44" s="2121"/>
      <c r="BU44" s="2121"/>
      <c r="BV44" s="2121"/>
      <c r="BW44" s="2121"/>
      <c r="BX44" s="2121"/>
      <c r="BY44" s="2121"/>
      <c r="BZ44" s="2121"/>
      <c r="CA44" s="2121"/>
      <c r="CB44" s="2121"/>
      <c r="CC44" s="2121"/>
      <c r="CD44" s="2128"/>
      <c r="CE44" s="43"/>
    </row>
    <row r="45" spans="2:83" ht="9.75" customHeight="1" x14ac:dyDescent="0.25">
      <c r="B45" s="2118"/>
      <c r="C45" s="45"/>
      <c r="D45" s="46"/>
      <c r="E45" s="46"/>
      <c r="F45" s="46"/>
      <c r="G45" s="46"/>
      <c r="H45" s="46"/>
      <c r="I45" s="46"/>
      <c r="J45" s="46"/>
      <c r="K45" s="46"/>
      <c r="L45" s="46"/>
      <c r="M45" s="46"/>
      <c r="N45" s="46"/>
      <c r="O45" s="46"/>
      <c r="P45" s="46"/>
      <c r="Q45" s="46"/>
      <c r="R45" s="46"/>
      <c r="S45" s="46"/>
      <c r="T45" s="46"/>
      <c r="U45" s="111"/>
      <c r="V45" s="111"/>
      <c r="W45" s="111"/>
      <c r="X45" s="111"/>
      <c r="Y45" s="111"/>
      <c r="Z45" s="111"/>
      <c r="AA45" s="111"/>
      <c r="AB45" s="111"/>
      <c r="AC45" s="111"/>
      <c r="AD45" s="111"/>
      <c r="AE45" s="111"/>
      <c r="AF45" s="111"/>
      <c r="AG45" s="111"/>
      <c r="AH45" s="111"/>
      <c r="AI45" s="111"/>
      <c r="AJ45" s="111"/>
      <c r="AK45" s="111"/>
      <c r="AL45" s="111"/>
      <c r="AM45" s="112"/>
      <c r="AN45" s="2137"/>
      <c r="AO45" s="110"/>
      <c r="AP45" s="2137"/>
      <c r="AQ45" s="113"/>
      <c r="AR45" s="111"/>
      <c r="AS45" s="111"/>
      <c r="AT45" s="111"/>
      <c r="AU45" s="111"/>
      <c r="AV45" s="111"/>
      <c r="AW45" s="111"/>
      <c r="AX45" s="111"/>
      <c r="AY45" s="111"/>
      <c r="AZ45" s="111"/>
      <c r="BA45" s="111"/>
      <c r="BB45" s="111"/>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7"/>
      <c r="CD45" s="2136"/>
      <c r="CE45" s="43"/>
    </row>
    <row r="46" spans="2:83" ht="18" customHeight="1" x14ac:dyDescent="0.25">
      <c r="B46" s="2118"/>
      <c r="C46" s="101"/>
      <c r="D46" s="51" t="s">
        <v>1836</v>
      </c>
      <c r="E46" s="59"/>
      <c r="F46" s="59"/>
      <c r="G46" s="59"/>
      <c r="H46" s="59"/>
      <c r="I46" s="59"/>
      <c r="J46" s="59"/>
      <c r="K46" s="59"/>
      <c r="L46" s="59"/>
      <c r="M46" s="59"/>
      <c r="N46" s="59"/>
      <c r="O46" s="59"/>
      <c r="P46" s="59"/>
      <c r="Q46" s="59"/>
      <c r="R46" s="59"/>
      <c r="S46" s="59"/>
      <c r="T46" s="59"/>
      <c r="U46" s="59"/>
      <c r="V46" s="59"/>
      <c r="W46" s="59"/>
      <c r="X46" s="59"/>
      <c r="Y46" s="59"/>
      <c r="Z46" s="55"/>
      <c r="AA46" s="59"/>
      <c r="AB46" s="57"/>
      <c r="AC46" s="59"/>
      <c r="AD46" s="59"/>
      <c r="AE46" s="59"/>
      <c r="AF46" s="59"/>
      <c r="AG46" s="59"/>
      <c r="AH46" s="59"/>
      <c r="AI46" s="59"/>
      <c r="AJ46" s="3322">
        <f>'CALCULS Eaux pluviales'!L148</f>
        <v>0</v>
      </c>
      <c r="AK46" s="3322"/>
      <c r="AL46" s="3322"/>
      <c r="AM46" s="114"/>
      <c r="AN46" s="2137"/>
      <c r="AO46" s="110"/>
      <c r="AP46" s="2137"/>
      <c r="AQ46" s="115"/>
      <c r="AR46" s="102" t="s">
        <v>1837</v>
      </c>
      <c r="AU46" s="59"/>
      <c r="AV46" s="59"/>
      <c r="AW46" s="59"/>
      <c r="AX46" s="59"/>
      <c r="AY46" s="59"/>
      <c r="AZ46" s="55"/>
      <c r="BA46" s="59"/>
      <c r="BB46" s="57"/>
      <c r="BC46" s="59"/>
      <c r="BE46" s="59"/>
      <c r="BG46" s="59"/>
      <c r="BH46" s="59"/>
      <c r="BI46" s="59"/>
      <c r="BJ46" s="59"/>
      <c r="BK46" s="59"/>
      <c r="BL46" s="59"/>
      <c r="BM46" s="59"/>
      <c r="BN46" s="59"/>
      <c r="BO46" s="59"/>
      <c r="BP46" s="59"/>
      <c r="BQ46" s="59"/>
      <c r="BR46" s="59"/>
      <c r="BS46" s="59"/>
      <c r="BT46" s="59"/>
      <c r="BU46" s="59"/>
      <c r="BV46" s="59"/>
      <c r="BW46" s="59"/>
      <c r="BX46" s="59"/>
      <c r="BY46" s="59"/>
      <c r="BZ46" s="3322">
        <f>'CALCULS Eaux pluviales'!L117</f>
        <v>0</v>
      </c>
      <c r="CA46" s="3322"/>
      <c r="CB46" s="3322"/>
      <c r="CC46" s="61"/>
      <c r="CD46" s="2136"/>
      <c r="CE46" s="43"/>
    </row>
    <row r="47" spans="2:83" ht="9" customHeight="1" x14ac:dyDescent="0.25">
      <c r="B47" s="2118"/>
      <c r="C47" s="50"/>
      <c r="D47" s="52"/>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114"/>
      <c r="AN47" s="2137"/>
      <c r="AO47" s="110"/>
      <c r="AP47" s="2137"/>
      <c r="AQ47" s="115"/>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61"/>
      <c r="CD47" s="2136"/>
      <c r="CE47" s="43"/>
    </row>
    <row r="48" spans="2:83" ht="140.25" customHeight="1" x14ac:dyDescent="0.25">
      <c r="B48" s="2118"/>
      <c r="C48" s="50"/>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114"/>
      <c r="AN48" s="2137"/>
      <c r="AO48" s="110"/>
      <c r="AP48" s="2137"/>
      <c r="AQ48" s="115"/>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61"/>
      <c r="CD48" s="2136"/>
      <c r="CE48" s="43"/>
    </row>
    <row r="49" spans="2:83" ht="12" customHeight="1" x14ac:dyDescent="0.25">
      <c r="B49" s="2118"/>
      <c r="C49" s="91"/>
      <c r="D49" s="105"/>
      <c r="E49" s="92"/>
      <c r="F49" s="92"/>
      <c r="G49" s="92"/>
      <c r="H49" s="92"/>
      <c r="I49" s="92"/>
      <c r="J49" s="92"/>
      <c r="K49" s="92"/>
      <c r="L49" s="92"/>
      <c r="M49" s="92"/>
      <c r="N49" s="92"/>
      <c r="O49" s="92"/>
      <c r="P49" s="92"/>
      <c r="Q49" s="92"/>
      <c r="R49" s="92"/>
      <c r="S49" s="92"/>
      <c r="T49" s="92"/>
      <c r="U49" s="116"/>
      <c r="V49" s="116"/>
      <c r="W49" s="116"/>
      <c r="X49" s="116"/>
      <c r="Y49" s="116"/>
      <c r="Z49" s="116"/>
      <c r="AA49" s="116"/>
      <c r="AB49" s="116"/>
      <c r="AC49" s="116"/>
      <c r="AD49" s="116"/>
      <c r="AE49" s="116"/>
      <c r="AF49" s="116"/>
      <c r="AG49" s="116"/>
      <c r="AH49" s="116"/>
      <c r="AI49" s="116"/>
      <c r="AJ49" s="116"/>
      <c r="AK49" s="116"/>
      <c r="AL49" s="116"/>
      <c r="AM49" s="117"/>
      <c r="AN49" s="2137"/>
      <c r="AO49" s="110"/>
      <c r="AP49" s="2137"/>
      <c r="AQ49" s="118"/>
      <c r="AR49" s="116"/>
      <c r="AS49" s="116"/>
      <c r="AT49" s="116"/>
      <c r="AU49" s="116"/>
      <c r="AV49" s="116"/>
      <c r="AW49" s="116"/>
      <c r="AX49" s="116"/>
      <c r="AY49" s="116"/>
      <c r="AZ49" s="116"/>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3"/>
      <c r="CD49" s="2136"/>
      <c r="CE49" s="43"/>
    </row>
    <row r="50" spans="2:83" ht="12.75" customHeight="1" x14ac:dyDescent="0.25">
      <c r="B50" s="2120"/>
      <c r="C50" s="2127"/>
      <c r="D50" s="2127"/>
      <c r="E50" s="2127"/>
      <c r="F50" s="2127"/>
      <c r="G50" s="2127"/>
      <c r="H50" s="2127"/>
      <c r="I50" s="2127"/>
      <c r="J50" s="2127"/>
      <c r="K50" s="2127"/>
      <c r="L50" s="2127"/>
      <c r="M50" s="2127"/>
      <c r="N50" s="2127"/>
      <c r="O50" s="2127"/>
      <c r="P50" s="2127"/>
      <c r="Q50" s="2127"/>
      <c r="R50" s="2127"/>
      <c r="S50" s="2127"/>
      <c r="T50" s="2127"/>
      <c r="U50" s="2127"/>
      <c r="V50" s="2127"/>
      <c r="W50" s="2127"/>
      <c r="X50" s="2127"/>
      <c r="Y50" s="2127"/>
      <c r="Z50" s="2127"/>
      <c r="AA50" s="2127"/>
      <c r="AB50" s="2127"/>
      <c r="AC50" s="2127"/>
      <c r="AD50" s="2127"/>
      <c r="AE50" s="2127"/>
      <c r="AF50" s="2127"/>
      <c r="AG50" s="2149"/>
      <c r="AH50" s="2149"/>
      <c r="AI50" s="2149"/>
      <c r="AJ50" s="2149"/>
      <c r="AK50" s="2149"/>
      <c r="AL50" s="2149"/>
      <c r="AM50" s="2149"/>
      <c r="AN50" s="2149"/>
      <c r="AO50" s="110"/>
      <c r="AP50" s="2149"/>
      <c r="AQ50" s="2149"/>
      <c r="AR50" s="2149"/>
      <c r="AS50" s="2149"/>
      <c r="AT50" s="2149"/>
      <c r="AU50" s="2149"/>
      <c r="AV50" s="2149"/>
      <c r="AW50" s="2149"/>
      <c r="AX50" s="2149"/>
      <c r="AY50" s="2149"/>
      <c r="AZ50" s="2149"/>
      <c r="BA50" s="2127"/>
      <c r="BB50" s="2127"/>
      <c r="BC50" s="2127"/>
      <c r="BD50" s="2127"/>
      <c r="BE50" s="2127"/>
      <c r="BF50" s="2127"/>
      <c r="BG50" s="2127"/>
      <c r="BH50" s="2127"/>
      <c r="BI50" s="2127"/>
      <c r="BJ50" s="2127"/>
      <c r="BK50" s="2127"/>
      <c r="BL50" s="2127"/>
      <c r="BM50" s="2127"/>
      <c r="BN50" s="2127"/>
      <c r="BO50" s="2127"/>
      <c r="BP50" s="2127"/>
      <c r="BQ50" s="2127"/>
      <c r="BR50" s="2127"/>
      <c r="BS50" s="2127"/>
      <c r="BT50" s="2127"/>
      <c r="BU50" s="2127"/>
      <c r="BV50" s="2127"/>
      <c r="BW50" s="2127"/>
      <c r="BX50" s="2127"/>
      <c r="BY50" s="2127"/>
      <c r="BZ50" s="2127"/>
      <c r="CA50" s="2127"/>
      <c r="CB50" s="2127"/>
      <c r="CC50" s="2127"/>
      <c r="CD50" s="2131"/>
      <c r="CE50" s="43"/>
    </row>
    <row r="51" spans="2:83" ht="15.75" customHeight="1" x14ac:dyDescent="0.25">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row>
    <row r="52" spans="2:83" ht="22.5" customHeight="1" x14ac:dyDescent="0.25">
      <c r="B52" s="2112"/>
      <c r="C52" s="2113" t="s">
        <v>1841</v>
      </c>
      <c r="D52" s="2114"/>
      <c r="E52" s="2114"/>
      <c r="F52" s="2114"/>
      <c r="G52" s="2114"/>
      <c r="H52" s="2114"/>
      <c r="I52" s="2114"/>
      <c r="J52" s="2114"/>
      <c r="K52" s="2114"/>
      <c r="L52" s="2114"/>
      <c r="M52" s="2114"/>
      <c r="N52" s="2114"/>
      <c r="O52" s="2114"/>
      <c r="P52" s="2114"/>
      <c r="Q52" s="2114"/>
      <c r="R52" s="2114"/>
      <c r="S52" s="2114"/>
      <c r="T52" s="2114"/>
      <c r="U52" s="2114"/>
      <c r="V52" s="2114"/>
      <c r="W52" s="2114"/>
      <c r="X52" s="2114"/>
      <c r="Y52" s="2114"/>
      <c r="Z52" s="2114"/>
      <c r="AA52" s="2114"/>
      <c r="AB52" s="2114"/>
      <c r="AC52" s="2114"/>
      <c r="AD52" s="2114"/>
      <c r="AE52" s="2114"/>
      <c r="AF52" s="2114"/>
      <c r="AG52" s="2114"/>
      <c r="AH52" s="2114"/>
      <c r="AI52" s="2114"/>
      <c r="AJ52" s="2114"/>
      <c r="AK52" s="2114"/>
      <c r="AL52" s="2114"/>
      <c r="AM52" s="2114"/>
      <c r="AN52" s="2114"/>
      <c r="AO52" s="2114"/>
      <c r="AP52" s="2114"/>
      <c r="AQ52" s="2115"/>
      <c r="AR52" s="2115"/>
      <c r="AS52" s="2114"/>
      <c r="AT52" s="2114"/>
      <c r="AU52" s="2114"/>
      <c r="AV52" s="2114"/>
      <c r="AW52" s="2114"/>
      <c r="AX52" s="2114"/>
      <c r="AY52" s="2114"/>
      <c r="AZ52" s="2114"/>
      <c r="BA52" s="2114"/>
      <c r="BB52" s="2114"/>
      <c r="BC52" s="2114"/>
      <c r="BD52" s="2114"/>
      <c r="BE52" s="2114"/>
      <c r="BF52" s="2114"/>
      <c r="BG52" s="2114"/>
      <c r="BH52" s="2114"/>
      <c r="BI52" s="2114"/>
      <c r="BJ52" s="2114"/>
      <c r="BK52" s="2114"/>
      <c r="BL52" s="2114"/>
      <c r="BM52" s="2114"/>
      <c r="BN52" s="2114"/>
      <c r="BO52" s="2114"/>
      <c r="BP52" s="2114"/>
      <c r="BQ52" s="2114"/>
      <c r="BR52" s="2114"/>
      <c r="BS52" s="2114"/>
      <c r="BT52" s="2114"/>
      <c r="BU52" s="2114"/>
      <c r="BV52" s="2114"/>
      <c r="BW52" s="2114"/>
      <c r="BX52" s="2114"/>
      <c r="BY52" s="2112"/>
      <c r="BZ52" s="2116"/>
      <c r="CA52" s="2112"/>
      <c r="CB52" s="3449"/>
      <c r="CC52" s="3449"/>
      <c r="CD52" s="2114"/>
    </row>
    <row r="53" spans="2:83" ht="6.75" customHeight="1" x14ac:dyDescent="0.25"/>
    <row r="54" spans="2:83" ht="15" customHeight="1" x14ac:dyDescent="0.25">
      <c r="B54" s="2117"/>
      <c r="C54" s="2121"/>
      <c r="D54" s="2121"/>
      <c r="E54" s="2121"/>
      <c r="F54" s="2121"/>
      <c r="G54" s="2121"/>
      <c r="H54" s="2121"/>
      <c r="I54" s="2121"/>
      <c r="J54" s="2121"/>
      <c r="K54" s="2121"/>
      <c r="L54" s="2121"/>
      <c r="M54" s="2121"/>
      <c r="N54" s="2121"/>
      <c r="O54" s="2121"/>
      <c r="P54" s="2121"/>
      <c r="Q54" s="2121"/>
      <c r="R54" s="2121"/>
      <c r="S54" s="2121"/>
      <c r="T54" s="2121"/>
      <c r="U54" s="2121"/>
      <c r="V54" s="2121"/>
      <c r="W54" s="2121"/>
      <c r="X54" s="2121"/>
      <c r="Y54" s="2121"/>
      <c r="Z54" s="2121"/>
      <c r="AA54" s="2121"/>
      <c r="AB54" s="2121"/>
      <c r="AC54" s="2121"/>
      <c r="AD54" s="2121"/>
      <c r="AE54" s="2121"/>
      <c r="AF54" s="2121"/>
      <c r="AG54" s="2121"/>
      <c r="AH54" s="2121"/>
      <c r="AI54" s="2121"/>
      <c r="AJ54" s="2121"/>
      <c r="AK54" s="2121"/>
      <c r="AL54" s="2121"/>
      <c r="AM54" s="2121"/>
      <c r="AN54" s="2121"/>
      <c r="AO54" s="2121"/>
      <c r="AP54" s="2121"/>
      <c r="AQ54" s="2121"/>
      <c r="AR54" s="2121"/>
      <c r="AS54" s="2121"/>
      <c r="AT54" s="2121"/>
      <c r="AU54" s="2121"/>
      <c r="AV54" s="2121"/>
      <c r="AW54" s="2121"/>
      <c r="AX54" s="2121"/>
      <c r="AY54" s="2121"/>
      <c r="AZ54" s="2121"/>
      <c r="BA54" s="2121"/>
      <c r="BB54" s="2121"/>
      <c r="BC54" s="2121"/>
      <c r="BD54" s="2121"/>
      <c r="BE54" s="2121"/>
      <c r="BF54" s="2121"/>
      <c r="BG54" s="2121"/>
      <c r="BH54" s="2121"/>
      <c r="BI54" s="2121"/>
      <c r="BJ54" s="2121"/>
      <c r="BK54" s="2121"/>
      <c r="BL54" s="2121"/>
      <c r="BM54" s="2121"/>
      <c r="BN54" s="2121"/>
      <c r="BO54" s="2121"/>
      <c r="BP54" s="2121"/>
      <c r="BQ54" s="2121"/>
      <c r="BR54" s="2121"/>
      <c r="BS54" s="2121"/>
      <c r="BT54" s="2121"/>
      <c r="BU54" s="2121"/>
      <c r="BV54" s="2121"/>
      <c r="BW54" s="2121"/>
      <c r="BX54" s="2121"/>
      <c r="BY54" s="2121"/>
      <c r="BZ54" s="2121"/>
      <c r="CA54" s="2121"/>
      <c r="CB54" s="2121"/>
      <c r="CC54" s="2121"/>
      <c r="CD54" s="2128"/>
      <c r="CE54" s="43"/>
    </row>
    <row r="55" spans="2:83" ht="9" customHeight="1" x14ac:dyDescent="0.25">
      <c r="B55" s="2118"/>
      <c r="C55" s="45"/>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7"/>
      <c r="AD55" s="2142"/>
      <c r="AE55" s="45"/>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7"/>
      <c r="BI55" s="2137"/>
      <c r="BJ55" s="45"/>
      <c r="BK55" s="46"/>
      <c r="BL55" s="46"/>
      <c r="BM55" s="46"/>
      <c r="BN55" s="46"/>
      <c r="BO55" s="46"/>
      <c r="BP55" s="46"/>
      <c r="BQ55" s="46"/>
      <c r="BR55" s="46"/>
      <c r="BS55" s="46"/>
      <c r="BT55" s="46"/>
      <c r="BU55" s="46"/>
      <c r="BV55" s="46"/>
      <c r="BW55" s="46"/>
      <c r="BX55" s="46"/>
      <c r="BY55" s="46"/>
      <c r="BZ55" s="46"/>
      <c r="CA55" s="46"/>
      <c r="CB55" s="46"/>
      <c r="CC55" s="47"/>
      <c r="CD55" s="2136"/>
      <c r="CE55" s="43"/>
    </row>
    <row r="56" spans="2:83" ht="19.5" customHeight="1" x14ac:dyDescent="0.25">
      <c r="B56" s="2118"/>
      <c r="C56" s="50"/>
      <c r="D56" s="1158" t="s">
        <v>1838</v>
      </c>
      <c r="E56" s="59"/>
      <c r="F56" s="59"/>
      <c r="G56" s="59"/>
      <c r="H56" s="59"/>
      <c r="I56" s="59"/>
      <c r="J56" s="59"/>
      <c r="K56" s="59"/>
      <c r="L56" s="59"/>
      <c r="M56" s="59"/>
      <c r="N56" s="59"/>
      <c r="O56" s="59"/>
      <c r="P56" s="59"/>
      <c r="Q56" s="59"/>
      <c r="R56" s="59"/>
      <c r="S56" s="59"/>
      <c r="T56" s="76"/>
      <c r="U56" s="76"/>
      <c r="V56" s="55"/>
      <c r="W56" s="76"/>
      <c r="X56" s="76"/>
      <c r="Y56" s="76"/>
      <c r="Z56" s="3323">
        <f>'CALCULS Eaux pluviales'!H203</f>
        <v>0</v>
      </c>
      <c r="AA56" s="3323"/>
      <c r="AB56" s="3323"/>
      <c r="AC56" s="120"/>
      <c r="AD56" s="2143"/>
      <c r="AE56" s="122"/>
      <c r="AF56" s="1159" t="s">
        <v>1839</v>
      </c>
      <c r="AG56" s="1164"/>
      <c r="AH56" s="1164"/>
      <c r="AI56" s="123"/>
      <c r="AJ56" s="1164"/>
      <c r="AK56" s="1164"/>
      <c r="AL56" s="1164"/>
      <c r="AM56" s="124"/>
      <c r="AN56" s="124"/>
      <c r="AO56" s="124"/>
      <c r="AP56" s="124"/>
      <c r="AQ56" s="124"/>
      <c r="AR56" s="124"/>
      <c r="AS56" s="125"/>
      <c r="AT56" s="125"/>
      <c r="AU56" s="124"/>
      <c r="AV56" s="124"/>
      <c r="AW56" s="124"/>
      <c r="AX56" s="124"/>
      <c r="AY56" s="59"/>
      <c r="AZ56" s="59"/>
      <c r="BA56" s="59"/>
      <c r="BB56" s="59"/>
      <c r="BC56" s="59"/>
      <c r="BD56" s="57"/>
      <c r="BE56" s="59"/>
      <c r="BF56" s="59"/>
      <c r="BG56" s="59"/>
      <c r="BH56" s="61"/>
      <c r="BI56" s="2137"/>
      <c r="BJ56" s="1160" t="s">
        <v>1888</v>
      </c>
      <c r="BL56" s="76"/>
      <c r="BM56" s="76"/>
      <c r="BN56" s="76"/>
      <c r="BO56" s="76"/>
      <c r="BP56" s="76"/>
      <c r="BQ56" s="103"/>
      <c r="BR56" s="76"/>
      <c r="BS56" s="76"/>
      <c r="BT56" s="76"/>
      <c r="BU56" s="126"/>
      <c r="BV56" s="76"/>
      <c r="BW56" s="76"/>
      <c r="BX56" s="76"/>
      <c r="BY56" s="59"/>
      <c r="BZ56" s="76"/>
      <c r="CA56" s="59"/>
      <c r="CB56" s="59"/>
      <c r="CC56" s="61"/>
      <c r="CD56" s="2136"/>
      <c r="CE56" s="43"/>
    </row>
    <row r="57" spans="2:83" ht="21" customHeight="1" x14ac:dyDescent="0.25">
      <c r="B57" s="2118"/>
      <c r="C57" s="50"/>
      <c r="D57" s="124"/>
      <c r="E57" s="59"/>
      <c r="F57" s="59"/>
      <c r="G57" s="59"/>
      <c r="H57" s="59"/>
      <c r="I57" s="59"/>
      <c r="J57" s="59"/>
      <c r="K57" s="59"/>
      <c r="L57" s="59"/>
      <c r="M57" s="59"/>
      <c r="N57" s="59"/>
      <c r="O57" s="59"/>
      <c r="P57" s="59"/>
      <c r="Q57" s="59"/>
      <c r="R57" s="59"/>
      <c r="S57" s="59"/>
      <c r="T57" s="59"/>
      <c r="U57" s="59"/>
      <c r="V57" s="59"/>
      <c r="W57" s="59"/>
      <c r="X57" s="59"/>
      <c r="Y57" s="59"/>
      <c r="Z57" s="59"/>
      <c r="AA57" s="59"/>
      <c r="AB57" s="55"/>
      <c r="AC57" s="120"/>
      <c r="AD57" s="2143"/>
      <c r="AE57" s="122"/>
      <c r="AF57" s="127"/>
      <c r="AG57" s="127"/>
      <c r="AH57" s="127"/>
      <c r="AI57" s="127"/>
      <c r="AJ57" s="127"/>
      <c r="AK57" s="127"/>
      <c r="AL57" s="127"/>
      <c r="AM57" s="59"/>
      <c r="AN57" s="59"/>
      <c r="AO57" s="59"/>
      <c r="AP57" s="59"/>
      <c r="AQ57" s="423" t="s">
        <v>128</v>
      </c>
      <c r="AS57" s="423"/>
      <c r="AT57" s="423"/>
      <c r="AU57" s="3349" t="s">
        <v>129</v>
      </c>
      <c r="AV57" s="3349"/>
      <c r="AW57" s="3349"/>
      <c r="AX57" s="3349"/>
      <c r="AY57" s="3349"/>
      <c r="AZ57" s="3349"/>
      <c r="BA57" s="434"/>
      <c r="BB57" s="434"/>
      <c r="BC57" s="434"/>
      <c r="BD57" s="3349" t="s">
        <v>171</v>
      </c>
      <c r="BE57" s="3349"/>
      <c r="BF57" s="3349"/>
      <c r="BG57" s="128"/>
      <c r="BH57" s="61"/>
      <c r="BI57" s="2137"/>
      <c r="BJ57" s="180" t="s">
        <v>1887</v>
      </c>
      <c r="BL57" s="59"/>
      <c r="BM57" s="59"/>
      <c r="BN57" s="59"/>
      <c r="BO57" s="59"/>
      <c r="BP57" s="59"/>
      <c r="BQ57" s="59"/>
      <c r="BR57" s="128"/>
      <c r="BS57" s="128"/>
      <c r="BT57" s="128"/>
      <c r="BU57" s="128"/>
      <c r="BV57" s="128"/>
      <c r="BW57" s="128"/>
      <c r="BX57" s="128"/>
      <c r="BY57" s="59"/>
      <c r="BZ57" s="59"/>
      <c r="CA57" s="59"/>
      <c r="CB57" s="129"/>
      <c r="CC57" s="61"/>
      <c r="CD57" s="2136"/>
      <c r="CE57" s="43"/>
    </row>
    <row r="58" spans="2:83" ht="7.5" customHeight="1" x14ac:dyDescent="0.25">
      <c r="B58" s="2118"/>
      <c r="C58" s="50"/>
      <c r="D58" s="124"/>
      <c r="E58" s="59"/>
      <c r="F58" s="59"/>
      <c r="G58" s="59"/>
      <c r="H58" s="59"/>
      <c r="I58" s="59"/>
      <c r="J58" s="59"/>
      <c r="K58" s="59"/>
      <c r="L58" s="59"/>
      <c r="M58" s="59"/>
      <c r="N58" s="59"/>
      <c r="O58" s="59"/>
      <c r="P58" s="59"/>
      <c r="Q58" s="59"/>
      <c r="R58" s="59"/>
      <c r="S58" s="59"/>
      <c r="T58" s="59"/>
      <c r="U58" s="59"/>
      <c r="V58" s="59"/>
      <c r="W58" s="59"/>
      <c r="X58" s="59"/>
      <c r="Y58" s="59"/>
      <c r="Z58" s="59"/>
      <c r="AA58" s="59"/>
      <c r="AB58" s="55"/>
      <c r="AC58" s="120"/>
      <c r="AD58" s="2143"/>
      <c r="AE58" s="122"/>
      <c r="AF58" s="127"/>
      <c r="AG58" s="127"/>
      <c r="AH58" s="127"/>
      <c r="AI58" s="127"/>
      <c r="AJ58" s="127"/>
      <c r="AK58" s="127"/>
      <c r="AL58" s="127"/>
      <c r="AM58" s="59"/>
      <c r="AN58" s="59"/>
      <c r="AO58" s="59"/>
      <c r="AP58" s="59"/>
      <c r="AQ58" s="59"/>
      <c r="AR58" s="59"/>
      <c r="AS58" s="130"/>
      <c r="AT58" s="130"/>
      <c r="AU58" s="130"/>
      <c r="AV58" s="128"/>
      <c r="AW58" s="128"/>
      <c r="AX58" s="128"/>
      <c r="AY58" s="128"/>
      <c r="AZ58" s="130"/>
      <c r="BA58" s="130"/>
      <c r="BB58" s="130"/>
      <c r="BC58" s="130"/>
      <c r="BD58" s="130"/>
      <c r="BE58" s="130"/>
      <c r="BF58" s="130"/>
      <c r="BG58" s="128"/>
      <c r="BH58" s="61"/>
      <c r="BI58" s="2137"/>
      <c r="BJ58" s="466"/>
      <c r="BK58" s="1073"/>
      <c r="BL58" s="1073"/>
      <c r="BM58" s="3323"/>
      <c r="BN58" s="3323"/>
      <c r="BO58" s="3323"/>
      <c r="BP58" s="3323"/>
      <c r="BQ58" s="3323"/>
      <c r="BR58" s="3323"/>
      <c r="BS58" s="127"/>
      <c r="BT58" s="127"/>
      <c r="BU58" s="127"/>
      <c r="BV58" s="127"/>
      <c r="BW58" s="127"/>
      <c r="BX58" s="127"/>
      <c r="BY58" s="59"/>
      <c r="BZ58" s="59"/>
      <c r="CA58" s="59"/>
      <c r="CB58" s="129"/>
      <c r="CC58" s="61"/>
      <c r="CD58" s="2136"/>
      <c r="CE58" s="43"/>
    </row>
    <row r="59" spans="2:83" s="72" customFormat="1" ht="19.5" customHeight="1" thickBot="1" x14ac:dyDescent="0.3">
      <c r="B59" s="2119"/>
      <c r="C59" s="64"/>
      <c r="D59" s="83"/>
      <c r="E59" s="75"/>
      <c r="F59" s="75"/>
      <c r="G59" s="75"/>
      <c r="H59" s="75"/>
      <c r="I59" s="75"/>
      <c r="J59" s="75"/>
      <c r="K59" s="75"/>
      <c r="L59" s="75"/>
      <c r="M59" s="75"/>
      <c r="N59" s="75"/>
      <c r="O59" s="75"/>
      <c r="P59" s="75"/>
      <c r="Q59" s="75"/>
      <c r="R59" s="75"/>
      <c r="S59" s="75"/>
      <c r="T59" s="75"/>
      <c r="U59" s="75"/>
      <c r="V59" s="82"/>
      <c r="W59" s="75"/>
      <c r="X59" s="82"/>
      <c r="Y59" s="75"/>
      <c r="Z59" s="75"/>
      <c r="AA59" s="75"/>
      <c r="AB59" s="82"/>
      <c r="AC59" s="84"/>
      <c r="AD59" s="2144"/>
      <c r="AE59" s="132"/>
      <c r="AF59" s="75"/>
      <c r="AG59" s="133"/>
      <c r="AH59" s="426" t="s">
        <v>9</v>
      </c>
      <c r="AI59" s="134"/>
      <c r="AJ59" s="134"/>
      <c r="AK59" s="134"/>
      <c r="AL59" s="134"/>
      <c r="AM59" s="135"/>
      <c r="AN59" s="135"/>
      <c r="AO59" s="134"/>
      <c r="AP59" s="134"/>
      <c r="AQ59" s="136"/>
      <c r="AR59" s="3355">
        <f>'CALCULS Eaux pluviales'!E222</f>
        <v>0</v>
      </c>
      <c r="AS59" s="3355"/>
      <c r="AT59" s="1138">
        <f>'CALCULS Eaux pluviales'!L222</f>
        <v>0</v>
      </c>
      <c r="AU59" s="3363">
        <f>'CALCULS Eaux pluviales'!F222</f>
        <v>0</v>
      </c>
      <c r="AV59" s="3363"/>
      <c r="AW59" s="3363"/>
      <c r="AX59" s="3363"/>
      <c r="AY59" s="1119"/>
      <c r="AZ59" s="1138">
        <f>'CALCULS Eaux pluviales'!F201</f>
        <v>0</v>
      </c>
      <c r="BA59" s="234"/>
      <c r="BB59" s="3334">
        <f>'CALCULS Eaux pluviales'!G222</f>
        <v>0</v>
      </c>
      <c r="BC59" s="3334"/>
      <c r="BD59" s="3334"/>
      <c r="BE59" s="3334"/>
      <c r="BF59" s="3334"/>
      <c r="BG59" s="3334"/>
      <c r="BH59" s="69"/>
      <c r="BI59" s="2141"/>
      <c r="BJ59" s="1162"/>
      <c r="BK59" s="1073">
        <f>'CALCULS Eaux pluviales'!D294</f>
        <v>0</v>
      </c>
      <c r="BL59" s="1073"/>
      <c r="BM59" s="3323"/>
      <c r="BN59" s="3323"/>
      <c r="BO59" s="3323"/>
      <c r="BP59" s="3323"/>
      <c r="BQ59" s="3323"/>
      <c r="BR59" s="3323"/>
      <c r="BS59" s="75"/>
      <c r="BT59" s="75"/>
      <c r="BU59" s="75"/>
      <c r="BV59" s="75"/>
      <c r="BW59" s="75"/>
      <c r="BX59" s="73"/>
      <c r="BY59" s="75"/>
      <c r="BZ59" s="75"/>
      <c r="CA59" s="75"/>
      <c r="CB59" s="75"/>
      <c r="CC59" s="69"/>
      <c r="CD59" s="2140"/>
      <c r="CE59" s="71"/>
    </row>
    <row r="60" spans="2:83" ht="6.75" customHeight="1" x14ac:dyDescent="0.25">
      <c r="B60" s="2118"/>
      <c r="C60" s="50"/>
      <c r="D60" s="59"/>
      <c r="E60" s="59"/>
      <c r="F60" s="59"/>
      <c r="G60" s="59"/>
      <c r="H60" s="59"/>
      <c r="I60" s="59"/>
      <c r="J60" s="59"/>
      <c r="K60" s="59"/>
      <c r="L60" s="59"/>
      <c r="M60" s="59"/>
      <c r="N60" s="59"/>
      <c r="O60" s="59"/>
      <c r="P60" s="59"/>
      <c r="Q60" s="59"/>
      <c r="R60" s="59"/>
      <c r="S60" s="59"/>
      <c r="T60" s="59"/>
      <c r="U60" s="59"/>
      <c r="V60" s="55"/>
      <c r="W60" s="59"/>
      <c r="X60" s="55"/>
      <c r="Y60" s="59"/>
      <c r="Z60" s="59"/>
      <c r="AA60" s="59"/>
      <c r="AB60" s="55"/>
      <c r="AC60" s="120"/>
      <c r="AD60" s="2143"/>
      <c r="AE60" s="122"/>
      <c r="AF60" s="59"/>
      <c r="AG60" s="59"/>
      <c r="AH60" s="427"/>
      <c r="AI60" s="59"/>
      <c r="AJ60" s="59"/>
      <c r="AK60" s="59"/>
      <c r="AL60" s="59"/>
      <c r="AM60" s="139"/>
      <c r="AN60" s="139"/>
      <c r="AO60" s="59"/>
      <c r="AP60" s="59"/>
      <c r="AR60" s="1128"/>
      <c r="AS60" s="1129"/>
      <c r="AT60" s="1137"/>
      <c r="AU60" s="1127"/>
      <c r="AV60" s="1126"/>
      <c r="AW60" s="1127"/>
      <c r="AX60" s="1126"/>
      <c r="AY60" s="435"/>
      <c r="AZ60" s="1146"/>
      <c r="BA60" s="88"/>
      <c r="BB60" s="1133"/>
      <c r="BC60" s="1134"/>
      <c r="BD60" s="1134"/>
      <c r="BE60" s="1134"/>
      <c r="BF60" s="1134"/>
      <c r="BG60" s="1134"/>
      <c r="BH60" s="61"/>
      <c r="BI60" s="2137"/>
      <c r="BJ60" s="50"/>
      <c r="BK60" s="59"/>
      <c r="BL60" s="55"/>
      <c r="BM60" s="59"/>
      <c r="BN60" s="55"/>
      <c r="BO60" s="59"/>
      <c r="BP60" s="59"/>
      <c r="BQ60" s="59"/>
      <c r="BR60" s="59"/>
      <c r="BS60" s="59"/>
      <c r="BT60" s="59"/>
      <c r="BU60" s="59"/>
      <c r="BV60" s="59"/>
      <c r="BW60" s="59"/>
      <c r="BX60" s="89"/>
      <c r="BY60" s="59"/>
      <c r="BZ60" s="59"/>
      <c r="CA60" s="59"/>
      <c r="CB60" s="59"/>
      <c r="CC60" s="61"/>
      <c r="CD60" s="2136"/>
      <c r="CE60" s="43"/>
    </row>
    <row r="61" spans="2:83" s="72" customFormat="1" ht="19.5" customHeight="1" thickBot="1" x14ac:dyDescent="0.3">
      <c r="B61" s="2119"/>
      <c r="C61" s="64"/>
      <c r="D61" s="75"/>
      <c r="E61" s="75"/>
      <c r="F61" s="75"/>
      <c r="G61" s="75"/>
      <c r="H61" s="75"/>
      <c r="I61" s="75"/>
      <c r="J61" s="75"/>
      <c r="K61" s="75"/>
      <c r="L61" s="75"/>
      <c r="M61" s="75"/>
      <c r="N61" s="75"/>
      <c r="O61" s="75"/>
      <c r="P61" s="75"/>
      <c r="Q61" s="75"/>
      <c r="R61" s="75"/>
      <c r="S61" s="75"/>
      <c r="T61" s="75"/>
      <c r="U61" s="75"/>
      <c r="V61" s="82"/>
      <c r="W61" s="75"/>
      <c r="X61" s="82"/>
      <c r="Y61" s="75"/>
      <c r="Z61" s="75"/>
      <c r="AA61" s="75"/>
      <c r="AB61" s="82"/>
      <c r="AC61" s="84"/>
      <c r="AD61" s="2144"/>
      <c r="AE61" s="132"/>
      <c r="AF61" s="75"/>
      <c r="AG61" s="140"/>
      <c r="AH61" s="428" t="s">
        <v>10</v>
      </c>
      <c r="AI61" s="141"/>
      <c r="AJ61" s="141"/>
      <c r="AK61" s="141"/>
      <c r="AL61" s="141"/>
      <c r="AM61" s="142"/>
      <c r="AN61" s="142"/>
      <c r="AO61" s="141"/>
      <c r="AP61" s="141"/>
      <c r="AQ61" s="143"/>
      <c r="AR61" s="3354">
        <f>'CALCULS Eaux pluviales'!E223</f>
        <v>0</v>
      </c>
      <c r="AS61" s="3354"/>
      <c r="AT61" s="1139">
        <f>'CALCULS Eaux pluviales'!L222</f>
        <v>0</v>
      </c>
      <c r="AU61" s="3360">
        <f>'CALCULS Eaux pluviales'!F223</f>
        <v>0</v>
      </c>
      <c r="AV61" s="3360"/>
      <c r="AW61" s="3360"/>
      <c r="AX61" s="3360"/>
      <c r="AY61" s="1120"/>
      <c r="AZ61" s="1139">
        <f>'CALCULS Eaux pluviales'!F201</f>
        <v>0</v>
      </c>
      <c r="BA61" s="235"/>
      <c r="BB61" s="3333">
        <f>'CALCULS Eaux pluviales'!G223</f>
        <v>0</v>
      </c>
      <c r="BC61" s="3333"/>
      <c r="BD61" s="3333"/>
      <c r="BE61" s="3333"/>
      <c r="BF61" s="3333"/>
      <c r="BG61" s="3333"/>
      <c r="BH61" s="69"/>
      <c r="BI61" s="2141"/>
      <c r="BJ61" s="64"/>
      <c r="BK61" s="75"/>
      <c r="BL61" s="82"/>
      <c r="BM61" s="75"/>
      <c r="BN61" s="82"/>
      <c r="BO61" s="75"/>
      <c r="BP61" s="75"/>
      <c r="BQ61" s="75"/>
      <c r="BR61" s="75"/>
      <c r="BS61" s="75"/>
      <c r="BT61" s="75"/>
      <c r="BU61" s="75"/>
      <c r="BV61" s="75"/>
      <c r="BW61" s="75"/>
      <c r="BX61" s="73"/>
      <c r="BY61" s="75"/>
      <c r="BZ61" s="75"/>
      <c r="CA61" s="75"/>
      <c r="CB61" s="75"/>
      <c r="CC61" s="69"/>
      <c r="CD61" s="2140"/>
      <c r="CE61" s="71"/>
    </row>
    <row r="62" spans="2:83" ht="6.75" customHeight="1" x14ac:dyDescent="0.25">
      <c r="B62" s="2118"/>
      <c r="C62" s="50"/>
      <c r="D62" s="59"/>
      <c r="E62" s="59"/>
      <c r="F62" s="59"/>
      <c r="G62" s="59"/>
      <c r="H62" s="59"/>
      <c r="I62" s="59"/>
      <c r="J62" s="59"/>
      <c r="K62" s="59"/>
      <c r="L62" s="59"/>
      <c r="M62" s="59"/>
      <c r="N62" s="59"/>
      <c r="O62" s="59"/>
      <c r="P62" s="59"/>
      <c r="Q62" s="59"/>
      <c r="R62" s="59"/>
      <c r="S62" s="59"/>
      <c r="T62" s="59"/>
      <c r="U62" s="59"/>
      <c r="V62" s="55"/>
      <c r="W62" s="59"/>
      <c r="X62" s="55"/>
      <c r="Y62" s="59"/>
      <c r="Z62" s="59"/>
      <c r="AA62" s="59"/>
      <c r="AB62" s="55"/>
      <c r="AC62" s="120"/>
      <c r="AD62" s="2143"/>
      <c r="AE62" s="122"/>
      <c r="AF62" s="59"/>
      <c r="AG62" s="59"/>
      <c r="AH62" s="427"/>
      <c r="AI62" s="59"/>
      <c r="AJ62" s="59"/>
      <c r="AK62" s="59"/>
      <c r="AL62" s="59"/>
      <c r="AM62" s="139"/>
      <c r="AN62" s="139"/>
      <c r="AO62" s="59"/>
      <c r="AP62" s="59"/>
      <c r="AR62" s="1128"/>
      <c r="AS62" s="1130"/>
      <c r="AT62" s="1140"/>
      <c r="AU62" s="1127"/>
      <c r="AV62" s="1125"/>
      <c r="AW62" s="1127"/>
      <c r="AX62" s="1125"/>
      <c r="AY62" s="435"/>
      <c r="AZ62" s="1144"/>
      <c r="BA62" s="88"/>
      <c r="BB62" s="1133"/>
      <c r="BC62" s="1134"/>
      <c r="BD62" s="1134"/>
      <c r="BE62" s="1134"/>
      <c r="BF62" s="1134"/>
      <c r="BG62" s="1134"/>
      <c r="BH62" s="61"/>
      <c r="BI62" s="2137"/>
      <c r="BJ62" s="50"/>
      <c r="BK62" s="59"/>
      <c r="BL62" s="55"/>
      <c r="BM62" s="59"/>
      <c r="BN62" s="55"/>
      <c r="BO62" s="59"/>
      <c r="BP62" s="59"/>
      <c r="BQ62" s="59"/>
      <c r="BR62" s="59"/>
      <c r="BS62" s="59"/>
      <c r="BT62" s="59"/>
      <c r="BU62" s="59"/>
      <c r="BV62" s="59"/>
      <c r="BW62" s="59"/>
      <c r="BX62" s="89"/>
      <c r="BY62" s="59"/>
      <c r="BZ62" s="59"/>
      <c r="CA62" s="59"/>
      <c r="CB62" s="59"/>
      <c r="CC62" s="61"/>
      <c r="CD62" s="2136"/>
      <c r="CE62" s="43"/>
    </row>
    <row r="63" spans="2:83" s="72" customFormat="1" ht="19.5" customHeight="1" thickBot="1" x14ac:dyDescent="0.3">
      <c r="B63" s="2119"/>
      <c r="C63" s="64"/>
      <c r="D63" s="75"/>
      <c r="E63" s="75"/>
      <c r="F63" s="75"/>
      <c r="G63" s="75"/>
      <c r="H63" s="75"/>
      <c r="I63" s="75"/>
      <c r="J63" s="75"/>
      <c r="K63" s="75"/>
      <c r="L63" s="75"/>
      <c r="M63" s="75"/>
      <c r="N63" s="75"/>
      <c r="O63" s="75"/>
      <c r="P63" s="75"/>
      <c r="Q63" s="75"/>
      <c r="R63" s="75"/>
      <c r="S63" s="75"/>
      <c r="T63" s="75"/>
      <c r="U63" s="75"/>
      <c r="V63" s="82"/>
      <c r="W63" s="75"/>
      <c r="X63" s="82"/>
      <c r="Y63" s="75"/>
      <c r="Z63" s="75"/>
      <c r="AA63" s="75"/>
      <c r="AB63" s="82"/>
      <c r="AC63" s="84"/>
      <c r="AD63" s="2144"/>
      <c r="AE63" s="132"/>
      <c r="AF63" s="75"/>
      <c r="AG63" s="144"/>
      <c r="AH63" s="429" t="s">
        <v>123</v>
      </c>
      <c r="AI63" s="145"/>
      <c r="AJ63" s="145"/>
      <c r="AK63" s="145"/>
      <c r="AL63" s="145"/>
      <c r="AM63" s="146"/>
      <c r="AN63" s="146"/>
      <c r="AO63" s="145"/>
      <c r="AP63" s="145"/>
      <c r="AQ63" s="147"/>
      <c r="AR63" s="3353">
        <f>'CALCULS Eaux pluviales'!E224</f>
        <v>0</v>
      </c>
      <c r="AS63" s="3353"/>
      <c r="AT63" s="1141">
        <f>'CALCULS Eaux pluviales'!L223</f>
        <v>0</v>
      </c>
      <c r="AU63" s="3359">
        <f>'CALCULS Eaux pluviales'!F224</f>
        <v>0</v>
      </c>
      <c r="AV63" s="3359"/>
      <c r="AW63" s="3359"/>
      <c r="AX63" s="3359"/>
      <c r="AY63" s="1121"/>
      <c r="AZ63" s="1141">
        <f>'CALCULS Eaux pluviales'!F202</f>
        <v>0</v>
      </c>
      <c r="BA63" s="236"/>
      <c r="BB63" s="3332">
        <f>'CALCULS Eaux pluviales'!G224</f>
        <v>0</v>
      </c>
      <c r="BC63" s="3332"/>
      <c r="BD63" s="3332"/>
      <c r="BE63" s="3332"/>
      <c r="BF63" s="3332"/>
      <c r="BG63" s="3332"/>
      <c r="BH63" s="69"/>
      <c r="BI63" s="2141"/>
      <c r="BJ63" s="64"/>
      <c r="BK63" s="75"/>
      <c r="BL63" s="82"/>
      <c r="BM63" s="75"/>
      <c r="BN63" s="82"/>
      <c r="BO63" s="75"/>
      <c r="BP63" s="75"/>
      <c r="BQ63" s="75"/>
      <c r="BR63" s="75"/>
      <c r="BS63" s="75"/>
      <c r="BT63" s="75"/>
      <c r="BU63" s="75"/>
      <c r="BV63" s="75"/>
      <c r="BW63" s="75"/>
      <c r="BX63" s="73"/>
      <c r="BY63" s="75"/>
      <c r="BZ63" s="75"/>
      <c r="CA63" s="75"/>
      <c r="CB63" s="75"/>
      <c r="CC63" s="69"/>
      <c r="CD63" s="2140"/>
      <c r="CE63" s="71"/>
    </row>
    <row r="64" spans="2:83" ht="6.75" customHeight="1" x14ac:dyDescent="0.25">
      <c r="B64" s="2118"/>
      <c r="C64" s="50"/>
      <c r="D64" s="59"/>
      <c r="E64" s="59"/>
      <c r="F64" s="59"/>
      <c r="G64" s="59"/>
      <c r="H64" s="59"/>
      <c r="I64" s="59"/>
      <c r="J64" s="59"/>
      <c r="K64" s="59"/>
      <c r="L64" s="59"/>
      <c r="M64" s="59"/>
      <c r="N64" s="59"/>
      <c r="O64" s="59"/>
      <c r="P64" s="59"/>
      <c r="Q64" s="59"/>
      <c r="R64" s="59"/>
      <c r="S64" s="59"/>
      <c r="T64" s="59"/>
      <c r="U64" s="59"/>
      <c r="V64" s="55"/>
      <c r="W64" s="59"/>
      <c r="X64" s="55"/>
      <c r="Y64" s="59"/>
      <c r="Z64" s="59"/>
      <c r="AA64" s="59"/>
      <c r="AB64" s="55"/>
      <c r="AC64" s="120"/>
      <c r="AD64" s="2143"/>
      <c r="AE64" s="122"/>
      <c r="AF64" s="59"/>
      <c r="AG64" s="59"/>
      <c r="AH64" s="425"/>
      <c r="AI64" s="59"/>
      <c r="AJ64" s="59"/>
      <c r="AK64" s="59"/>
      <c r="AL64" s="59"/>
      <c r="AM64" s="139"/>
      <c r="AN64" s="139"/>
      <c r="AO64" s="59"/>
      <c r="AP64" s="59"/>
      <c r="AQ64" s="89"/>
      <c r="AR64" s="88"/>
      <c r="AS64" s="1130"/>
      <c r="AT64" s="1140"/>
      <c r="AU64" s="89"/>
      <c r="AV64" s="1125"/>
      <c r="AW64" s="89"/>
      <c r="AX64" s="1125"/>
      <c r="AY64" s="435"/>
      <c r="AZ64" s="1144"/>
      <c r="BA64" s="88"/>
      <c r="BB64" s="1135"/>
      <c r="BC64" s="1134"/>
      <c r="BD64" s="1134"/>
      <c r="BE64" s="1134"/>
      <c r="BF64" s="1134"/>
      <c r="BG64" s="1134"/>
      <c r="BH64" s="61"/>
      <c r="BI64" s="2137"/>
      <c r="BJ64" s="50"/>
      <c r="BK64" s="59"/>
      <c r="BL64" s="55"/>
      <c r="BM64" s="59"/>
      <c r="BN64" s="55"/>
      <c r="BO64" s="59"/>
      <c r="BP64" s="59"/>
      <c r="BQ64" s="59"/>
      <c r="BR64" s="59"/>
      <c r="BS64" s="59"/>
      <c r="BT64" s="59"/>
      <c r="BU64" s="59"/>
      <c r="BV64" s="59"/>
      <c r="BW64" s="59"/>
      <c r="BX64" s="89"/>
      <c r="BY64" s="59"/>
      <c r="BZ64" s="59"/>
      <c r="CA64" s="59"/>
      <c r="CB64" s="59"/>
      <c r="CC64" s="61"/>
      <c r="CD64" s="2136"/>
      <c r="CE64" s="43"/>
    </row>
    <row r="65" spans="2:83" s="72" customFormat="1" ht="19.5" customHeight="1" thickBot="1" x14ac:dyDescent="0.3">
      <c r="B65" s="2119"/>
      <c r="C65" s="64"/>
      <c r="D65" s="75"/>
      <c r="E65" s="75"/>
      <c r="F65" s="75"/>
      <c r="G65" s="75"/>
      <c r="H65" s="75"/>
      <c r="I65" s="75"/>
      <c r="J65" s="75"/>
      <c r="K65" s="75"/>
      <c r="L65" s="75"/>
      <c r="M65" s="75"/>
      <c r="N65" s="75"/>
      <c r="O65" s="75"/>
      <c r="P65" s="75"/>
      <c r="Q65" s="75"/>
      <c r="R65" s="75"/>
      <c r="S65" s="75"/>
      <c r="T65" s="75"/>
      <c r="U65" s="75"/>
      <c r="V65" s="82"/>
      <c r="W65" s="75"/>
      <c r="X65" s="82"/>
      <c r="Y65" s="75"/>
      <c r="Z65" s="75"/>
      <c r="AA65" s="75"/>
      <c r="AB65" s="82"/>
      <c r="AC65" s="84"/>
      <c r="AD65" s="2144"/>
      <c r="AE65" s="132"/>
      <c r="AF65" s="75"/>
      <c r="AG65" s="148"/>
      <c r="AH65" s="430" t="s">
        <v>7</v>
      </c>
      <c r="AI65" s="149"/>
      <c r="AJ65" s="149"/>
      <c r="AK65" s="149"/>
      <c r="AL65" s="149"/>
      <c r="AM65" s="150"/>
      <c r="AN65" s="150"/>
      <c r="AO65" s="149"/>
      <c r="AP65" s="149"/>
      <c r="AQ65" s="151"/>
      <c r="AR65" s="3352">
        <f>'CALCULS Eaux pluviales'!E225</f>
        <v>0</v>
      </c>
      <c r="AS65" s="3352"/>
      <c r="AT65" s="1142">
        <f>'CALCULS Eaux pluviales'!L224</f>
        <v>0</v>
      </c>
      <c r="AU65" s="3358">
        <f>'CALCULS Eaux pluviales'!F225</f>
        <v>0</v>
      </c>
      <c r="AV65" s="3358"/>
      <c r="AW65" s="3358"/>
      <c r="AX65" s="3358"/>
      <c r="AY65" s="1122"/>
      <c r="AZ65" s="1142">
        <f>'CALCULS Eaux pluviales'!F202</f>
        <v>0</v>
      </c>
      <c r="BA65" s="237"/>
      <c r="BB65" s="3337">
        <f>'CALCULS Eaux pluviales'!G225</f>
        <v>0</v>
      </c>
      <c r="BC65" s="3337"/>
      <c r="BD65" s="3337"/>
      <c r="BE65" s="3337"/>
      <c r="BF65" s="3337"/>
      <c r="BG65" s="3337"/>
      <c r="BH65" s="69"/>
      <c r="BI65" s="2141"/>
      <c r="BJ65" s="64"/>
      <c r="BK65" s="75"/>
      <c r="BL65" s="82"/>
      <c r="BM65" s="75"/>
      <c r="BN65" s="82"/>
      <c r="BO65" s="75"/>
      <c r="BP65" s="75"/>
      <c r="BQ65" s="75"/>
      <c r="BR65" s="75"/>
      <c r="BS65" s="75"/>
      <c r="BT65" s="75"/>
      <c r="BU65" s="75"/>
      <c r="BV65" s="75"/>
      <c r="BW65" s="75"/>
      <c r="BX65" s="73"/>
      <c r="BY65" s="75"/>
      <c r="BZ65" s="75"/>
      <c r="CA65" s="75"/>
      <c r="CB65" s="75"/>
      <c r="CC65" s="69"/>
      <c r="CD65" s="2140"/>
      <c r="CE65" s="71"/>
    </row>
    <row r="66" spans="2:83" ht="6.75" customHeight="1" x14ac:dyDescent="0.25">
      <c r="B66" s="2118"/>
      <c r="C66" s="50"/>
      <c r="D66" s="59"/>
      <c r="E66" s="59"/>
      <c r="F66" s="59"/>
      <c r="G66" s="59"/>
      <c r="H66" s="59"/>
      <c r="I66" s="59"/>
      <c r="J66" s="59"/>
      <c r="K66" s="59"/>
      <c r="L66" s="59"/>
      <c r="M66" s="59"/>
      <c r="N66" s="59"/>
      <c r="O66" s="59"/>
      <c r="P66" s="59"/>
      <c r="Q66" s="59"/>
      <c r="R66" s="59"/>
      <c r="S66" s="59"/>
      <c r="T66" s="59"/>
      <c r="U66" s="59"/>
      <c r="V66" s="55"/>
      <c r="W66" s="59"/>
      <c r="X66" s="55"/>
      <c r="Y66" s="59"/>
      <c r="Z66" s="59"/>
      <c r="AA66" s="59"/>
      <c r="AB66" s="55"/>
      <c r="AC66" s="120"/>
      <c r="AD66" s="2143"/>
      <c r="AE66" s="122"/>
      <c r="AF66" s="59"/>
      <c r="AG66" s="59"/>
      <c r="AH66" s="425"/>
      <c r="AI66" s="59"/>
      <c r="AJ66" s="59"/>
      <c r="AK66" s="59"/>
      <c r="AL66" s="59"/>
      <c r="AM66" s="139"/>
      <c r="AN66" s="139"/>
      <c r="AO66" s="59"/>
      <c r="AP66" s="59"/>
      <c r="AQ66" s="89"/>
      <c r="AR66" s="88"/>
      <c r="AS66" s="1130"/>
      <c r="AT66" s="1140"/>
      <c r="AU66" s="89"/>
      <c r="AV66" s="1125"/>
      <c r="AW66" s="89"/>
      <c r="AX66" s="1125"/>
      <c r="AY66" s="435"/>
      <c r="AZ66" s="1144"/>
      <c r="BA66" s="88"/>
      <c r="BB66" s="1135"/>
      <c r="BC66" s="1134"/>
      <c r="BD66" s="1134"/>
      <c r="BE66" s="1134"/>
      <c r="BF66" s="1134"/>
      <c r="BG66" s="1134"/>
      <c r="BH66" s="61"/>
      <c r="BI66" s="2137"/>
      <c r="BJ66" s="50"/>
      <c r="BK66" s="59"/>
      <c r="BL66" s="55"/>
      <c r="BM66" s="59"/>
      <c r="BN66" s="55"/>
      <c r="BO66" s="59"/>
      <c r="BP66" s="59"/>
      <c r="BQ66" s="59"/>
      <c r="BR66" s="59"/>
      <c r="BS66" s="59"/>
      <c r="BT66" s="59"/>
      <c r="BU66" s="59"/>
      <c r="BV66" s="59"/>
      <c r="BW66" s="59"/>
      <c r="BX66" s="89"/>
      <c r="BY66" s="59"/>
      <c r="BZ66" s="59"/>
      <c r="CA66" s="59"/>
      <c r="CB66" s="59"/>
      <c r="CC66" s="61"/>
      <c r="CD66" s="2136"/>
      <c r="CE66" s="43"/>
    </row>
    <row r="67" spans="2:83" s="72" customFormat="1" ht="19.5" customHeight="1" thickBot="1" x14ac:dyDescent="0.3">
      <c r="B67" s="2119"/>
      <c r="C67" s="64"/>
      <c r="D67" s="75"/>
      <c r="E67" s="75"/>
      <c r="F67" s="75"/>
      <c r="G67" s="75"/>
      <c r="H67" s="75"/>
      <c r="I67" s="75"/>
      <c r="J67" s="75"/>
      <c r="K67" s="75"/>
      <c r="L67" s="75"/>
      <c r="M67" s="75"/>
      <c r="N67" s="75"/>
      <c r="O67" s="75"/>
      <c r="P67" s="75"/>
      <c r="Q67" s="75"/>
      <c r="R67" s="75"/>
      <c r="S67" s="75"/>
      <c r="T67" s="75"/>
      <c r="U67" s="75"/>
      <c r="V67" s="82"/>
      <c r="W67" s="75"/>
      <c r="X67" s="82"/>
      <c r="Y67" s="75"/>
      <c r="Z67" s="75"/>
      <c r="AA67" s="75"/>
      <c r="AB67" s="82"/>
      <c r="AC67" s="84"/>
      <c r="AD67" s="2144"/>
      <c r="AE67" s="132"/>
      <c r="AF67" s="75"/>
      <c r="AG67" s="153"/>
      <c r="AH67" s="431" t="s">
        <v>8</v>
      </c>
      <c r="AI67" s="154"/>
      <c r="AJ67" s="154"/>
      <c r="AK67" s="154"/>
      <c r="AL67" s="154"/>
      <c r="AM67" s="155"/>
      <c r="AN67" s="155"/>
      <c r="AO67" s="154"/>
      <c r="AP67" s="154"/>
      <c r="AQ67" s="156"/>
      <c r="AR67" s="3351">
        <f>'CALCULS Eaux pluviales'!E226</f>
        <v>0</v>
      </c>
      <c r="AS67" s="3351"/>
      <c r="AT67" s="1143">
        <f>'CALCULS Eaux pluviales'!L224</f>
        <v>0</v>
      </c>
      <c r="AU67" s="3357">
        <f>'CALCULS Eaux pluviales'!F226</f>
        <v>0</v>
      </c>
      <c r="AV67" s="3357"/>
      <c r="AW67" s="3357"/>
      <c r="AX67" s="3357"/>
      <c r="AY67" s="1123"/>
      <c r="AZ67" s="1143">
        <f>'CALCULS Eaux pluviales'!F202</f>
        <v>0</v>
      </c>
      <c r="BA67" s="238"/>
      <c r="BB67" s="3336">
        <f>'CALCULS Eaux pluviales'!G226</f>
        <v>0</v>
      </c>
      <c r="BC67" s="3336"/>
      <c r="BD67" s="3336"/>
      <c r="BE67" s="3336"/>
      <c r="BF67" s="3336"/>
      <c r="BG67" s="3336"/>
      <c r="BH67" s="69"/>
      <c r="BI67" s="2141"/>
      <c r="BJ67" s="64"/>
      <c r="BK67" s="75"/>
      <c r="BL67" s="82"/>
      <c r="BM67" s="75"/>
      <c r="BN67" s="82"/>
      <c r="BO67" s="75"/>
      <c r="BP67" s="75"/>
      <c r="BQ67" s="75"/>
      <c r="BR67" s="75"/>
      <c r="BS67" s="75"/>
      <c r="BT67" s="75"/>
      <c r="BU67" s="75"/>
      <c r="BV67" s="75"/>
      <c r="BW67" s="75"/>
      <c r="BX67" s="73"/>
      <c r="BY67" s="75"/>
      <c r="BZ67" s="75"/>
      <c r="CA67" s="75"/>
      <c r="CB67" s="75"/>
      <c r="CC67" s="69"/>
      <c r="CD67" s="2140"/>
      <c r="CE67" s="71"/>
    </row>
    <row r="68" spans="2:83" ht="9" customHeight="1" x14ac:dyDescent="0.25">
      <c r="B68" s="2118"/>
      <c r="C68" s="50"/>
      <c r="D68" s="59"/>
      <c r="E68" s="59"/>
      <c r="F68" s="59"/>
      <c r="G68" s="59"/>
      <c r="H68" s="59"/>
      <c r="I68" s="59"/>
      <c r="J68" s="59"/>
      <c r="K68" s="59"/>
      <c r="L68" s="59"/>
      <c r="M68" s="59"/>
      <c r="N68" s="59"/>
      <c r="O68" s="59"/>
      <c r="P68" s="59"/>
      <c r="Q68" s="59"/>
      <c r="R68" s="59"/>
      <c r="S68" s="59"/>
      <c r="T68" s="59"/>
      <c r="U68" s="59"/>
      <c r="V68" s="59"/>
      <c r="W68" s="59"/>
      <c r="X68" s="59"/>
      <c r="Y68" s="59"/>
      <c r="Z68" s="59"/>
      <c r="AA68" s="59"/>
      <c r="AB68" s="55"/>
      <c r="AC68" s="120"/>
      <c r="AD68" s="2143"/>
      <c r="AE68" s="122"/>
      <c r="AF68" s="59"/>
      <c r="AG68" s="59"/>
      <c r="AH68" s="432"/>
      <c r="AI68" s="59"/>
      <c r="AJ68" s="59"/>
      <c r="AK68" s="59"/>
      <c r="AL68" s="59"/>
      <c r="AM68" s="59"/>
      <c r="AN68" s="59"/>
      <c r="AO68" s="59"/>
      <c r="AP68" s="59"/>
      <c r="AQ68" s="59"/>
      <c r="AR68" s="139"/>
      <c r="AS68" s="1131"/>
      <c r="AT68" s="1144"/>
      <c r="AU68" s="444"/>
      <c r="AV68" s="1132"/>
      <c r="AW68" s="444"/>
      <c r="AX68" s="1132"/>
      <c r="AY68" s="424"/>
      <c r="AZ68" s="126"/>
      <c r="BA68" s="103"/>
      <c r="BB68" s="1136"/>
      <c r="BC68" s="1136"/>
      <c r="BD68" s="1135"/>
      <c r="BE68" s="1135"/>
      <c r="BF68" s="1135"/>
      <c r="BG68" s="1135"/>
      <c r="BH68" s="61"/>
      <c r="BI68" s="2137"/>
      <c r="BJ68" s="50"/>
      <c r="BK68" s="59"/>
      <c r="BL68" s="59"/>
      <c r="BM68" s="59"/>
      <c r="BN68" s="59"/>
      <c r="BO68" s="59"/>
      <c r="BP68" s="59"/>
      <c r="BQ68" s="59"/>
      <c r="BR68" s="59"/>
      <c r="BS68" s="59"/>
      <c r="BT68" s="59"/>
      <c r="BU68" s="59"/>
      <c r="BV68" s="59"/>
      <c r="BW68" s="59"/>
      <c r="BX68" s="59"/>
      <c r="BY68" s="59"/>
      <c r="BZ68" s="59"/>
      <c r="CA68" s="59"/>
      <c r="CB68" s="59"/>
      <c r="CC68" s="61"/>
      <c r="CD68" s="2136"/>
      <c r="CE68" s="43"/>
    </row>
    <row r="69" spans="2:83" ht="9" customHeight="1" x14ac:dyDescent="0.25">
      <c r="B69" s="2118"/>
      <c r="C69" s="50"/>
      <c r="D69" s="59"/>
      <c r="E69" s="59"/>
      <c r="F69" s="59"/>
      <c r="G69" s="59"/>
      <c r="H69" s="59"/>
      <c r="I69" s="59"/>
      <c r="J69" s="59"/>
      <c r="K69" s="59"/>
      <c r="L69" s="59"/>
      <c r="M69" s="59"/>
      <c r="N69" s="59"/>
      <c r="O69" s="59"/>
      <c r="P69" s="59"/>
      <c r="Q69" s="59"/>
      <c r="R69" s="59"/>
      <c r="S69" s="59"/>
      <c r="T69" s="59"/>
      <c r="U69" s="59"/>
      <c r="V69" s="59"/>
      <c r="W69" s="59"/>
      <c r="X69" s="59"/>
      <c r="Y69" s="59"/>
      <c r="Z69" s="59"/>
      <c r="AA69" s="59"/>
      <c r="AB69" s="55"/>
      <c r="AC69" s="120"/>
      <c r="AD69" s="2143"/>
      <c r="AE69" s="122"/>
      <c r="AF69" s="59"/>
      <c r="AG69" s="59"/>
      <c r="AH69" s="432"/>
      <c r="AI69" s="59"/>
      <c r="AJ69" s="59"/>
      <c r="AK69" s="59"/>
      <c r="AL69" s="59"/>
      <c r="AM69" s="59"/>
      <c r="AN69" s="59"/>
      <c r="AO69" s="59"/>
      <c r="AP69" s="59"/>
      <c r="AQ69" s="59"/>
      <c r="AR69" s="139"/>
      <c r="AS69" s="1131"/>
      <c r="AT69" s="1144"/>
      <c r="AU69" s="444"/>
      <c r="AV69" s="1132"/>
      <c r="AW69" s="444"/>
      <c r="AX69" s="1132"/>
      <c r="AY69" s="424"/>
      <c r="AZ69" s="126"/>
      <c r="BA69" s="103"/>
      <c r="BB69" s="1136"/>
      <c r="BC69" s="1136"/>
      <c r="BD69" s="1135"/>
      <c r="BE69" s="1135"/>
      <c r="BF69" s="1135"/>
      <c r="BG69" s="1135"/>
      <c r="BH69" s="61"/>
      <c r="BI69" s="2137"/>
      <c r="BJ69" s="50"/>
      <c r="BK69" s="59"/>
      <c r="BL69" s="59"/>
      <c r="BM69" s="59"/>
      <c r="BN69" s="59"/>
      <c r="BO69" s="59"/>
      <c r="BP69" s="59"/>
      <c r="BQ69" s="59"/>
      <c r="BR69" s="59"/>
      <c r="BS69" s="59"/>
      <c r="BT69" s="59"/>
      <c r="BU69" s="59"/>
      <c r="BV69" s="59"/>
      <c r="BW69" s="59"/>
      <c r="BX69" s="59"/>
      <c r="BY69" s="59"/>
      <c r="BZ69" s="59"/>
      <c r="CA69" s="59"/>
      <c r="CB69" s="59"/>
      <c r="CC69" s="61"/>
      <c r="CD69" s="2136"/>
      <c r="CE69" s="43"/>
    </row>
    <row r="70" spans="2:83" s="72" customFormat="1" ht="19.5" customHeight="1" thickBot="1" x14ac:dyDescent="0.3">
      <c r="B70" s="2119"/>
      <c r="C70" s="64"/>
      <c r="D70" s="75"/>
      <c r="E70" s="75"/>
      <c r="F70" s="75"/>
      <c r="G70" s="75"/>
      <c r="H70" s="75"/>
      <c r="I70" s="75"/>
      <c r="J70" s="75"/>
      <c r="K70" s="75"/>
      <c r="L70" s="75"/>
      <c r="M70" s="75"/>
      <c r="N70" s="75"/>
      <c r="O70" s="75"/>
      <c r="P70" s="75"/>
      <c r="Q70" s="75"/>
      <c r="R70" s="75"/>
      <c r="S70" s="75"/>
      <c r="T70" s="75"/>
      <c r="U70" s="75"/>
      <c r="V70" s="82"/>
      <c r="W70" s="75"/>
      <c r="X70" s="82"/>
      <c r="Y70" s="75"/>
      <c r="Z70" s="75"/>
      <c r="AA70" s="75"/>
      <c r="AB70" s="75"/>
      <c r="AC70" s="69"/>
      <c r="AD70" s="2145"/>
      <c r="AE70" s="64"/>
      <c r="AF70" s="75"/>
      <c r="AG70" s="158"/>
      <c r="AH70" s="433" t="s">
        <v>6</v>
      </c>
      <c r="AI70" s="159"/>
      <c r="AJ70" s="159"/>
      <c r="AK70" s="159"/>
      <c r="AL70" s="160"/>
      <c r="AM70" s="159"/>
      <c r="AN70" s="159"/>
      <c r="AO70" s="159"/>
      <c r="AP70" s="159"/>
      <c r="AQ70" s="161"/>
      <c r="AR70" s="3350">
        <f>'CALCULS Eaux pluviales'!E227</f>
        <v>0</v>
      </c>
      <c r="AS70" s="3350"/>
      <c r="AT70" s="1145">
        <f>'CALCULS Eaux pluviales'!H203</f>
        <v>0</v>
      </c>
      <c r="AU70" s="3356">
        <f>'CALCULS Eaux pluviales'!F227</f>
        <v>0</v>
      </c>
      <c r="AV70" s="3356"/>
      <c r="AW70" s="3356"/>
      <c r="AX70" s="3356"/>
      <c r="AY70" s="1124"/>
      <c r="AZ70" s="1145">
        <f>'CALCULS Eaux pluviales'!H201</f>
        <v>0</v>
      </c>
      <c r="BA70" s="239"/>
      <c r="BB70" s="3335">
        <f>'CALCULS Eaux pluviales'!G227</f>
        <v>0</v>
      </c>
      <c r="BC70" s="3335"/>
      <c r="BD70" s="3335"/>
      <c r="BE70" s="3335"/>
      <c r="BF70" s="3335"/>
      <c r="BG70" s="3335"/>
      <c r="BH70" s="69"/>
      <c r="BI70" s="2141"/>
      <c r="BJ70" s="64"/>
      <c r="BK70" s="75"/>
      <c r="BL70" s="3383"/>
      <c r="BM70" s="3383"/>
      <c r="BN70" s="3383"/>
      <c r="BO70" s="3383"/>
      <c r="BP70" s="3383"/>
      <c r="BQ70" s="3383"/>
      <c r="BR70" s="3383"/>
      <c r="BS70" s="3383"/>
      <c r="BT70" s="3383"/>
      <c r="BU70" s="3383"/>
      <c r="BV70" s="3383"/>
      <c r="BW70" s="3383"/>
      <c r="BX70" s="3383"/>
      <c r="BY70" s="3383"/>
      <c r="BZ70" s="3383"/>
      <c r="CA70" s="3383"/>
      <c r="CB70" s="75"/>
      <c r="CC70" s="69"/>
      <c r="CD70" s="2140"/>
      <c r="CE70" s="71"/>
    </row>
    <row r="71" spans="2:83" ht="16.5" customHeight="1" thickTop="1" thickBot="1" x14ac:dyDescent="0.35">
      <c r="B71" s="2118"/>
      <c r="C71" s="91"/>
      <c r="D71" s="92"/>
      <c r="E71" s="92"/>
      <c r="F71" s="92"/>
      <c r="G71" s="92"/>
      <c r="H71" s="92"/>
      <c r="I71" s="92"/>
      <c r="J71" s="92"/>
      <c r="K71" s="92"/>
      <c r="L71" s="92"/>
      <c r="M71" s="92"/>
      <c r="N71" s="92"/>
      <c r="O71" s="92"/>
      <c r="P71" s="92"/>
      <c r="Q71" s="92"/>
      <c r="R71" s="92"/>
      <c r="S71" s="92"/>
      <c r="T71" s="92"/>
      <c r="U71" s="92"/>
      <c r="V71" s="162"/>
      <c r="W71" s="92"/>
      <c r="X71" s="162"/>
      <c r="Y71" s="92"/>
      <c r="Z71" s="92"/>
      <c r="AA71" s="92"/>
      <c r="AB71" s="92"/>
      <c r="AC71" s="93"/>
      <c r="AD71" s="2142"/>
      <c r="AE71" s="91"/>
      <c r="AF71" s="92"/>
      <c r="AG71" s="92"/>
      <c r="AH71" s="163"/>
      <c r="AI71" s="92"/>
      <c r="AJ71" s="92"/>
      <c r="AK71" s="92"/>
      <c r="AL71" s="92"/>
      <c r="AM71" s="92"/>
      <c r="AN71" s="92"/>
      <c r="AO71" s="92"/>
      <c r="AP71" s="92"/>
      <c r="AQ71" s="164"/>
      <c r="AR71" s="164"/>
      <c r="AS71" s="165"/>
      <c r="AT71" s="165"/>
      <c r="AU71" s="165"/>
      <c r="AV71" s="165"/>
      <c r="AW71" s="165"/>
      <c r="AX71" s="165"/>
      <c r="AY71" s="92"/>
      <c r="AZ71" s="92"/>
      <c r="BA71" s="92"/>
      <c r="BB71" s="92"/>
      <c r="BC71" s="92"/>
      <c r="BD71" s="92"/>
      <c r="BE71" s="92"/>
      <c r="BF71" s="92"/>
      <c r="BG71" s="92"/>
      <c r="BH71" s="93"/>
      <c r="BI71" s="2137"/>
      <c r="BJ71" s="50"/>
      <c r="BK71" s="437"/>
      <c r="BL71" s="3383"/>
      <c r="BM71" s="3383"/>
      <c r="BN71" s="3383"/>
      <c r="BO71" s="3383"/>
      <c r="BP71" s="3383"/>
      <c r="BQ71" s="3383"/>
      <c r="BR71" s="3383"/>
      <c r="BS71" s="3383"/>
      <c r="BT71" s="3383"/>
      <c r="BU71" s="3383"/>
      <c r="BV71" s="3383"/>
      <c r="BW71" s="3383"/>
      <c r="BX71" s="3383"/>
      <c r="BY71" s="3383"/>
      <c r="BZ71" s="3383"/>
      <c r="CA71" s="3383"/>
      <c r="CB71" s="1272"/>
      <c r="CC71" s="61"/>
      <c r="CD71" s="2136"/>
      <c r="CE71" s="43"/>
    </row>
    <row r="72" spans="2:83" ht="13.5" customHeight="1" thickTop="1" x14ac:dyDescent="0.25">
      <c r="B72" s="2118"/>
      <c r="C72" s="2137"/>
      <c r="D72" s="2137"/>
      <c r="E72" s="2137"/>
      <c r="F72" s="2137"/>
      <c r="G72" s="2137"/>
      <c r="H72" s="2137"/>
      <c r="I72" s="2137"/>
      <c r="J72" s="2137"/>
      <c r="K72" s="2137"/>
      <c r="L72" s="2137"/>
      <c r="M72" s="2137"/>
      <c r="N72" s="2137"/>
      <c r="O72" s="2137"/>
      <c r="P72" s="2137"/>
      <c r="Q72" s="2137"/>
      <c r="R72" s="2137"/>
      <c r="S72" s="2137"/>
      <c r="T72" s="2137"/>
      <c r="U72" s="2137"/>
      <c r="V72" s="2146"/>
      <c r="W72" s="2137"/>
      <c r="X72" s="2146"/>
      <c r="Y72" s="2137"/>
      <c r="Z72" s="2137"/>
      <c r="AA72" s="2137"/>
      <c r="AB72" s="2137"/>
      <c r="AC72" s="2137"/>
      <c r="AD72" s="2137"/>
      <c r="AE72" s="2137"/>
      <c r="AF72" s="2137"/>
      <c r="AG72" s="2137"/>
      <c r="AH72" s="2146"/>
      <c r="AI72" s="2137"/>
      <c r="AJ72" s="2137"/>
      <c r="AK72" s="2137"/>
      <c r="AL72" s="2137"/>
      <c r="AM72" s="2137"/>
      <c r="AN72" s="2137"/>
      <c r="AO72" s="2137"/>
      <c r="AP72" s="2137"/>
      <c r="AQ72" s="2147"/>
      <c r="AR72" s="2147"/>
      <c r="AS72" s="2148"/>
      <c r="AT72" s="2148"/>
      <c r="AU72" s="2148"/>
      <c r="AV72" s="2148"/>
      <c r="AW72" s="2148"/>
      <c r="AX72" s="2148"/>
      <c r="AY72" s="2137"/>
      <c r="AZ72" s="2137"/>
      <c r="BA72" s="2137"/>
      <c r="BB72" s="2137"/>
      <c r="BC72" s="2137"/>
      <c r="BD72" s="2137"/>
      <c r="BE72" s="2137"/>
      <c r="BF72" s="2137"/>
      <c r="BG72" s="2137"/>
      <c r="BH72" s="2137"/>
      <c r="BI72" s="2136"/>
      <c r="BJ72" s="59"/>
      <c r="BK72" s="59"/>
      <c r="BL72" s="3383"/>
      <c r="BM72" s="3383"/>
      <c r="BN72" s="3383"/>
      <c r="BO72" s="3383"/>
      <c r="BP72" s="3383"/>
      <c r="BQ72" s="3383"/>
      <c r="BR72" s="3383"/>
      <c r="BS72" s="3383"/>
      <c r="BT72" s="3383"/>
      <c r="BU72" s="3383"/>
      <c r="BV72" s="3383"/>
      <c r="BW72" s="3383"/>
      <c r="BX72" s="3383"/>
      <c r="BY72" s="3383"/>
      <c r="BZ72" s="3383"/>
      <c r="CA72" s="3383"/>
      <c r="CB72" s="59"/>
      <c r="CC72" s="61"/>
      <c r="CD72" s="2136"/>
      <c r="CE72" s="43"/>
    </row>
    <row r="73" spans="2:83" ht="9" customHeight="1" thickBot="1" x14ac:dyDescent="0.3">
      <c r="B73" s="2118"/>
      <c r="C73" s="113"/>
      <c r="D73" s="111"/>
      <c r="E73" s="111"/>
      <c r="F73" s="111"/>
      <c r="G73" s="111"/>
      <c r="H73" s="111"/>
      <c r="I73" s="111"/>
      <c r="J73" s="111"/>
      <c r="K73" s="111"/>
      <c r="L73" s="111"/>
      <c r="M73" s="111"/>
      <c r="N73" s="111"/>
      <c r="O73" s="111"/>
      <c r="P73" s="111"/>
      <c r="Q73" s="111"/>
      <c r="R73" s="111"/>
      <c r="S73" s="111"/>
      <c r="T73" s="111"/>
      <c r="U73" s="111"/>
      <c r="V73" s="169"/>
      <c r="W73" s="111"/>
      <c r="X73" s="169"/>
      <c r="Y73" s="111"/>
      <c r="Z73" s="111"/>
      <c r="AA73" s="111"/>
      <c r="AB73" s="111"/>
      <c r="AC73" s="111"/>
      <c r="AD73" s="111"/>
      <c r="AE73" s="111"/>
      <c r="AF73" s="111"/>
      <c r="AG73" s="111"/>
      <c r="AH73" s="169"/>
      <c r="AI73" s="111"/>
      <c r="AJ73" s="111"/>
      <c r="AK73" s="111"/>
      <c r="AL73" s="111"/>
      <c r="AM73" s="111"/>
      <c r="AN73" s="111"/>
      <c r="AO73" s="111"/>
      <c r="AP73" s="111"/>
      <c r="AQ73" s="170"/>
      <c r="AR73" s="170"/>
      <c r="AS73" s="171"/>
      <c r="AT73" s="171"/>
      <c r="AU73" s="171"/>
      <c r="AV73" s="171"/>
      <c r="AW73" s="171"/>
      <c r="AX73" s="171"/>
      <c r="AY73" s="111"/>
      <c r="AZ73" s="111"/>
      <c r="BA73" s="111"/>
      <c r="BB73" s="111"/>
      <c r="BC73" s="111"/>
      <c r="BD73" s="111"/>
      <c r="BE73" s="111"/>
      <c r="BF73" s="111"/>
      <c r="BG73" s="111"/>
      <c r="BH73" s="112"/>
      <c r="BI73" s="2137"/>
      <c r="BJ73" s="50"/>
      <c r="BM73" s="436"/>
      <c r="BN73" s="436"/>
      <c r="BO73" s="436"/>
      <c r="BP73" s="436"/>
      <c r="BQ73" s="436"/>
      <c r="BR73" s="436"/>
      <c r="BS73" s="436"/>
      <c r="BT73" s="436"/>
      <c r="BU73" s="436"/>
      <c r="BV73" s="436"/>
      <c r="BW73" s="436"/>
      <c r="BX73" s="436"/>
      <c r="BY73" s="436"/>
      <c r="BZ73" s="436"/>
      <c r="CA73" s="436"/>
      <c r="CB73" s="59"/>
      <c r="CC73" s="61"/>
      <c r="CD73" s="2136"/>
      <c r="CE73" s="43"/>
    </row>
    <row r="74" spans="2:83" s="72" customFormat="1" ht="16.5" customHeight="1" thickTop="1" thickBot="1" x14ac:dyDescent="0.35">
      <c r="B74" s="2119"/>
      <c r="C74" s="172"/>
      <c r="D74" s="51" t="s">
        <v>1889</v>
      </c>
      <c r="AB74" s="75"/>
      <c r="AC74" s="75"/>
      <c r="AD74" s="75"/>
      <c r="AE74" s="75"/>
      <c r="AF74" s="75"/>
      <c r="AG74" s="62"/>
      <c r="AH74" s="173"/>
      <c r="AI74" s="173"/>
      <c r="AJ74" s="174"/>
      <c r="AK74" s="174"/>
      <c r="AL74" s="174"/>
      <c r="AM74" s="174"/>
      <c r="AN74" s="174"/>
      <c r="AO74" s="174"/>
      <c r="AP74" s="174"/>
      <c r="AQ74" s="174"/>
      <c r="AR74" s="174"/>
      <c r="AS74" s="174"/>
      <c r="AT74" s="174"/>
      <c r="AU74" s="174"/>
      <c r="AV74" s="174"/>
      <c r="AW74" s="174"/>
      <c r="AX74" s="174"/>
      <c r="AY74" s="174"/>
      <c r="AZ74" s="174"/>
      <c r="BA74" s="174"/>
      <c r="BB74" s="174"/>
      <c r="BC74" s="174"/>
      <c r="BD74" s="174"/>
      <c r="BE74" s="174"/>
      <c r="BF74" s="174"/>
      <c r="BG74" s="75"/>
      <c r="BH74" s="175"/>
      <c r="BI74" s="2141"/>
      <c r="BJ74" s="64"/>
      <c r="BK74" s="437"/>
      <c r="BL74" s="3379"/>
      <c r="BM74" s="3379"/>
      <c r="BN74" s="3379"/>
      <c r="BO74" s="3379"/>
      <c r="BP74" s="3379"/>
      <c r="BQ74" s="3379"/>
      <c r="BR74" s="3379"/>
      <c r="BS74" s="3379"/>
      <c r="BT74" s="3379"/>
      <c r="BU74" s="3379"/>
      <c r="BV74" s="3379"/>
      <c r="BW74" s="3379"/>
      <c r="BX74" s="3379"/>
      <c r="BY74" s="3379"/>
      <c r="BZ74" s="3379"/>
      <c r="CA74" s="3379"/>
      <c r="CB74" s="3307"/>
      <c r="CC74" s="3308"/>
      <c r="CD74" s="2140"/>
      <c r="CE74" s="71"/>
    </row>
    <row r="75" spans="2:83" ht="10.5" customHeight="1" thickTop="1" thickBot="1" x14ac:dyDescent="0.3">
      <c r="B75" s="2118"/>
      <c r="C75" s="115"/>
      <c r="D75" s="59"/>
      <c r="E75" s="59"/>
      <c r="F75" s="59"/>
      <c r="G75" s="59"/>
      <c r="H75" s="59"/>
      <c r="I75" s="59"/>
      <c r="J75" s="59"/>
      <c r="K75" s="59"/>
      <c r="L75" s="59"/>
      <c r="M75" s="59"/>
      <c r="N75" s="59"/>
      <c r="O75" s="59"/>
      <c r="P75" s="59"/>
      <c r="Q75" s="59"/>
      <c r="R75" s="59"/>
      <c r="S75" s="59"/>
      <c r="T75" s="59"/>
      <c r="U75" s="59"/>
      <c r="V75" s="55"/>
      <c r="W75" s="59"/>
      <c r="X75" s="55"/>
      <c r="Y75" s="59"/>
      <c r="Z75" s="59"/>
      <c r="AA75" s="59"/>
      <c r="AB75" s="59"/>
      <c r="AC75" s="59"/>
      <c r="AD75" s="59"/>
      <c r="AE75" s="59"/>
      <c r="AF75" s="59"/>
      <c r="AG75" s="59"/>
      <c r="AH75" s="55"/>
      <c r="AI75" s="59"/>
      <c r="AJ75" s="59"/>
      <c r="AK75" s="59"/>
      <c r="AL75" s="59"/>
      <c r="AM75" s="59"/>
      <c r="AN75" s="59"/>
      <c r="AO75" s="59"/>
      <c r="AP75" s="59"/>
      <c r="AQ75" s="89"/>
      <c r="AR75" s="89"/>
      <c r="AS75" s="139"/>
      <c r="AT75" s="139"/>
      <c r="AU75" s="139"/>
      <c r="AV75" s="139"/>
      <c r="AW75" s="139"/>
      <c r="AX75" s="139"/>
      <c r="AY75" s="59"/>
      <c r="AZ75" s="59"/>
      <c r="BA75" s="59"/>
      <c r="BB75" s="59"/>
      <c r="BC75" s="59"/>
      <c r="BD75" s="59"/>
      <c r="BE75" s="59"/>
      <c r="BF75" s="59"/>
      <c r="BG75" s="59"/>
      <c r="BH75" s="114"/>
      <c r="BI75" s="2137"/>
      <c r="BJ75" s="50"/>
      <c r="BK75" s="59"/>
      <c r="BL75" s="3379"/>
      <c r="BM75" s="3379"/>
      <c r="BN75" s="3379"/>
      <c r="BO75" s="3379"/>
      <c r="BP75" s="3379"/>
      <c r="BQ75" s="3379"/>
      <c r="BR75" s="3379"/>
      <c r="BS75" s="3379"/>
      <c r="BT75" s="3379"/>
      <c r="BU75" s="3379"/>
      <c r="BV75" s="3379"/>
      <c r="BW75" s="3379"/>
      <c r="BX75" s="3379"/>
      <c r="BY75" s="3379"/>
      <c r="BZ75" s="3379"/>
      <c r="CA75" s="3379"/>
      <c r="CC75" s="61"/>
      <c r="CD75" s="2136"/>
      <c r="CE75" s="43"/>
    </row>
    <row r="76" spans="2:83" ht="16.5" customHeight="1" thickTop="1" thickBot="1" x14ac:dyDescent="0.35">
      <c r="B76" s="2118"/>
      <c r="C76" s="115"/>
      <c r="D76" s="2157" t="s">
        <v>2043</v>
      </c>
      <c r="E76" s="2168"/>
      <c r="F76" s="2551"/>
      <c r="G76" s="2169"/>
      <c r="H76" s="2170"/>
      <c r="I76" s="2169"/>
      <c r="J76" s="2171"/>
      <c r="K76" s="2169"/>
      <c r="L76" s="2172"/>
      <c r="M76" s="2169"/>
      <c r="N76" s="2172"/>
      <c r="O76" s="2169"/>
      <c r="P76" s="2172"/>
      <c r="Q76" s="2169"/>
      <c r="R76" s="2172"/>
      <c r="S76" s="2172"/>
      <c r="T76" s="2173"/>
      <c r="U76" s="2174"/>
      <c r="V76" s="2174"/>
      <c r="W76" s="2174"/>
      <c r="X76" s="2174"/>
      <c r="Y76" s="2174"/>
      <c r="Z76" s="2174"/>
      <c r="AA76" s="2174"/>
      <c r="AB76" s="2555" t="str">
        <f>IF(('FORMULAIRE PGA Eaux pluviales '!$H$120='MENU DÉROULANT'!$C$54),"(Aucun actif)","")</f>
        <v/>
      </c>
      <c r="AC76" s="2175"/>
      <c r="AD76" s="59"/>
      <c r="AE76" s="2157" t="s">
        <v>2044</v>
      </c>
      <c r="AF76" s="2168"/>
      <c r="AG76" s="2168"/>
      <c r="AH76" s="2169"/>
      <c r="AI76" s="2170"/>
      <c r="AJ76" s="2169"/>
      <c r="AK76" s="2171"/>
      <c r="AL76" s="2169"/>
      <c r="AM76" s="2172"/>
      <c r="AN76" s="2169"/>
      <c r="AO76" s="2172"/>
      <c r="AP76" s="2169"/>
      <c r="AQ76" s="2551" t="str">
        <f>IF(('FORMULAIRE PGA Eaux pluviales '!M73='MENU DÉROULANT'!C63),"(Non applicable)","")</f>
        <v/>
      </c>
      <c r="AR76" s="2172"/>
      <c r="AS76" s="2169"/>
      <c r="AT76" s="2169"/>
      <c r="AU76" s="2172"/>
      <c r="AV76" s="2172"/>
      <c r="AW76" s="2173"/>
      <c r="AX76" s="2174"/>
      <c r="AY76" s="2174"/>
      <c r="AZ76" s="2174"/>
      <c r="BA76" s="2174"/>
      <c r="BB76" s="2174"/>
      <c r="BC76" s="2174"/>
      <c r="BD76" s="2174"/>
      <c r="BE76" s="2174"/>
      <c r="BF76" s="2555" t="str">
        <f>IF(('FORMULAIRE PGA Eaux pluviales '!$H$81='MENU DÉROULANT'!$F$54),"(Aucun actif)","")</f>
        <v/>
      </c>
      <c r="BG76" s="2175"/>
      <c r="BH76" s="114"/>
      <c r="BI76" s="2137"/>
      <c r="BJ76" s="50"/>
      <c r="BK76" s="437"/>
      <c r="BL76" s="3379"/>
      <c r="BM76" s="3379"/>
      <c r="BN76" s="3379"/>
      <c r="BO76" s="3379"/>
      <c r="BP76" s="3379"/>
      <c r="BQ76" s="3379"/>
      <c r="BR76" s="3379"/>
      <c r="BS76" s="3379"/>
      <c r="BT76" s="3379"/>
      <c r="BU76" s="3379"/>
      <c r="BV76" s="3379"/>
      <c r="BW76" s="3379"/>
      <c r="BX76" s="3379"/>
      <c r="BY76" s="3379"/>
      <c r="BZ76" s="3379"/>
      <c r="CA76" s="3379"/>
      <c r="CB76" s="3307"/>
      <c r="CC76" s="3308"/>
      <c r="CD76" s="2136"/>
      <c r="CE76" s="43"/>
    </row>
    <row r="77" spans="2:83" ht="10.5" customHeight="1" thickTop="1" x14ac:dyDescent="0.25">
      <c r="B77" s="2118"/>
      <c r="C77" s="115"/>
      <c r="D77" s="1087"/>
      <c r="E77" s="1082"/>
      <c r="F77" s="1082"/>
      <c r="G77" s="1082"/>
      <c r="H77" s="1082"/>
      <c r="I77" s="1082"/>
      <c r="J77" s="1082"/>
      <c r="K77" s="1082"/>
      <c r="L77" s="1082"/>
      <c r="M77" s="1082"/>
      <c r="N77" s="1082"/>
      <c r="O77" s="1082"/>
      <c r="P77" s="1082"/>
      <c r="Q77" s="1082"/>
      <c r="R77" s="1082"/>
      <c r="S77" s="1082"/>
      <c r="T77" s="1082"/>
      <c r="U77" s="1082"/>
      <c r="V77" s="1082"/>
      <c r="W77" s="46"/>
      <c r="X77" s="468"/>
      <c r="Y77" s="46"/>
      <c r="Z77" s="46"/>
      <c r="AA77" s="46"/>
      <c r="AB77" s="46"/>
      <c r="AC77" s="47"/>
      <c r="AD77" s="59"/>
      <c r="AE77" s="45"/>
      <c r="AF77" s="46"/>
      <c r="AG77" s="46"/>
      <c r="AH77" s="1082"/>
      <c r="AI77" s="1082"/>
      <c r="AJ77" s="1082"/>
      <c r="AK77" s="1082"/>
      <c r="AL77" s="1082"/>
      <c r="AM77" s="1082"/>
      <c r="AN77" s="1082"/>
      <c r="AO77" s="1082"/>
      <c r="AP77" s="1082"/>
      <c r="AQ77" s="1082"/>
      <c r="AR77" s="1082"/>
      <c r="AS77" s="1082"/>
      <c r="AT77" s="1082"/>
      <c r="AU77" s="1082"/>
      <c r="AV77" s="1082"/>
      <c r="AW77" s="1082"/>
      <c r="AX77" s="1082"/>
      <c r="AY77" s="1082"/>
      <c r="AZ77" s="1082"/>
      <c r="BA77" s="1082"/>
      <c r="BB77" s="1082"/>
      <c r="BC77" s="46"/>
      <c r="BD77" s="46"/>
      <c r="BE77" s="46"/>
      <c r="BF77" s="46"/>
      <c r="BG77" s="47"/>
      <c r="BH77" s="114"/>
      <c r="BI77" s="2137"/>
      <c r="BJ77" s="50"/>
      <c r="BK77" s="55"/>
      <c r="BL77" s="3379"/>
      <c r="BM77" s="3379"/>
      <c r="BN77" s="3379"/>
      <c r="BO77" s="3379"/>
      <c r="BP77" s="3379"/>
      <c r="BQ77" s="3379"/>
      <c r="BR77" s="3379"/>
      <c r="BS77" s="3379"/>
      <c r="BT77" s="3379"/>
      <c r="BU77" s="3379"/>
      <c r="BV77" s="3379"/>
      <c r="BW77" s="3379"/>
      <c r="BX77" s="3379"/>
      <c r="BY77" s="3379"/>
      <c r="BZ77" s="3379"/>
      <c r="CA77" s="3379"/>
      <c r="CC77" s="61"/>
      <c r="CD77" s="2136"/>
      <c r="CE77" s="43"/>
    </row>
    <row r="78" spans="2:83" ht="18" customHeight="1" x14ac:dyDescent="0.3">
      <c r="B78" s="2118"/>
      <c r="C78" s="115"/>
      <c r="D78" s="1157">
        <f>'CALCULS Eaux pluviales'!O244</f>
        <v>0</v>
      </c>
      <c r="E78" s="1088" t="s">
        <v>41</v>
      </c>
      <c r="F78" s="3380">
        <f>'CALCULS Eaux pluviales'!P244</f>
        <v>0</v>
      </c>
      <c r="G78" s="3380"/>
      <c r="H78" s="3380"/>
      <c r="I78" s="441"/>
      <c r="J78" s="440" t="s">
        <v>2064</v>
      </c>
      <c r="K78" s="441"/>
      <c r="L78" s="1084"/>
      <c r="M78" s="1084"/>
      <c r="N78" s="1083"/>
      <c r="O78" s="1083"/>
      <c r="P78" s="1083"/>
      <c r="Q78" s="441"/>
      <c r="R78" s="441"/>
      <c r="S78" s="441"/>
      <c r="T78" s="441"/>
      <c r="U78" s="441"/>
      <c r="V78" s="441"/>
      <c r="W78" s="1084"/>
      <c r="X78" s="1084"/>
      <c r="Y78" s="1084"/>
      <c r="Z78" s="3318">
        <f>'CALCULS Eaux pluviales'!D248</f>
        <v>0</v>
      </c>
      <c r="AA78" s="3318"/>
      <c r="AB78" s="3318"/>
      <c r="AC78" s="3319"/>
      <c r="AD78" s="59"/>
      <c r="AE78" s="50"/>
      <c r="AF78" s="3344">
        <f>'CALCULS Eaux pluviales'!O261</f>
        <v>0</v>
      </c>
      <c r="AG78" s="3344"/>
      <c r="AH78" s="3344"/>
      <c r="AI78" s="3344"/>
      <c r="AJ78" s="3344"/>
      <c r="AK78" s="3344"/>
      <c r="AL78" s="3344"/>
      <c r="AM78" s="3344"/>
      <c r="AN78" s="3343" t="s">
        <v>41</v>
      </c>
      <c r="AO78" s="3343"/>
      <c r="AP78" s="3343"/>
      <c r="AQ78" s="3380">
        <f>'CALCULS Eaux pluviales'!P261</f>
        <v>0</v>
      </c>
      <c r="AR78" s="3380"/>
      <c r="AS78" s="440" t="s">
        <v>2064</v>
      </c>
      <c r="AT78" s="440"/>
      <c r="AU78" s="1083"/>
      <c r="AV78" s="1083"/>
      <c r="AW78" s="441"/>
      <c r="AX78" s="441"/>
      <c r="AY78" s="441"/>
      <c r="AZ78" s="1084"/>
      <c r="BA78" s="1084"/>
      <c r="BB78" s="1084"/>
      <c r="BC78" s="1084"/>
      <c r="BE78" s="3452">
        <f>'CALCULS Eaux pluviales'!D265</f>
        <v>0</v>
      </c>
      <c r="BF78" s="3452"/>
      <c r="BG78" s="3453"/>
      <c r="BH78" s="114"/>
      <c r="BI78" s="2137"/>
      <c r="BJ78" s="50"/>
      <c r="BK78" s="55"/>
      <c r="BL78" s="3379"/>
      <c r="BM78" s="3379"/>
      <c r="BN78" s="3379"/>
      <c r="BO78" s="3379"/>
      <c r="BP78" s="3379"/>
      <c r="BQ78" s="3379"/>
      <c r="BR78" s="3379"/>
      <c r="BS78" s="3379"/>
      <c r="BT78" s="3379"/>
      <c r="BU78" s="3379"/>
      <c r="BV78" s="3379"/>
      <c r="BW78" s="3379"/>
      <c r="BX78" s="3379"/>
      <c r="BY78" s="3379"/>
      <c r="BZ78" s="3379"/>
      <c r="CA78" s="3379"/>
      <c r="CB78" s="3307"/>
      <c r="CC78" s="3308"/>
      <c r="CD78" s="2136"/>
      <c r="CE78" s="43"/>
    </row>
    <row r="79" spans="2:83" ht="10.5" customHeight="1" thickBot="1" x14ac:dyDescent="0.3">
      <c r="B79" s="2118"/>
      <c r="C79" s="115"/>
      <c r="D79" s="1089"/>
      <c r="E79" s="439"/>
      <c r="F79" s="1083"/>
      <c r="G79" s="441"/>
      <c r="H79" s="441"/>
      <c r="I79" s="441"/>
      <c r="J79" s="441"/>
      <c r="K79" s="441"/>
      <c r="L79" s="441"/>
      <c r="M79" s="441"/>
      <c r="N79" s="1083"/>
      <c r="O79" s="1083"/>
      <c r="P79" s="1083"/>
      <c r="Q79" s="441"/>
      <c r="R79" s="441"/>
      <c r="S79" s="441"/>
      <c r="T79" s="441"/>
      <c r="U79" s="442"/>
      <c r="V79" s="442"/>
      <c r="W79" s="1084"/>
      <c r="X79" s="1084"/>
      <c r="Y79" s="1084"/>
      <c r="Z79" s="1084"/>
      <c r="AA79" s="59"/>
      <c r="AB79" s="59"/>
      <c r="AC79" s="61"/>
      <c r="AD79" s="59"/>
      <c r="AE79" s="50"/>
      <c r="AF79" s="423"/>
      <c r="AG79" s="423"/>
      <c r="AH79" s="438"/>
      <c r="AI79" s="439"/>
      <c r="AJ79" s="1083"/>
      <c r="AK79" s="441"/>
      <c r="AL79" s="441"/>
      <c r="AM79" s="441"/>
      <c r="AN79" s="441"/>
      <c r="AO79" s="441"/>
      <c r="AP79" s="441"/>
      <c r="AQ79" s="441"/>
      <c r="AR79" s="441"/>
      <c r="AS79" s="1083"/>
      <c r="AT79" s="1083"/>
      <c r="AU79" s="1083"/>
      <c r="AV79" s="1083"/>
      <c r="AW79" s="441"/>
      <c r="AX79" s="441"/>
      <c r="AY79" s="441"/>
      <c r="AZ79" s="442"/>
      <c r="BA79" s="442"/>
      <c r="BB79" s="442"/>
      <c r="BC79" s="1084"/>
      <c r="BD79" s="423"/>
      <c r="BE79" s="59"/>
      <c r="BF79" s="59"/>
      <c r="BG79" s="61"/>
      <c r="BH79" s="114"/>
      <c r="BI79" s="2137"/>
      <c r="BJ79" s="50"/>
      <c r="BK79" s="55"/>
      <c r="BL79" s="3379"/>
      <c r="BM79" s="3379"/>
      <c r="BN79" s="3379"/>
      <c r="BO79" s="3379"/>
      <c r="BP79" s="3379"/>
      <c r="BQ79" s="3379"/>
      <c r="BR79" s="3379"/>
      <c r="BS79" s="3379"/>
      <c r="BT79" s="3379"/>
      <c r="BU79" s="3379"/>
      <c r="BV79" s="3379"/>
      <c r="BW79" s="3379"/>
      <c r="BX79" s="3379"/>
      <c r="BY79" s="3379"/>
      <c r="BZ79" s="3379"/>
      <c r="CA79" s="3379"/>
      <c r="CC79" s="61"/>
      <c r="CD79" s="2136"/>
      <c r="CE79" s="43"/>
    </row>
    <row r="80" spans="2:83" ht="16.5" customHeight="1" thickTop="1" thickBot="1" x14ac:dyDescent="0.35">
      <c r="B80" s="2118"/>
      <c r="C80" s="115"/>
      <c r="D80" s="1090" t="s">
        <v>252</v>
      </c>
      <c r="E80" s="1084"/>
      <c r="F80" s="1084"/>
      <c r="G80" s="1084"/>
      <c r="H80" s="1084"/>
      <c r="I80" s="1084"/>
      <c r="J80" s="1084"/>
      <c r="K80" s="1084"/>
      <c r="L80" s="1084"/>
      <c r="M80" s="1084"/>
      <c r="N80" s="1084"/>
      <c r="O80" s="1084"/>
      <c r="P80" s="1084"/>
      <c r="Q80" s="1084"/>
      <c r="R80" s="1084"/>
      <c r="S80" s="1084"/>
      <c r="T80" s="1084"/>
      <c r="U80" s="1084"/>
      <c r="V80" s="1084"/>
      <c r="W80" s="1084"/>
      <c r="X80" s="1084"/>
      <c r="Y80" s="1084"/>
      <c r="Z80" s="1084"/>
      <c r="AA80" s="59"/>
      <c r="AB80" s="59"/>
      <c r="AC80" s="61"/>
      <c r="AD80" s="59"/>
      <c r="AE80" s="50"/>
      <c r="AF80" s="1085" t="s">
        <v>252</v>
      </c>
      <c r="AG80" s="423"/>
      <c r="AH80" s="1086"/>
      <c r="AI80" s="1084"/>
      <c r="AJ80" s="1084"/>
      <c r="AK80" s="1084"/>
      <c r="AL80" s="1084"/>
      <c r="AM80" s="1084"/>
      <c r="AN80" s="1084"/>
      <c r="AO80" s="1084"/>
      <c r="AP80" s="1084"/>
      <c r="AQ80" s="1084"/>
      <c r="AR80" s="1084"/>
      <c r="AS80" s="1084"/>
      <c r="AT80" s="1084"/>
      <c r="AU80" s="1084"/>
      <c r="AV80" s="1084"/>
      <c r="AW80" s="1084"/>
      <c r="AX80" s="1084"/>
      <c r="AY80" s="1084"/>
      <c r="AZ80" s="1084"/>
      <c r="BA80" s="1084"/>
      <c r="BB80" s="1084"/>
      <c r="BC80" s="1084"/>
      <c r="BD80" s="423"/>
      <c r="BE80" s="59"/>
      <c r="BF80" s="59"/>
      <c r="BG80" s="61"/>
      <c r="BH80" s="114"/>
      <c r="BI80" s="2137"/>
      <c r="BJ80" s="50"/>
      <c r="BK80" s="437"/>
      <c r="BL80" s="3379"/>
      <c r="BM80" s="3379"/>
      <c r="BN80" s="3379"/>
      <c r="BO80" s="3379"/>
      <c r="BP80" s="3379"/>
      <c r="BQ80" s="3379"/>
      <c r="BR80" s="3379"/>
      <c r="BS80" s="3379"/>
      <c r="BT80" s="3379"/>
      <c r="BU80" s="3379"/>
      <c r="BV80" s="3379"/>
      <c r="BW80" s="3379"/>
      <c r="BX80" s="3379"/>
      <c r="BY80" s="3379"/>
      <c r="BZ80" s="3379"/>
      <c r="CA80" s="3379"/>
      <c r="CB80" s="3307"/>
      <c r="CC80" s="3308"/>
      <c r="CD80" s="2136"/>
      <c r="CE80" s="43"/>
    </row>
    <row r="81" spans="2:83" ht="10.5" customHeight="1" thickTop="1" x14ac:dyDescent="0.25">
      <c r="B81" s="2118"/>
      <c r="C81" s="115"/>
      <c r="D81" s="50"/>
      <c r="E81" s="59"/>
      <c r="F81" s="59"/>
      <c r="G81" s="59"/>
      <c r="H81" s="59"/>
      <c r="I81" s="59"/>
      <c r="J81" s="59"/>
      <c r="K81" s="59"/>
      <c r="L81" s="59"/>
      <c r="M81" s="59"/>
      <c r="N81" s="59"/>
      <c r="O81" s="59"/>
      <c r="P81" s="59"/>
      <c r="Q81" s="59"/>
      <c r="R81" s="59"/>
      <c r="S81" s="59"/>
      <c r="T81" s="59"/>
      <c r="U81" s="59"/>
      <c r="V81" s="55"/>
      <c r="W81" s="59"/>
      <c r="X81" s="55"/>
      <c r="Y81" s="59"/>
      <c r="Z81" s="59"/>
      <c r="AA81" s="59"/>
      <c r="AB81" s="59"/>
      <c r="AC81" s="61"/>
      <c r="AD81" s="59"/>
      <c r="AE81" s="50"/>
      <c r="AF81" s="59"/>
      <c r="AG81" s="59"/>
      <c r="AH81" s="55"/>
      <c r="AI81" s="59"/>
      <c r="AJ81" s="59"/>
      <c r="AK81" s="59"/>
      <c r="AL81" s="59"/>
      <c r="AM81" s="59"/>
      <c r="AN81" s="59"/>
      <c r="AO81" s="59"/>
      <c r="AP81" s="59"/>
      <c r="AQ81" s="89"/>
      <c r="AR81" s="89"/>
      <c r="AS81" s="139"/>
      <c r="AT81" s="139"/>
      <c r="AU81" s="139"/>
      <c r="AV81" s="139"/>
      <c r="AW81" s="139"/>
      <c r="AX81" s="139"/>
      <c r="AY81" s="59"/>
      <c r="AZ81" s="59"/>
      <c r="BA81" s="59"/>
      <c r="BB81" s="59"/>
      <c r="BC81" s="59"/>
      <c r="BD81" s="59"/>
      <c r="BE81" s="59"/>
      <c r="BF81" s="59"/>
      <c r="BG81" s="61"/>
      <c r="BH81" s="114"/>
      <c r="BI81" s="2137"/>
      <c r="BJ81" s="50"/>
      <c r="BK81" s="55"/>
      <c r="BL81" s="3379"/>
      <c r="BM81" s="3379"/>
      <c r="BN81" s="3379"/>
      <c r="BO81" s="3379"/>
      <c r="BP81" s="3379"/>
      <c r="BQ81" s="3379"/>
      <c r="BR81" s="3379"/>
      <c r="BS81" s="3379"/>
      <c r="BT81" s="3379"/>
      <c r="BU81" s="3379"/>
      <c r="BV81" s="3379"/>
      <c r="BW81" s="3379"/>
      <c r="BX81" s="3379"/>
      <c r="BY81" s="3379"/>
      <c r="BZ81" s="3379"/>
      <c r="CA81" s="3379"/>
      <c r="CB81" s="59"/>
      <c r="CC81" s="61"/>
      <c r="CD81" s="2136"/>
      <c r="CE81" s="43"/>
    </row>
    <row r="82" spans="2:83" ht="16.5" customHeight="1" x14ac:dyDescent="0.3">
      <c r="B82" s="2118"/>
      <c r="C82" s="115"/>
      <c r="D82" s="50"/>
      <c r="E82" s="59"/>
      <c r="F82" s="59"/>
      <c r="G82" s="59"/>
      <c r="H82" s="59"/>
      <c r="I82" s="59"/>
      <c r="J82" s="59"/>
      <c r="K82" s="59"/>
      <c r="L82" s="59"/>
      <c r="M82" s="59"/>
      <c r="N82" s="59"/>
      <c r="O82" s="59"/>
      <c r="P82" s="59"/>
      <c r="Q82" s="59"/>
      <c r="R82" s="59"/>
      <c r="S82" s="59"/>
      <c r="T82" s="59"/>
      <c r="U82" s="59"/>
      <c r="V82" s="55"/>
      <c r="W82" s="59"/>
      <c r="X82" s="55"/>
      <c r="Y82" s="59"/>
      <c r="Z82" s="59"/>
      <c r="AA82" s="59"/>
      <c r="AB82" s="59"/>
      <c r="AC82" s="61"/>
      <c r="AD82" s="59"/>
      <c r="AE82" s="50"/>
      <c r="AF82" s="59"/>
      <c r="AG82" s="59"/>
      <c r="AH82" s="55"/>
      <c r="AI82" s="59"/>
      <c r="AJ82" s="59"/>
      <c r="AK82" s="59"/>
      <c r="AL82" s="59"/>
      <c r="AM82" s="59"/>
      <c r="AN82" s="59"/>
      <c r="AO82" s="59"/>
      <c r="AP82" s="59"/>
      <c r="AQ82" s="89"/>
      <c r="AR82" s="89"/>
      <c r="AS82" s="139"/>
      <c r="AT82" s="139"/>
      <c r="AU82" s="139"/>
      <c r="AV82" s="139"/>
      <c r="AW82" s="139"/>
      <c r="AX82" s="139"/>
      <c r="AY82" s="59"/>
      <c r="AZ82" s="59"/>
      <c r="BA82" s="59"/>
      <c r="BB82" s="59"/>
      <c r="BC82" s="59"/>
      <c r="BD82" s="59"/>
      <c r="BE82" s="59"/>
      <c r="BF82" s="59"/>
      <c r="BG82" s="61"/>
      <c r="BH82" s="114"/>
      <c r="BI82" s="2137"/>
      <c r="BJ82" s="50"/>
      <c r="BK82" s="55"/>
      <c r="BL82" s="3379"/>
      <c r="BM82" s="3379"/>
      <c r="BN82" s="3379"/>
      <c r="BO82" s="3379"/>
      <c r="BP82" s="3379"/>
      <c r="BQ82" s="3379"/>
      <c r="BR82" s="3379"/>
      <c r="BS82" s="3379"/>
      <c r="BT82" s="3379"/>
      <c r="BU82" s="3379"/>
      <c r="BV82" s="3379"/>
      <c r="BW82" s="3379"/>
      <c r="BX82" s="3379"/>
      <c r="BY82" s="3379"/>
      <c r="BZ82" s="3379"/>
      <c r="CA82" s="3379"/>
      <c r="CB82" s="1272"/>
      <c r="CC82" s="61"/>
      <c r="CD82" s="2136"/>
      <c r="CE82" s="43"/>
    </row>
    <row r="83" spans="2:83" ht="5.25" customHeight="1" x14ac:dyDescent="0.25">
      <c r="B83" s="2118"/>
      <c r="C83" s="115"/>
      <c r="D83" s="50"/>
      <c r="E83" s="59"/>
      <c r="F83" s="59"/>
      <c r="G83" s="59"/>
      <c r="H83" s="59"/>
      <c r="I83" s="59"/>
      <c r="J83" s="59"/>
      <c r="K83" s="59"/>
      <c r="L83" s="59"/>
      <c r="M83" s="59"/>
      <c r="N83" s="59"/>
      <c r="O83" s="59"/>
      <c r="P83" s="59"/>
      <c r="Q83" s="59"/>
      <c r="R83" s="59"/>
      <c r="S83" s="59"/>
      <c r="T83" s="59"/>
      <c r="U83" s="59"/>
      <c r="V83" s="55"/>
      <c r="W83" s="59"/>
      <c r="X83" s="55"/>
      <c r="Y83" s="59"/>
      <c r="Z83" s="59"/>
      <c r="AA83" s="59"/>
      <c r="AB83" s="59"/>
      <c r="AC83" s="61"/>
      <c r="AD83" s="59"/>
      <c r="AE83" s="50"/>
      <c r="AF83" s="59"/>
      <c r="AG83" s="59"/>
      <c r="AH83" s="55"/>
      <c r="AI83" s="59"/>
      <c r="AJ83" s="59"/>
      <c r="AK83" s="59"/>
      <c r="AL83" s="59"/>
      <c r="AM83" s="59"/>
      <c r="AN83" s="59"/>
      <c r="AO83" s="59"/>
      <c r="AP83" s="59"/>
      <c r="AQ83" s="89"/>
      <c r="AR83" s="89"/>
      <c r="AS83" s="139"/>
      <c r="AT83" s="139"/>
      <c r="AU83" s="139"/>
      <c r="AV83" s="139"/>
      <c r="AW83" s="139"/>
      <c r="AX83" s="139"/>
      <c r="AY83" s="59"/>
      <c r="AZ83" s="59"/>
      <c r="BA83" s="59"/>
      <c r="BB83" s="59"/>
      <c r="BC83" s="59"/>
      <c r="BD83" s="59"/>
      <c r="BE83" s="59"/>
      <c r="BF83" s="59"/>
      <c r="BG83" s="61"/>
      <c r="BH83" s="114"/>
      <c r="BI83" s="2137"/>
      <c r="BJ83" s="50"/>
      <c r="BK83" s="55"/>
      <c r="CB83" s="59"/>
      <c r="CC83" s="61"/>
      <c r="CD83" s="2136"/>
      <c r="CE83" s="43"/>
    </row>
    <row r="84" spans="2:83" ht="5.25" customHeight="1" thickBot="1" x14ac:dyDescent="0.3">
      <c r="B84" s="2118"/>
      <c r="C84" s="115"/>
      <c r="D84" s="50"/>
      <c r="E84" s="59"/>
      <c r="F84" s="59"/>
      <c r="G84" s="59"/>
      <c r="H84" s="59"/>
      <c r="I84" s="59"/>
      <c r="J84" s="59"/>
      <c r="K84" s="59"/>
      <c r="L84" s="59"/>
      <c r="M84" s="59"/>
      <c r="N84" s="59"/>
      <c r="O84" s="59"/>
      <c r="P84" s="59"/>
      <c r="Q84" s="59"/>
      <c r="R84" s="59"/>
      <c r="S84" s="59"/>
      <c r="T84" s="59"/>
      <c r="U84" s="59"/>
      <c r="V84" s="55"/>
      <c r="W84" s="59"/>
      <c r="X84" s="55"/>
      <c r="Y84" s="59"/>
      <c r="Z84" s="59"/>
      <c r="AA84" s="59"/>
      <c r="AB84" s="59"/>
      <c r="AC84" s="61"/>
      <c r="AD84" s="59"/>
      <c r="AE84" s="50"/>
      <c r="AF84" s="59"/>
      <c r="AG84" s="59"/>
      <c r="AH84" s="55"/>
      <c r="AI84" s="59"/>
      <c r="AJ84" s="59"/>
      <c r="AK84" s="59"/>
      <c r="AL84" s="59"/>
      <c r="AM84" s="59"/>
      <c r="AN84" s="59"/>
      <c r="AO84" s="59"/>
      <c r="AP84" s="59"/>
      <c r="AQ84" s="89"/>
      <c r="AR84" s="89"/>
      <c r="AS84" s="139"/>
      <c r="AT84" s="139"/>
      <c r="AU84" s="139"/>
      <c r="AV84" s="139"/>
      <c r="AW84" s="139"/>
      <c r="AX84" s="139"/>
      <c r="AY84" s="59"/>
      <c r="AZ84" s="59"/>
      <c r="BA84" s="59"/>
      <c r="BB84" s="59"/>
      <c r="BC84" s="59"/>
      <c r="BD84" s="59"/>
      <c r="BE84" s="59"/>
      <c r="BF84" s="59"/>
      <c r="BG84" s="61"/>
      <c r="BH84" s="114"/>
      <c r="BI84" s="2137"/>
      <c r="BJ84" s="50"/>
      <c r="BK84" s="55"/>
      <c r="BL84" s="3379"/>
      <c r="BM84" s="3379"/>
      <c r="BN84" s="3379"/>
      <c r="BO84" s="3379"/>
      <c r="BP84" s="3379"/>
      <c r="BQ84" s="3379"/>
      <c r="BR84" s="3379"/>
      <c r="BS84" s="3379"/>
      <c r="BT84" s="3379"/>
      <c r="BU84" s="3379"/>
      <c r="BV84" s="3379"/>
      <c r="BW84" s="3379"/>
      <c r="BX84" s="3379"/>
      <c r="BY84" s="3379"/>
      <c r="BZ84" s="3379"/>
      <c r="CA84" s="3379"/>
      <c r="CC84" s="61"/>
      <c r="CD84" s="2136"/>
      <c r="CE84" s="43"/>
    </row>
    <row r="85" spans="2:83" ht="16.5" customHeight="1" thickTop="1" thickBot="1" x14ac:dyDescent="0.35">
      <c r="B85" s="2118"/>
      <c r="C85" s="115"/>
      <c r="D85" s="50"/>
      <c r="E85" s="59"/>
      <c r="F85" s="59"/>
      <c r="G85" s="59"/>
      <c r="H85" s="59"/>
      <c r="I85" s="59"/>
      <c r="J85" s="59"/>
      <c r="K85" s="59"/>
      <c r="L85" s="59"/>
      <c r="M85" s="59"/>
      <c r="N85" s="59"/>
      <c r="O85" s="59"/>
      <c r="P85" s="59"/>
      <c r="Q85" s="59"/>
      <c r="R85" s="59"/>
      <c r="S85" s="59"/>
      <c r="T85" s="59"/>
      <c r="U85" s="59"/>
      <c r="V85" s="55"/>
      <c r="W85" s="59"/>
      <c r="X85" s="55"/>
      <c r="Y85" s="59"/>
      <c r="Z85" s="59"/>
      <c r="AA85" s="59"/>
      <c r="AB85" s="59"/>
      <c r="AC85" s="61"/>
      <c r="AD85" s="59"/>
      <c r="AE85" s="50"/>
      <c r="AF85" s="59"/>
      <c r="AG85" s="59"/>
      <c r="AH85" s="55"/>
      <c r="AI85" s="59"/>
      <c r="AJ85" s="59"/>
      <c r="AK85" s="59"/>
      <c r="AL85" s="59"/>
      <c r="AM85" s="59"/>
      <c r="AN85" s="59"/>
      <c r="AO85" s="59"/>
      <c r="AP85" s="59"/>
      <c r="AQ85" s="89"/>
      <c r="AR85" s="89"/>
      <c r="AS85" s="139"/>
      <c r="AT85" s="139"/>
      <c r="AU85" s="139"/>
      <c r="AV85" s="139"/>
      <c r="AW85" s="139"/>
      <c r="AX85" s="139"/>
      <c r="AY85" s="59"/>
      <c r="AZ85" s="59"/>
      <c r="BA85" s="59"/>
      <c r="BB85" s="59"/>
      <c r="BC85" s="59"/>
      <c r="BD85" s="59"/>
      <c r="BE85" s="59"/>
      <c r="BF85" s="59"/>
      <c r="BG85" s="61"/>
      <c r="BH85" s="114"/>
      <c r="BI85" s="2137"/>
      <c r="BJ85" s="50"/>
      <c r="BK85" s="1154"/>
      <c r="BL85" s="3379"/>
      <c r="BM85" s="3379"/>
      <c r="BN85" s="3379"/>
      <c r="BO85" s="3379"/>
      <c r="BP85" s="3379"/>
      <c r="BQ85" s="3379"/>
      <c r="BR85" s="3379"/>
      <c r="BS85" s="3379"/>
      <c r="BT85" s="3379"/>
      <c r="BU85" s="3379"/>
      <c r="BV85" s="3379"/>
      <c r="BW85" s="3379"/>
      <c r="BX85" s="3379"/>
      <c r="BY85" s="3379"/>
      <c r="BZ85" s="3379"/>
      <c r="CA85" s="3379"/>
      <c r="CB85" s="3307"/>
      <c r="CC85" s="3308"/>
      <c r="CD85" s="2136"/>
      <c r="CE85" s="43"/>
    </row>
    <row r="86" spans="2:83" ht="4.5" customHeight="1" thickTop="1" x14ac:dyDescent="0.25">
      <c r="B86" s="2118"/>
      <c r="C86" s="115"/>
      <c r="D86" s="50"/>
      <c r="E86" s="59"/>
      <c r="F86" s="59"/>
      <c r="G86" s="59"/>
      <c r="H86" s="59"/>
      <c r="I86" s="59"/>
      <c r="J86" s="59"/>
      <c r="K86" s="59"/>
      <c r="L86" s="59"/>
      <c r="M86" s="59"/>
      <c r="N86" s="59"/>
      <c r="O86" s="59"/>
      <c r="P86" s="59"/>
      <c r="Q86" s="59"/>
      <c r="R86" s="59"/>
      <c r="S86" s="59"/>
      <c r="T86" s="59"/>
      <c r="U86" s="59"/>
      <c r="V86" s="55"/>
      <c r="W86" s="59"/>
      <c r="X86" s="55"/>
      <c r="Y86" s="59"/>
      <c r="Z86" s="59"/>
      <c r="AA86" s="59"/>
      <c r="AB86" s="59"/>
      <c r="AC86" s="61"/>
      <c r="AD86" s="59"/>
      <c r="AE86" s="50"/>
      <c r="AF86" s="59"/>
      <c r="AG86" s="59"/>
      <c r="AH86" s="55"/>
      <c r="AI86" s="59"/>
      <c r="AJ86" s="59"/>
      <c r="AK86" s="59"/>
      <c r="AL86" s="59"/>
      <c r="AM86" s="59"/>
      <c r="AN86" s="59"/>
      <c r="AO86" s="59"/>
      <c r="AP86" s="59"/>
      <c r="AQ86" s="89"/>
      <c r="AR86" s="89"/>
      <c r="AS86" s="139"/>
      <c r="AT86" s="139"/>
      <c r="AU86" s="139"/>
      <c r="AV86" s="139"/>
      <c r="AW86" s="139"/>
      <c r="AX86" s="139"/>
      <c r="AY86" s="59"/>
      <c r="AZ86" s="59"/>
      <c r="BA86" s="59"/>
      <c r="BB86" s="59"/>
      <c r="BC86" s="59"/>
      <c r="BD86" s="59"/>
      <c r="BE86" s="59"/>
      <c r="BF86" s="59"/>
      <c r="BG86" s="61"/>
      <c r="BH86" s="114"/>
      <c r="BI86" s="2137"/>
      <c r="BJ86" s="50"/>
      <c r="BK86" s="55"/>
      <c r="BL86" s="3379"/>
      <c r="BM86" s="3379"/>
      <c r="BN86" s="3379"/>
      <c r="BO86" s="3379"/>
      <c r="BP86" s="3379"/>
      <c r="BQ86" s="3379"/>
      <c r="BR86" s="3379"/>
      <c r="BS86" s="3379"/>
      <c r="BT86" s="3379"/>
      <c r="BU86" s="3379"/>
      <c r="BV86" s="3379"/>
      <c r="BW86" s="3379"/>
      <c r="BX86" s="3379"/>
      <c r="BY86" s="3379"/>
      <c r="BZ86" s="3379"/>
      <c r="CA86" s="3379"/>
      <c r="CC86" s="61"/>
      <c r="CD86" s="2136"/>
      <c r="CE86" s="43"/>
    </row>
    <row r="87" spans="2:83" ht="5.25" customHeight="1" thickBot="1" x14ac:dyDescent="0.3">
      <c r="B87" s="2118"/>
      <c r="C87" s="115"/>
      <c r="D87" s="50"/>
      <c r="E87" s="59"/>
      <c r="F87" s="59"/>
      <c r="G87" s="59"/>
      <c r="H87" s="59"/>
      <c r="I87" s="59"/>
      <c r="J87" s="59"/>
      <c r="K87" s="59"/>
      <c r="L87" s="59"/>
      <c r="M87" s="59"/>
      <c r="N87" s="59"/>
      <c r="O87" s="59"/>
      <c r="P87" s="59"/>
      <c r="Q87" s="59"/>
      <c r="R87" s="59"/>
      <c r="S87" s="59"/>
      <c r="T87" s="59"/>
      <c r="U87" s="59"/>
      <c r="V87" s="55"/>
      <c r="W87" s="59"/>
      <c r="X87" s="55"/>
      <c r="Y87" s="59"/>
      <c r="Z87" s="59"/>
      <c r="AA87" s="59"/>
      <c r="AB87" s="59"/>
      <c r="AC87" s="61"/>
      <c r="AD87" s="59"/>
      <c r="AE87" s="50"/>
      <c r="AF87" s="59"/>
      <c r="AG87" s="59"/>
      <c r="AH87" s="55"/>
      <c r="AI87" s="59"/>
      <c r="AJ87" s="59"/>
      <c r="AK87" s="59"/>
      <c r="AL87" s="59"/>
      <c r="AM87" s="59"/>
      <c r="AN87" s="59"/>
      <c r="AO87" s="59"/>
      <c r="AP87" s="59"/>
      <c r="AQ87" s="89"/>
      <c r="AR87" s="89"/>
      <c r="AS87" s="139"/>
      <c r="AT87" s="139"/>
      <c r="AU87" s="139"/>
      <c r="AV87" s="139"/>
      <c r="AW87" s="139"/>
      <c r="AX87" s="139"/>
      <c r="AY87" s="59"/>
      <c r="AZ87" s="59"/>
      <c r="BA87" s="59"/>
      <c r="BB87" s="59"/>
      <c r="BC87" s="59"/>
      <c r="BD87" s="59"/>
      <c r="BE87" s="59"/>
      <c r="BF87" s="59"/>
      <c r="BG87" s="61"/>
      <c r="BH87" s="114"/>
      <c r="BI87" s="2137"/>
      <c r="BJ87" s="50"/>
      <c r="BK87" s="55"/>
      <c r="BL87" s="3379"/>
      <c r="BM87" s="3379"/>
      <c r="BN87" s="3379"/>
      <c r="BO87" s="3379"/>
      <c r="BP87" s="3379"/>
      <c r="BQ87" s="3379"/>
      <c r="BR87" s="3379"/>
      <c r="BS87" s="3379"/>
      <c r="BT87" s="3379"/>
      <c r="BU87" s="3379"/>
      <c r="BV87" s="3379"/>
      <c r="BW87" s="3379"/>
      <c r="BX87" s="3379"/>
      <c r="BY87" s="3379"/>
      <c r="BZ87" s="3379"/>
      <c r="CA87" s="3379"/>
      <c r="CB87" s="59"/>
      <c r="CC87" s="61"/>
      <c r="CD87" s="2136"/>
      <c r="CE87" s="43"/>
    </row>
    <row r="88" spans="2:83" ht="18" customHeight="1" thickTop="1" thickBot="1" x14ac:dyDescent="0.35">
      <c r="B88" s="2118"/>
      <c r="C88" s="115"/>
      <c r="D88" s="50"/>
      <c r="E88" s="59"/>
      <c r="F88" s="59"/>
      <c r="G88" s="59"/>
      <c r="H88" s="59"/>
      <c r="I88" s="59"/>
      <c r="J88" s="59"/>
      <c r="K88" s="59"/>
      <c r="L88" s="59"/>
      <c r="M88" s="59"/>
      <c r="N88" s="59"/>
      <c r="O88" s="59"/>
      <c r="P88" s="59"/>
      <c r="Q88" s="59"/>
      <c r="R88" s="59"/>
      <c r="S88" s="59"/>
      <c r="T88" s="59"/>
      <c r="U88" s="59"/>
      <c r="V88" s="55"/>
      <c r="W88" s="59"/>
      <c r="X88" s="55"/>
      <c r="Y88" s="59"/>
      <c r="Z88" s="59"/>
      <c r="AA88" s="59"/>
      <c r="AB88" s="59"/>
      <c r="AC88" s="61"/>
      <c r="AD88" s="59"/>
      <c r="AE88" s="50"/>
      <c r="AF88" s="59"/>
      <c r="AG88" s="59"/>
      <c r="AH88" s="55"/>
      <c r="AI88" s="59"/>
      <c r="AJ88" s="59"/>
      <c r="AK88" s="59"/>
      <c r="AL88" s="59"/>
      <c r="AM88" s="59"/>
      <c r="AN88" s="59"/>
      <c r="AO88" s="59"/>
      <c r="AP88" s="59"/>
      <c r="AQ88" s="89"/>
      <c r="AR88" s="89"/>
      <c r="AS88" s="139"/>
      <c r="AT88" s="139"/>
      <c r="AU88" s="139"/>
      <c r="AV88" s="139"/>
      <c r="AW88" s="139"/>
      <c r="AX88" s="139"/>
      <c r="AY88" s="59"/>
      <c r="AZ88" s="59"/>
      <c r="BA88" s="59"/>
      <c r="BB88" s="59"/>
      <c r="BC88" s="59"/>
      <c r="BD88" s="59"/>
      <c r="BE88" s="59"/>
      <c r="BF88" s="59"/>
      <c r="BG88" s="61"/>
      <c r="BH88" s="114"/>
      <c r="BI88" s="2137"/>
      <c r="BJ88" s="50"/>
      <c r="BK88" s="437"/>
      <c r="BL88" s="3379"/>
      <c r="BM88" s="3379"/>
      <c r="BN88" s="3379"/>
      <c r="BO88" s="3379"/>
      <c r="BP88" s="3379"/>
      <c r="BQ88" s="3379"/>
      <c r="BR88" s="3379"/>
      <c r="BS88" s="3379"/>
      <c r="BT88" s="3379"/>
      <c r="BU88" s="3379"/>
      <c r="BV88" s="3379"/>
      <c r="BW88" s="3379"/>
      <c r="BX88" s="3379"/>
      <c r="BY88" s="3379"/>
      <c r="BZ88" s="3379"/>
      <c r="CA88" s="3379"/>
      <c r="CB88" s="3307"/>
      <c r="CC88" s="3308"/>
      <c r="CD88" s="2136"/>
      <c r="CE88" s="43"/>
    </row>
    <row r="89" spans="2:83" ht="8.25" customHeight="1" thickTop="1" x14ac:dyDescent="0.25">
      <c r="B89" s="2118"/>
      <c r="C89" s="115"/>
      <c r="D89" s="91"/>
      <c r="E89" s="92"/>
      <c r="F89" s="92"/>
      <c r="G89" s="92"/>
      <c r="H89" s="92"/>
      <c r="I89" s="92"/>
      <c r="J89" s="92"/>
      <c r="K89" s="92"/>
      <c r="L89" s="92"/>
      <c r="M89" s="92"/>
      <c r="N89" s="92"/>
      <c r="O89" s="92"/>
      <c r="P89" s="92"/>
      <c r="Q89" s="92"/>
      <c r="R89" s="92"/>
      <c r="S89" s="92"/>
      <c r="T89" s="92"/>
      <c r="U89" s="92"/>
      <c r="V89" s="162"/>
      <c r="W89" s="92"/>
      <c r="X89" s="162"/>
      <c r="Y89" s="92"/>
      <c r="Z89" s="92"/>
      <c r="AA89" s="92"/>
      <c r="AB89" s="92"/>
      <c r="AC89" s="93"/>
      <c r="AD89" s="59"/>
      <c r="AE89" s="91"/>
      <c r="AF89" s="92"/>
      <c r="AG89" s="92"/>
      <c r="AH89" s="162"/>
      <c r="AI89" s="92"/>
      <c r="AJ89" s="92"/>
      <c r="AK89" s="92"/>
      <c r="AL89" s="92"/>
      <c r="AM89" s="92"/>
      <c r="AN89" s="92"/>
      <c r="AO89" s="92"/>
      <c r="AP89" s="92"/>
      <c r="AQ89" s="164"/>
      <c r="AR89" s="164"/>
      <c r="AS89" s="165"/>
      <c r="AT89" s="165"/>
      <c r="AU89" s="165"/>
      <c r="AV89" s="165"/>
      <c r="AW89" s="165"/>
      <c r="AX89" s="165"/>
      <c r="AY89" s="92"/>
      <c r="AZ89" s="92"/>
      <c r="BA89" s="92"/>
      <c r="BB89" s="92"/>
      <c r="BC89" s="92"/>
      <c r="BD89" s="92"/>
      <c r="BE89" s="92"/>
      <c r="BF89" s="92"/>
      <c r="BG89" s="93"/>
      <c r="BH89" s="114"/>
      <c r="BI89" s="2137"/>
      <c r="BJ89" s="50"/>
      <c r="BK89" s="55"/>
      <c r="BL89" s="1273"/>
      <c r="BM89" s="1273"/>
      <c r="BN89" s="1273"/>
      <c r="BO89" s="1273"/>
      <c r="BP89" s="1273"/>
      <c r="BQ89" s="1273"/>
      <c r="BR89" s="1273"/>
      <c r="BS89" s="1273"/>
      <c r="BT89" s="1273"/>
      <c r="BU89" s="1273"/>
      <c r="BV89" s="1273"/>
      <c r="BW89" s="1273"/>
      <c r="BX89" s="1273"/>
      <c r="BY89" s="1273"/>
      <c r="BZ89" s="1273"/>
      <c r="CA89" s="1273"/>
      <c r="CC89" s="61"/>
      <c r="CD89" s="2136"/>
      <c r="CE89" s="43"/>
    </row>
    <row r="90" spans="2:83" ht="12" customHeight="1" x14ac:dyDescent="0.25">
      <c r="B90" s="2118"/>
      <c r="C90" s="118"/>
      <c r="D90" s="116"/>
      <c r="E90" s="116"/>
      <c r="F90" s="116"/>
      <c r="G90" s="116"/>
      <c r="H90" s="116"/>
      <c r="I90" s="116"/>
      <c r="J90" s="116"/>
      <c r="K90" s="116"/>
      <c r="L90" s="116"/>
      <c r="M90" s="116"/>
      <c r="N90" s="116"/>
      <c r="O90" s="116"/>
      <c r="P90" s="116"/>
      <c r="Q90" s="116"/>
      <c r="R90" s="116"/>
      <c r="S90" s="116"/>
      <c r="T90" s="116"/>
      <c r="U90" s="116"/>
      <c r="V90" s="176"/>
      <c r="W90" s="116"/>
      <c r="X90" s="176"/>
      <c r="Y90" s="116"/>
      <c r="Z90" s="116"/>
      <c r="AA90" s="116"/>
      <c r="AB90" s="116"/>
      <c r="AC90" s="116"/>
      <c r="AD90" s="116"/>
      <c r="AE90" s="116"/>
      <c r="AF90" s="116"/>
      <c r="AG90" s="116"/>
      <c r="AH90" s="176"/>
      <c r="AI90" s="116"/>
      <c r="AJ90" s="116"/>
      <c r="AK90" s="116"/>
      <c r="AL90" s="116"/>
      <c r="AM90" s="116"/>
      <c r="AN90" s="116"/>
      <c r="AO90" s="116"/>
      <c r="AP90" s="116"/>
      <c r="AQ90" s="177"/>
      <c r="AR90" s="177" t="s">
        <v>124</v>
      </c>
      <c r="AS90" s="178"/>
      <c r="AT90" s="178"/>
      <c r="AU90" s="178"/>
      <c r="AV90" s="178"/>
      <c r="AW90" s="178"/>
      <c r="AX90" s="178"/>
      <c r="AY90" s="116"/>
      <c r="AZ90" s="116"/>
      <c r="BA90" s="116"/>
      <c r="BB90" s="116"/>
      <c r="BC90" s="116"/>
      <c r="BD90" s="116"/>
      <c r="BE90" s="116"/>
      <c r="BF90" s="116"/>
      <c r="BG90" s="116"/>
      <c r="BH90" s="117"/>
      <c r="BI90" s="2137"/>
      <c r="BJ90" s="91"/>
      <c r="BK90" s="92"/>
      <c r="BL90" s="162"/>
      <c r="BM90" s="92"/>
      <c r="BN90" s="162"/>
      <c r="BO90" s="92"/>
      <c r="BP90" s="92"/>
      <c r="BQ90" s="92"/>
      <c r="BR90" s="92"/>
      <c r="BS90" s="92"/>
      <c r="BT90" s="92"/>
      <c r="BU90" s="92"/>
      <c r="BV90" s="92"/>
      <c r="BW90" s="92"/>
      <c r="BX90" s="164"/>
      <c r="BY90" s="92"/>
      <c r="BZ90" s="92"/>
      <c r="CA90" s="92"/>
      <c r="CB90" s="92"/>
      <c r="CC90" s="93"/>
      <c r="CD90" s="2136"/>
      <c r="CE90" s="43"/>
    </row>
    <row r="91" spans="2:83" ht="13.5" customHeight="1" x14ac:dyDescent="0.25">
      <c r="B91" s="2120"/>
      <c r="C91" s="2127"/>
      <c r="D91" s="2127"/>
      <c r="E91" s="2127"/>
      <c r="F91" s="2127"/>
      <c r="G91" s="2127"/>
      <c r="H91" s="2127"/>
      <c r="I91" s="2127"/>
      <c r="J91" s="2127"/>
      <c r="K91" s="2127"/>
      <c r="L91" s="2127"/>
      <c r="M91" s="2127"/>
      <c r="N91" s="2127"/>
      <c r="O91" s="2127"/>
      <c r="P91" s="2127"/>
      <c r="Q91" s="2127"/>
      <c r="R91" s="2127"/>
      <c r="S91" s="2127"/>
      <c r="T91" s="2127"/>
      <c r="U91" s="2127"/>
      <c r="V91" s="2127"/>
      <c r="W91" s="2127"/>
      <c r="X91" s="2127"/>
      <c r="Y91" s="2127"/>
      <c r="Z91" s="2127"/>
      <c r="AA91" s="2127"/>
      <c r="AB91" s="2127"/>
      <c r="AC91" s="2127"/>
      <c r="AD91" s="2127"/>
      <c r="AE91" s="2127"/>
      <c r="AF91" s="2127"/>
      <c r="AG91" s="2127"/>
      <c r="AH91" s="2127"/>
      <c r="AI91" s="2127"/>
      <c r="AJ91" s="2127"/>
      <c r="AK91" s="2127"/>
      <c r="AL91" s="2127"/>
      <c r="AM91" s="2127"/>
      <c r="AN91" s="2127"/>
      <c r="AO91" s="2127"/>
      <c r="AP91" s="2127"/>
      <c r="AQ91" s="2127"/>
      <c r="AR91" s="2127"/>
      <c r="AS91" s="2127"/>
      <c r="AT91" s="2127"/>
      <c r="AU91" s="2127"/>
      <c r="AV91" s="2127"/>
      <c r="AW91" s="2127"/>
      <c r="AX91" s="2127"/>
      <c r="AY91" s="2127"/>
      <c r="AZ91" s="2127"/>
      <c r="BA91" s="2127"/>
      <c r="BB91" s="2127"/>
      <c r="BC91" s="2127"/>
      <c r="BD91" s="2127"/>
      <c r="BE91" s="2127"/>
      <c r="BF91" s="2127"/>
      <c r="BG91" s="2127"/>
      <c r="BH91" s="2127"/>
      <c r="BI91" s="2127"/>
      <c r="BJ91" s="2127"/>
      <c r="BK91" s="2127"/>
      <c r="BL91" s="2127"/>
      <c r="BM91" s="2127"/>
      <c r="BN91" s="2127"/>
      <c r="BO91" s="2127"/>
      <c r="BP91" s="2127"/>
      <c r="BQ91" s="2127"/>
      <c r="BR91" s="2127"/>
      <c r="BS91" s="2127"/>
      <c r="BT91" s="2127"/>
      <c r="BU91" s="2127"/>
      <c r="BV91" s="2127"/>
      <c r="BW91" s="2127"/>
      <c r="BX91" s="2127"/>
      <c r="BY91" s="2127"/>
      <c r="BZ91" s="2127"/>
      <c r="CA91" s="2127"/>
      <c r="CB91" s="2127"/>
      <c r="CC91" s="2127"/>
      <c r="CD91" s="2131"/>
      <c r="CE91" s="43"/>
    </row>
    <row r="92" spans="2:83" ht="9.75" customHeight="1" x14ac:dyDescent="0.25">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c r="CA92" s="59"/>
      <c r="CB92" s="59"/>
      <c r="CC92" s="59"/>
      <c r="CD92" s="59"/>
      <c r="CE92" s="59"/>
    </row>
    <row r="93" spans="2:83" ht="22.5" customHeight="1" x14ac:dyDescent="0.25">
      <c r="B93" s="2112"/>
      <c r="C93" s="2113" t="s">
        <v>1840</v>
      </c>
      <c r="D93" s="2114"/>
      <c r="E93" s="2114"/>
      <c r="F93" s="2114"/>
      <c r="G93" s="2114"/>
      <c r="H93" s="2114"/>
      <c r="I93" s="2114"/>
      <c r="J93" s="2114"/>
      <c r="K93" s="2114"/>
      <c r="L93" s="2114"/>
      <c r="M93" s="2114"/>
      <c r="N93" s="2114"/>
      <c r="O93" s="2114"/>
      <c r="P93" s="2114"/>
      <c r="Q93" s="2114"/>
      <c r="R93" s="2114"/>
      <c r="S93" s="2114"/>
      <c r="T93" s="2114"/>
      <c r="U93" s="2114"/>
      <c r="V93" s="2114"/>
      <c r="W93" s="2114"/>
      <c r="X93" s="2114"/>
      <c r="Y93" s="2114"/>
      <c r="Z93" s="2114"/>
      <c r="AA93" s="2114"/>
      <c r="AB93" s="2114"/>
      <c r="AC93" s="2114"/>
      <c r="AD93" s="2114"/>
      <c r="AE93" s="2114"/>
      <c r="AF93" s="2114"/>
      <c r="AG93" s="2114"/>
      <c r="AH93" s="2114"/>
      <c r="AI93" s="2114"/>
      <c r="AJ93" s="2114"/>
      <c r="AK93" s="2114"/>
      <c r="AL93" s="2114"/>
      <c r="AM93" s="2114"/>
      <c r="AN93" s="2114"/>
      <c r="AO93" s="2114"/>
      <c r="AP93" s="2114"/>
      <c r="AQ93" s="2115"/>
      <c r="AR93" s="2115"/>
      <c r="AS93" s="2114"/>
      <c r="AT93" s="2114"/>
      <c r="AU93" s="2114"/>
      <c r="AV93" s="2114"/>
      <c r="AW93" s="2114"/>
      <c r="AX93" s="2114"/>
      <c r="AY93" s="2114"/>
      <c r="AZ93" s="2114"/>
      <c r="BA93" s="2114"/>
      <c r="BB93" s="2114"/>
      <c r="BC93" s="2114"/>
      <c r="BD93" s="2114"/>
      <c r="BE93" s="2114"/>
      <c r="BF93" s="2114"/>
      <c r="BG93" s="2114"/>
      <c r="BH93" s="2114"/>
      <c r="BI93" s="2114"/>
      <c r="BJ93" s="2114"/>
      <c r="BK93" s="2114"/>
      <c r="BL93" s="2114"/>
      <c r="BM93" s="2114"/>
      <c r="BN93" s="2114"/>
      <c r="BO93" s="2114"/>
      <c r="BP93" s="2114"/>
      <c r="BQ93" s="2114"/>
      <c r="BR93" s="2114"/>
      <c r="BS93" s="2114"/>
      <c r="BT93" s="2114"/>
      <c r="BU93" s="2114"/>
      <c r="BV93" s="2114"/>
      <c r="BW93" s="2114"/>
      <c r="BX93" s="2112"/>
      <c r="BY93" s="2112"/>
      <c r="BZ93" s="2116"/>
      <c r="CA93" s="2112"/>
      <c r="CB93" s="3449"/>
      <c r="CC93" s="3449"/>
      <c r="CD93" s="2114"/>
    </row>
    <row r="94" spans="2:83" ht="6.75" customHeight="1" x14ac:dyDescent="0.25"/>
    <row r="95" spans="2:83" ht="14.25" customHeight="1" x14ac:dyDescent="0.25">
      <c r="B95" s="2117"/>
      <c r="C95" s="2121"/>
      <c r="D95" s="2121"/>
      <c r="E95" s="2121"/>
      <c r="F95" s="2121"/>
      <c r="G95" s="2121"/>
      <c r="H95" s="2121"/>
      <c r="I95" s="2121"/>
      <c r="J95" s="2121"/>
      <c r="K95" s="2121"/>
      <c r="L95" s="2121"/>
      <c r="M95" s="2121"/>
      <c r="N95" s="2121"/>
      <c r="O95" s="2121"/>
      <c r="P95" s="2121"/>
      <c r="Q95" s="2121"/>
      <c r="R95" s="2121"/>
      <c r="S95" s="2121"/>
      <c r="T95" s="2121"/>
      <c r="U95" s="2121"/>
      <c r="V95" s="2121"/>
      <c r="W95" s="2121"/>
      <c r="X95" s="2121"/>
      <c r="Y95" s="2121"/>
      <c r="Z95" s="2121"/>
      <c r="AA95" s="2121"/>
      <c r="AB95" s="2121"/>
      <c r="AC95" s="2121"/>
      <c r="AD95" s="2121"/>
      <c r="AE95" s="2121"/>
      <c r="AF95" s="2121"/>
      <c r="AG95" s="2121"/>
      <c r="AH95" s="2121"/>
      <c r="AI95" s="2121"/>
      <c r="AJ95" s="2121"/>
      <c r="AK95" s="2121"/>
      <c r="AL95" s="2121"/>
      <c r="AM95" s="2121"/>
      <c r="AN95" s="2121"/>
      <c r="AO95" s="2121"/>
      <c r="AP95" s="2121"/>
      <c r="AQ95" s="2121"/>
      <c r="AR95" s="2121"/>
      <c r="AS95" s="2121"/>
      <c r="AT95" s="2121"/>
      <c r="AU95" s="2121"/>
      <c r="AV95" s="2121"/>
      <c r="AW95" s="2121"/>
      <c r="AX95" s="2121"/>
      <c r="AY95" s="2121"/>
      <c r="AZ95" s="2121"/>
      <c r="BA95" s="2121"/>
      <c r="BB95" s="2121"/>
      <c r="BC95" s="2121"/>
      <c r="BD95" s="2121"/>
      <c r="BE95" s="2121"/>
      <c r="BF95" s="2121"/>
      <c r="BG95" s="2121"/>
      <c r="BH95" s="2121"/>
      <c r="BI95" s="2121"/>
      <c r="BJ95" s="2121"/>
      <c r="BK95" s="2121"/>
      <c r="BL95" s="2121"/>
      <c r="BM95" s="2121"/>
      <c r="BN95" s="2121"/>
      <c r="BO95" s="2121"/>
      <c r="BP95" s="2121"/>
      <c r="BQ95" s="2121"/>
      <c r="BR95" s="2121"/>
      <c r="BS95" s="2121"/>
      <c r="BT95" s="2121"/>
      <c r="BU95" s="2121"/>
      <c r="BV95" s="2121"/>
      <c r="BW95" s="2121"/>
      <c r="BX95" s="2121"/>
      <c r="BY95" s="2121"/>
      <c r="BZ95" s="2121"/>
      <c r="CA95" s="2121"/>
      <c r="CB95" s="2121"/>
      <c r="CC95" s="2121"/>
      <c r="CD95" s="2128"/>
      <c r="CE95" s="43"/>
    </row>
    <row r="96" spans="2:83" ht="9.75" customHeight="1" x14ac:dyDescent="0.25">
      <c r="B96" s="2118"/>
      <c r="C96" s="45"/>
      <c r="D96" s="46"/>
      <c r="E96" s="46"/>
      <c r="F96" s="46"/>
      <c r="G96" s="46"/>
      <c r="H96" s="46"/>
      <c r="I96" s="46"/>
      <c r="J96" s="46"/>
      <c r="K96" s="46"/>
      <c r="L96" s="46"/>
      <c r="M96" s="46"/>
      <c r="N96" s="46"/>
      <c r="O96" s="46"/>
      <c r="P96" s="46"/>
      <c r="Q96" s="46"/>
      <c r="R96" s="46"/>
      <c r="S96" s="46"/>
      <c r="T96" s="46"/>
      <c r="U96" s="46"/>
      <c r="V96" s="46"/>
      <c r="W96" s="47"/>
      <c r="X96" s="2137"/>
      <c r="Y96" s="45"/>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7"/>
      <c r="AX96" s="2139"/>
      <c r="AY96" s="113"/>
      <c r="AZ96" s="111"/>
      <c r="BA96" s="111"/>
      <c r="BB96" s="111"/>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7"/>
      <c r="CD96" s="2136"/>
      <c r="CE96" s="43"/>
    </row>
    <row r="97" spans="2:83" ht="18" customHeight="1" x14ac:dyDescent="0.25">
      <c r="B97" s="2118"/>
      <c r="C97" s="453" t="s">
        <v>1902</v>
      </c>
      <c r="D97" s="209"/>
      <c r="E97" s="59"/>
      <c r="F97" s="59"/>
      <c r="G97" s="59"/>
      <c r="H97" s="59"/>
      <c r="I97" s="59"/>
      <c r="J97" s="59"/>
      <c r="K97" s="59"/>
      <c r="L97" s="59"/>
      <c r="M97" s="59"/>
      <c r="N97" s="59"/>
      <c r="O97" s="59"/>
      <c r="P97" s="59"/>
      <c r="Q97" s="59"/>
      <c r="R97" s="59"/>
      <c r="S97" s="59"/>
      <c r="T97" s="59"/>
      <c r="U97" s="3362">
        <f>'CALCULS Eaux pluviales'!O322</f>
        <v>0</v>
      </c>
      <c r="V97" s="3362"/>
      <c r="W97" s="61"/>
      <c r="X97" s="2137"/>
      <c r="Y97" s="50"/>
      <c r="Z97" s="540" t="s">
        <v>1903</v>
      </c>
      <c r="AA97" s="59"/>
      <c r="AC97" s="59"/>
      <c r="AD97" s="59"/>
      <c r="AE97" s="59"/>
      <c r="AF97" s="59"/>
      <c r="AG97" s="59"/>
      <c r="AH97" s="59"/>
      <c r="AI97" s="59"/>
      <c r="AJ97" s="59"/>
      <c r="AK97" s="59"/>
      <c r="AL97" s="59"/>
      <c r="AM97" s="59"/>
      <c r="AN97" s="59"/>
      <c r="AO97" s="59"/>
      <c r="AP97" s="59"/>
      <c r="AQ97" s="59"/>
      <c r="AR97" s="59"/>
      <c r="AS97" s="59"/>
      <c r="AT97" s="59"/>
      <c r="AU97" s="3330">
        <f>'CALCULS Eaux pluviales'!O346</f>
        <v>0</v>
      </c>
      <c r="AV97" s="3330"/>
      <c r="AW97" s="61"/>
      <c r="AX97" s="2139"/>
      <c r="AY97" s="115"/>
      <c r="AZ97" s="540" t="s">
        <v>1904</v>
      </c>
      <c r="BA97" s="59"/>
      <c r="BC97" s="59"/>
      <c r="BE97" s="59"/>
      <c r="BG97" s="59"/>
      <c r="BH97" s="59"/>
      <c r="BI97" s="59"/>
      <c r="BJ97" s="59"/>
      <c r="BK97" s="59"/>
      <c r="BL97" s="59"/>
      <c r="BM97" s="59"/>
      <c r="BN97" s="59"/>
      <c r="BO97" s="59"/>
      <c r="BP97" s="59"/>
      <c r="BQ97" s="59"/>
      <c r="BR97" s="59"/>
      <c r="BS97" s="59"/>
      <c r="BT97" s="59"/>
      <c r="BU97" s="59"/>
      <c r="BV97" s="59"/>
      <c r="BW97" s="59"/>
      <c r="BX97" s="59"/>
      <c r="BY97" s="59"/>
      <c r="BZ97" s="59"/>
      <c r="CA97" s="59"/>
      <c r="CB97" s="3330">
        <f>'CALCULS Eaux pluviales'!O370</f>
        <v>0</v>
      </c>
      <c r="CC97" s="3331"/>
      <c r="CD97" s="2136"/>
      <c r="CE97" s="43"/>
    </row>
    <row r="98" spans="2:83" ht="3.75" customHeight="1" x14ac:dyDescent="0.25">
      <c r="B98" s="2118"/>
      <c r="C98" s="180"/>
      <c r="E98" s="59"/>
      <c r="F98" s="59"/>
      <c r="G98" s="59"/>
      <c r="H98" s="59"/>
      <c r="I98" s="59"/>
      <c r="J98" s="59"/>
      <c r="K98" s="59"/>
      <c r="L98" s="59"/>
      <c r="M98" s="59"/>
      <c r="N98" s="59"/>
      <c r="O98" s="59"/>
      <c r="P98" s="59"/>
      <c r="Q98" s="59"/>
      <c r="R98" s="59"/>
      <c r="S98" s="59"/>
      <c r="T98" s="59"/>
      <c r="U98" s="59"/>
      <c r="V98" s="59"/>
      <c r="W98" s="61"/>
      <c r="X98" s="2137"/>
      <c r="Y98" s="50"/>
      <c r="Z98" s="125"/>
      <c r="AA98" s="59"/>
      <c r="AC98" s="59"/>
      <c r="AD98" s="59"/>
      <c r="AE98" s="59"/>
      <c r="AF98" s="59"/>
      <c r="AG98" s="59"/>
      <c r="AH98" s="59"/>
      <c r="AI98" s="59"/>
      <c r="AJ98" s="59"/>
      <c r="AK98" s="59"/>
      <c r="AL98" s="59"/>
      <c r="AM98" s="59"/>
      <c r="AN98" s="59"/>
      <c r="AO98" s="59"/>
      <c r="AP98" s="59"/>
      <c r="AQ98" s="59"/>
      <c r="AR98" s="59"/>
      <c r="AS98" s="59"/>
      <c r="AT98" s="59"/>
      <c r="AU98" s="59"/>
      <c r="AV98" s="59"/>
      <c r="AW98" s="61"/>
      <c r="AX98" s="2139"/>
      <c r="AY98" s="115"/>
      <c r="AZ98" s="125"/>
      <c r="BA98" s="59"/>
      <c r="BC98" s="59"/>
      <c r="BE98" s="59"/>
      <c r="BG98" s="59"/>
      <c r="BH98" s="59"/>
      <c r="BI98" s="59"/>
      <c r="BJ98" s="59"/>
      <c r="BK98" s="59"/>
      <c r="BL98" s="59"/>
      <c r="BM98" s="59"/>
      <c r="BN98" s="59"/>
      <c r="BO98" s="59"/>
      <c r="BP98" s="59"/>
      <c r="BQ98" s="59"/>
      <c r="BR98" s="59"/>
      <c r="BS98" s="59"/>
      <c r="BT98" s="59"/>
      <c r="BU98" s="59"/>
      <c r="BV98" s="59"/>
      <c r="BW98" s="59"/>
      <c r="BX98" s="59"/>
      <c r="BY98" s="59"/>
      <c r="BZ98" s="59"/>
      <c r="CA98" s="59"/>
      <c r="CB98" s="59"/>
      <c r="CC98" s="61"/>
      <c r="CD98" s="2136"/>
      <c r="CE98" s="43"/>
    </row>
    <row r="99" spans="2:83" ht="166.5" customHeight="1" x14ac:dyDescent="0.25">
      <c r="B99" s="2118"/>
      <c r="C99" s="50"/>
      <c r="D99" s="59"/>
      <c r="E99" s="59"/>
      <c r="F99" s="59"/>
      <c r="G99" s="59"/>
      <c r="H99" s="59"/>
      <c r="I99" s="59"/>
      <c r="J99" s="59"/>
      <c r="K99" s="59"/>
      <c r="L99" s="59"/>
      <c r="M99" s="59"/>
      <c r="N99" s="59"/>
      <c r="O99" s="59"/>
      <c r="P99" s="59"/>
      <c r="Q99" s="59"/>
      <c r="R99" s="59"/>
      <c r="S99" s="59"/>
      <c r="T99" s="59"/>
      <c r="U99" s="59"/>
      <c r="V99" s="59"/>
      <c r="W99" s="61"/>
      <c r="X99" s="2137"/>
      <c r="Y99" s="50"/>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61"/>
      <c r="AX99" s="2139"/>
      <c r="AY99" s="115"/>
      <c r="AZ99" s="59"/>
      <c r="BA99" s="59"/>
      <c r="BB99" s="59"/>
      <c r="BC99" s="59"/>
      <c r="BD99" s="59"/>
      <c r="BE99" s="59"/>
      <c r="BF99" s="59"/>
      <c r="BG99" s="59"/>
      <c r="BH99" s="59"/>
      <c r="BI99" s="59"/>
      <c r="BJ99" s="59"/>
      <c r="BK99" s="59"/>
      <c r="BL99" s="59"/>
      <c r="BM99" s="59"/>
      <c r="BN99" s="59"/>
      <c r="BO99" s="59"/>
      <c r="BP99" s="59"/>
      <c r="BQ99" s="59"/>
      <c r="BR99" s="59"/>
      <c r="BS99" s="59"/>
      <c r="BT99" s="59"/>
      <c r="BU99" s="59"/>
      <c r="BV99" s="59"/>
      <c r="BW99" s="59"/>
      <c r="BX99" s="59"/>
      <c r="BY99" s="59"/>
      <c r="BZ99" s="59"/>
      <c r="CA99" s="59"/>
      <c r="CB99" s="59"/>
      <c r="CC99" s="61"/>
      <c r="CD99" s="2136"/>
      <c r="CE99" s="43"/>
    </row>
    <row r="100" spans="2:83" ht="6" customHeight="1" x14ac:dyDescent="0.25">
      <c r="B100" s="2118"/>
      <c r="C100" s="50"/>
      <c r="D100" s="59"/>
      <c r="E100" s="59"/>
      <c r="F100" s="59"/>
      <c r="G100" s="59"/>
      <c r="H100" s="59"/>
      <c r="I100" s="59"/>
      <c r="J100" s="59"/>
      <c r="K100" s="59"/>
      <c r="L100" s="59"/>
      <c r="M100" s="59"/>
      <c r="N100" s="59"/>
      <c r="O100" s="59"/>
      <c r="P100" s="59"/>
      <c r="Q100" s="59"/>
      <c r="R100" s="59"/>
      <c r="S100" s="59"/>
      <c r="T100" s="59"/>
      <c r="U100" s="59"/>
      <c r="V100" s="59"/>
      <c r="W100" s="61"/>
      <c r="X100" s="2137"/>
      <c r="Y100" s="50"/>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61"/>
      <c r="AX100" s="2137"/>
      <c r="AY100" s="181"/>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c r="CA100" s="59"/>
      <c r="CB100" s="59"/>
      <c r="CC100" s="61"/>
      <c r="CD100" s="2136"/>
      <c r="CE100" s="43"/>
    </row>
    <row r="101" spans="2:83" ht="21.75" customHeight="1" x14ac:dyDescent="0.3">
      <c r="B101" s="2118"/>
      <c r="C101" s="64"/>
      <c r="E101" s="444"/>
      <c r="F101" s="90"/>
      <c r="G101" s="59"/>
      <c r="I101" s="59"/>
      <c r="J101" s="59"/>
      <c r="K101" s="59"/>
      <c r="O101" s="75"/>
      <c r="P101" s="1176" t="s">
        <v>45</v>
      </c>
      <c r="R101" s="3320" t="str">
        <f>'CALCULS Eaux pluviales'!N317</f>
        <v/>
      </c>
      <c r="S101" s="3320"/>
      <c r="T101" s="3320"/>
      <c r="U101" s="1275">
        <f>'CALCULS Eaux pluviales'!O322</f>
        <v>0</v>
      </c>
      <c r="W101" s="1201"/>
      <c r="X101" s="2137"/>
      <c r="Y101" s="50"/>
      <c r="AA101" s="59"/>
      <c r="AB101" s="59"/>
      <c r="AC101" s="59"/>
      <c r="AD101" s="59"/>
      <c r="AE101" s="59"/>
      <c r="AF101" s="59"/>
      <c r="AG101" s="59"/>
      <c r="AH101" s="59"/>
      <c r="AI101" s="59"/>
      <c r="AJ101" s="59"/>
      <c r="AK101" s="59"/>
      <c r="AL101" s="59"/>
      <c r="AM101" s="59"/>
      <c r="AN101" s="59"/>
      <c r="AO101" s="59"/>
      <c r="AP101" s="59"/>
      <c r="AS101" s="1177" t="s">
        <v>54</v>
      </c>
      <c r="AT101" s="1200" t="str">
        <f>'CALCULS Eaux pluviales'!N341</f>
        <v/>
      </c>
      <c r="AU101" s="603">
        <f>'CALCULS Eaux pluviales'!O346</f>
        <v>0</v>
      </c>
      <c r="AV101" s="1199"/>
      <c r="AW101" s="61"/>
      <c r="AX101" s="2137"/>
      <c r="AY101" s="181"/>
      <c r="BA101" s="59"/>
      <c r="BB101" s="59"/>
      <c r="BC101" s="59"/>
      <c r="BD101" s="59"/>
      <c r="BE101" s="59"/>
      <c r="BF101" s="59"/>
      <c r="BG101" s="59"/>
      <c r="BH101" s="59"/>
      <c r="BI101" s="59"/>
      <c r="BJ101" s="59"/>
      <c r="BK101" s="59"/>
      <c r="BL101" s="59"/>
      <c r="BM101" s="59"/>
      <c r="BN101" s="59"/>
      <c r="BO101" s="59"/>
      <c r="BP101" s="59"/>
      <c r="BQ101" s="59"/>
      <c r="BR101" s="59"/>
      <c r="BS101" s="59"/>
      <c r="BU101" s="1176" t="s">
        <v>53</v>
      </c>
      <c r="BV101" s="3321" t="str">
        <f>'CALCULS Eaux pluviales'!N365</f>
        <v/>
      </c>
      <c r="BW101" s="3321"/>
      <c r="BX101" s="3321"/>
      <c r="BY101" s="3321"/>
      <c r="BZ101" s="3382">
        <f>'CALCULS Eaux pluviales'!O370</f>
        <v>0</v>
      </c>
      <c r="CA101" s="3382"/>
      <c r="CB101" s="3382"/>
      <c r="CC101" s="1197"/>
      <c r="CD101" s="2136"/>
      <c r="CE101" s="43"/>
    </row>
    <row r="102" spans="2:83" ht="15" customHeight="1" x14ac:dyDescent="0.3">
      <c r="B102" s="2118"/>
      <c r="C102" s="64"/>
      <c r="D102" s="443"/>
      <c r="E102" s="444"/>
      <c r="F102" s="90"/>
      <c r="G102" s="59"/>
      <c r="I102" s="59"/>
      <c r="J102" s="59"/>
      <c r="K102" s="59"/>
      <c r="L102" s="1161"/>
      <c r="M102" s="1161"/>
      <c r="N102" s="1161"/>
      <c r="O102" s="59"/>
      <c r="P102" s="1176" t="s">
        <v>2091</v>
      </c>
      <c r="R102" s="3320" t="str">
        <f>'CALCULS Eaux pluviales'!N318</f>
        <v/>
      </c>
      <c r="S102" s="3320"/>
      <c r="T102" s="3320"/>
      <c r="U102" s="1274">
        <f>'CALCULS Eaux pluviales'!N322</f>
        <v>0</v>
      </c>
      <c r="W102" s="1201"/>
      <c r="X102" s="2137"/>
      <c r="Y102" s="50"/>
      <c r="Z102" s="445"/>
      <c r="AA102" s="59"/>
      <c r="AB102" s="59"/>
      <c r="AC102" s="59"/>
      <c r="AD102" s="59"/>
      <c r="AE102" s="59"/>
      <c r="AF102" s="59"/>
      <c r="AG102" s="59"/>
      <c r="AH102" s="59"/>
      <c r="AI102" s="59"/>
      <c r="AJ102" s="59"/>
      <c r="AK102" s="59"/>
      <c r="AL102" s="59"/>
      <c r="AM102" s="59"/>
      <c r="AN102" s="59"/>
      <c r="AO102" s="59"/>
      <c r="AP102" s="59"/>
      <c r="AQ102" s="1161"/>
      <c r="AR102" s="1161"/>
      <c r="AS102" s="1177" t="s">
        <v>2093</v>
      </c>
      <c r="AT102" s="1200" t="str">
        <f>'CALCULS Eaux pluviales'!N342</f>
        <v/>
      </c>
      <c r="AU102" s="1198">
        <f>'CALCULS Eaux pluviales'!N346</f>
        <v>0</v>
      </c>
      <c r="AV102" s="1199"/>
      <c r="AW102" s="61"/>
      <c r="AX102" s="2137"/>
      <c r="AY102" s="181"/>
      <c r="AZ102" s="445"/>
      <c r="BA102" s="59"/>
      <c r="BB102" s="59"/>
      <c r="BC102" s="59"/>
      <c r="BD102" s="59"/>
      <c r="BE102" s="59"/>
      <c r="BF102" s="59"/>
      <c r="BG102" s="59"/>
      <c r="BH102" s="59"/>
      <c r="BI102" s="59"/>
      <c r="BJ102" s="59"/>
      <c r="BK102" s="59"/>
      <c r="BL102" s="59"/>
      <c r="BM102" s="59"/>
      <c r="BN102" s="59"/>
      <c r="BO102" s="59"/>
      <c r="BP102" s="59"/>
      <c r="BQ102" s="59"/>
      <c r="BR102" s="59"/>
      <c r="BS102" s="59"/>
      <c r="BT102" s="1161"/>
      <c r="BU102" s="1176" t="s">
        <v>2092</v>
      </c>
      <c r="BV102" s="3321" t="str">
        <f>'CALCULS Eaux pluviales'!N366</f>
        <v/>
      </c>
      <c r="BW102" s="3321"/>
      <c r="BX102" s="3321"/>
      <c r="BY102" s="3321"/>
      <c r="BZ102" s="3381">
        <f>'CALCULS Eaux pluviales'!N370</f>
        <v>0</v>
      </c>
      <c r="CA102" s="3381"/>
      <c r="CB102" s="3381"/>
      <c r="CC102" s="1197"/>
      <c r="CD102" s="2136"/>
      <c r="CE102" s="43"/>
    </row>
    <row r="103" spans="2:83" ht="10.5" customHeight="1" x14ac:dyDescent="0.25">
      <c r="B103" s="2118"/>
      <c r="C103" s="91"/>
      <c r="D103" s="105"/>
      <c r="E103" s="92"/>
      <c r="F103" s="92"/>
      <c r="G103" s="92"/>
      <c r="H103" s="92"/>
      <c r="I103" s="92"/>
      <c r="J103" s="92"/>
      <c r="K103" s="92"/>
      <c r="L103" s="92"/>
      <c r="M103" s="92"/>
      <c r="N103" s="92"/>
      <c r="O103" s="92"/>
      <c r="P103" s="92"/>
      <c r="Q103" s="92"/>
      <c r="R103" s="92"/>
      <c r="S103" s="92"/>
      <c r="T103" s="92"/>
      <c r="U103" s="92"/>
      <c r="V103" s="92"/>
      <c r="W103" s="93"/>
      <c r="X103" s="2137"/>
      <c r="Y103" s="91"/>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3"/>
      <c r="AX103" s="2137"/>
      <c r="AY103" s="91"/>
      <c r="AZ103" s="92"/>
      <c r="BA103" s="92"/>
      <c r="BB103" s="92"/>
      <c r="BC103" s="92"/>
      <c r="BD103" s="92"/>
      <c r="BE103" s="92"/>
      <c r="BF103" s="92"/>
      <c r="BG103" s="92"/>
      <c r="BH103" s="92"/>
      <c r="BI103" s="92"/>
      <c r="BJ103" s="92"/>
      <c r="BK103" s="92"/>
      <c r="BL103" s="92"/>
      <c r="BM103" s="92"/>
      <c r="BN103" s="92"/>
      <c r="BO103" s="92"/>
      <c r="BP103" s="92"/>
      <c r="BQ103" s="92"/>
      <c r="BR103" s="92"/>
      <c r="BS103" s="92"/>
      <c r="BT103" s="92"/>
      <c r="BU103" s="92"/>
      <c r="BV103" s="92"/>
      <c r="BW103" s="92"/>
      <c r="BX103" s="92"/>
      <c r="BY103" s="92"/>
      <c r="BZ103" s="92"/>
      <c r="CA103" s="92"/>
      <c r="CB103" s="92"/>
      <c r="CC103" s="93"/>
      <c r="CD103" s="2136"/>
      <c r="CE103" s="43"/>
    </row>
    <row r="104" spans="2:83" ht="12.75" customHeight="1" x14ac:dyDescent="0.25">
      <c r="B104" s="2120"/>
      <c r="C104" s="2127"/>
      <c r="D104" s="2127"/>
      <c r="E104" s="2127"/>
      <c r="F104" s="2127"/>
      <c r="G104" s="2127"/>
      <c r="H104" s="2127"/>
      <c r="I104" s="2127"/>
      <c r="J104" s="2127"/>
      <c r="K104" s="2127"/>
      <c r="L104" s="2127"/>
      <c r="M104" s="2127"/>
      <c r="N104" s="2127"/>
      <c r="O104" s="2127"/>
      <c r="P104" s="2127"/>
      <c r="Q104" s="2127"/>
      <c r="R104" s="2127"/>
      <c r="S104" s="2127"/>
      <c r="T104" s="2127"/>
      <c r="U104" s="2127"/>
      <c r="V104" s="2127"/>
      <c r="W104" s="2127"/>
      <c r="X104" s="2127"/>
      <c r="Y104" s="2127"/>
      <c r="Z104" s="2127"/>
      <c r="AA104" s="2127"/>
      <c r="AB104" s="2127"/>
      <c r="AC104" s="2127"/>
      <c r="AD104" s="2127"/>
      <c r="AE104" s="2127"/>
      <c r="AF104" s="2127"/>
      <c r="AG104" s="2127"/>
      <c r="AH104" s="2127"/>
      <c r="AI104" s="2127"/>
      <c r="AJ104" s="2127"/>
      <c r="AK104" s="2127"/>
      <c r="AL104" s="2127"/>
      <c r="AM104" s="2127"/>
      <c r="AN104" s="2127"/>
      <c r="AO104" s="2127"/>
      <c r="AP104" s="2127"/>
      <c r="AQ104" s="2127"/>
      <c r="AR104" s="2127"/>
      <c r="AS104" s="2127"/>
      <c r="AT104" s="2127"/>
      <c r="AU104" s="2127"/>
      <c r="AV104" s="2127"/>
      <c r="AW104" s="2127"/>
      <c r="AX104" s="2127"/>
      <c r="AY104" s="2127"/>
      <c r="AZ104" s="2127"/>
      <c r="BA104" s="2127"/>
      <c r="BB104" s="2127"/>
      <c r="BC104" s="2127"/>
      <c r="BD104" s="2127"/>
      <c r="BE104" s="2127"/>
      <c r="BF104" s="2127"/>
      <c r="BG104" s="2127"/>
      <c r="BH104" s="2127"/>
      <c r="BI104" s="2127"/>
      <c r="BJ104" s="2127"/>
      <c r="BK104" s="2127"/>
      <c r="BL104" s="2127"/>
      <c r="BM104" s="2127"/>
      <c r="BN104" s="2127"/>
      <c r="BO104" s="2127"/>
      <c r="BP104" s="2127"/>
      <c r="BQ104" s="2127"/>
      <c r="BR104" s="2127"/>
      <c r="BS104" s="2127"/>
      <c r="BT104" s="2127"/>
      <c r="BU104" s="2127"/>
      <c r="BV104" s="2127"/>
      <c r="BW104" s="2127"/>
      <c r="BX104" s="2127"/>
      <c r="BY104" s="2127"/>
      <c r="BZ104" s="2127"/>
      <c r="CA104" s="2127"/>
      <c r="CB104" s="2127"/>
      <c r="CC104" s="2127"/>
      <c r="CD104" s="2131"/>
      <c r="CE104" s="43"/>
    </row>
    <row r="105" spans="2:83" ht="9.75" customHeight="1" x14ac:dyDescent="0.25">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c r="BT105" s="59"/>
      <c r="BU105" s="59"/>
      <c r="BV105" s="59"/>
      <c r="BW105" s="59"/>
      <c r="BX105" s="59"/>
      <c r="BY105" s="59"/>
      <c r="BZ105" s="59"/>
      <c r="CA105" s="59"/>
      <c r="CB105" s="59"/>
      <c r="CC105" s="59"/>
      <c r="CD105" s="59"/>
      <c r="CE105" s="59"/>
    </row>
    <row r="106" spans="2:83" ht="22.5" customHeight="1" x14ac:dyDescent="0.25">
      <c r="B106" s="2112"/>
      <c r="C106" s="2113" t="s">
        <v>38</v>
      </c>
      <c r="D106" s="2114"/>
      <c r="E106" s="2114"/>
      <c r="F106" s="2114"/>
      <c r="G106" s="2114"/>
      <c r="H106" s="2114"/>
      <c r="I106" s="2114"/>
      <c r="J106" s="2114"/>
      <c r="K106" s="2114"/>
      <c r="L106" s="2114"/>
      <c r="M106" s="2114"/>
      <c r="N106" s="2114"/>
      <c r="O106" s="2114"/>
      <c r="P106" s="2114"/>
      <c r="Q106" s="2114"/>
      <c r="R106" s="2114"/>
      <c r="S106" s="2114"/>
      <c r="T106" s="2114"/>
      <c r="U106" s="2114"/>
      <c r="V106" s="2114"/>
      <c r="W106" s="2114"/>
      <c r="X106" s="2114"/>
      <c r="Y106" s="2114"/>
      <c r="Z106" s="2114"/>
      <c r="AA106" s="2114"/>
      <c r="AB106" s="2114"/>
      <c r="AC106" s="2114"/>
      <c r="AD106" s="2114"/>
      <c r="AE106" s="2114"/>
      <c r="AF106" s="2114"/>
      <c r="AG106" s="2114"/>
      <c r="AH106" s="2114"/>
      <c r="AI106" s="2114"/>
      <c r="AJ106" s="2116"/>
      <c r="AK106" s="2112"/>
      <c r="AL106" s="3449"/>
      <c r="AM106" s="3449"/>
      <c r="AN106" s="2114"/>
      <c r="AO106" s="182"/>
      <c r="AP106" s="2114"/>
      <c r="AQ106" s="2113" t="s">
        <v>39</v>
      </c>
      <c r="AR106" s="2115"/>
      <c r="AS106" s="2114"/>
      <c r="AT106" s="2114"/>
      <c r="AU106" s="2114"/>
      <c r="AV106" s="2114"/>
      <c r="AW106" s="2114"/>
      <c r="AX106" s="2114"/>
      <c r="AY106" s="2114"/>
      <c r="AZ106" s="2114"/>
      <c r="BA106" s="2114"/>
      <c r="BB106" s="2114"/>
      <c r="BC106" s="2114"/>
      <c r="BD106" s="2114"/>
      <c r="BE106" s="2114"/>
      <c r="BF106" s="2114"/>
      <c r="BG106" s="2114"/>
      <c r="BH106" s="2114"/>
      <c r="BI106" s="2114"/>
      <c r="BJ106" s="2114"/>
      <c r="BK106" s="2114"/>
      <c r="BL106" s="2114"/>
      <c r="BM106" s="2114"/>
      <c r="BN106" s="2114"/>
      <c r="BO106" s="2114"/>
      <c r="BP106" s="2114"/>
      <c r="BQ106" s="2114"/>
      <c r="BR106" s="2114"/>
      <c r="BS106" s="2114"/>
      <c r="BT106" s="2114"/>
      <c r="BU106" s="2114"/>
      <c r="BV106" s="2114"/>
      <c r="BW106" s="2114"/>
      <c r="BX106" s="2114"/>
      <c r="BY106" s="2114"/>
      <c r="BZ106" s="2116"/>
      <c r="CA106" s="2112"/>
      <c r="CB106" s="3449"/>
      <c r="CC106" s="3449"/>
      <c r="CD106" s="2114"/>
    </row>
    <row r="107" spans="2:83" ht="6.75" customHeight="1" x14ac:dyDescent="0.25"/>
    <row r="108" spans="2:83" ht="9.75" customHeight="1" x14ac:dyDescent="0.25">
      <c r="B108" s="2117"/>
      <c r="C108" s="2121"/>
      <c r="D108" s="2121"/>
      <c r="E108" s="2121"/>
      <c r="F108" s="2121"/>
      <c r="G108" s="2121"/>
      <c r="H108" s="2121"/>
      <c r="I108" s="2121"/>
      <c r="J108" s="2121"/>
      <c r="K108" s="2121"/>
      <c r="L108" s="2121"/>
      <c r="M108" s="2121"/>
      <c r="N108" s="2121"/>
      <c r="O108" s="2121"/>
      <c r="P108" s="2121"/>
      <c r="Q108" s="2121"/>
      <c r="R108" s="2121"/>
      <c r="S108" s="2121"/>
      <c r="T108" s="2121"/>
      <c r="U108" s="2121"/>
      <c r="V108" s="2121"/>
      <c r="W108" s="2121"/>
      <c r="X108" s="2121"/>
      <c r="Y108" s="2121"/>
      <c r="Z108" s="2121"/>
      <c r="AA108" s="2121"/>
      <c r="AB108" s="2121"/>
      <c r="AC108" s="2121"/>
      <c r="AD108" s="2121"/>
      <c r="AE108" s="2121"/>
      <c r="AF108" s="2121"/>
      <c r="AG108" s="2121"/>
      <c r="AH108" s="2121"/>
      <c r="AI108" s="2121"/>
      <c r="AJ108" s="2121"/>
      <c r="AK108" s="2121"/>
      <c r="AL108" s="2121"/>
      <c r="AM108" s="2121"/>
      <c r="AN108" s="2121"/>
      <c r="AO108" s="183"/>
      <c r="AP108" s="2121"/>
      <c r="AQ108" s="2121"/>
      <c r="AR108" s="2121"/>
      <c r="AS108" s="2121"/>
      <c r="AT108" s="2121"/>
      <c r="AU108" s="2121"/>
      <c r="AV108" s="2121"/>
      <c r="AW108" s="2121"/>
      <c r="AX108" s="2121"/>
      <c r="AY108" s="2121"/>
      <c r="AZ108" s="2121"/>
      <c r="BA108" s="2121"/>
      <c r="BB108" s="2121"/>
      <c r="BC108" s="2121"/>
      <c r="BD108" s="2121"/>
      <c r="BE108" s="2121"/>
      <c r="BF108" s="2121"/>
      <c r="BG108" s="2121"/>
      <c r="BH108" s="2121"/>
      <c r="BI108" s="2121"/>
      <c r="BJ108" s="2121"/>
      <c r="BK108" s="2121"/>
      <c r="BL108" s="2121"/>
      <c r="BM108" s="2121"/>
      <c r="BN108" s="2121"/>
      <c r="BO108" s="2121"/>
      <c r="BP108" s="2121"/>
      <c r="BQ108" s="2121"/>
      <c r="BR108" s="2121"/>
      <c r="BS108" s="2121"/>
      <c r="BT108" s="2121"/>
      <c r="BU108" s="2121"/>
      <c r="BV108" s="2121"/>
      <c r="BW108" s="2121"/>
      <c r="BX108" s="2121"/>
      <c r="BY108" s="2121"/>
      <c r="BZ108" s="2121"/>
      <c r="CA108" s="2121"/>
      <c r="CB108" s="2121"/>
      <c r="CC108" s="2121"/>
      <c r="CD108" s="2128"/>
      <c r="CE108" s="43"/>
    </row>
    <row r="109" spans="2:83" ht="9.75" customHeight="1" x14ac:dyDescent="0.25">
      <c r="B109" s="2118"/>
      <c r="C109" s="45"/>
      <c r="D109" s="46"/>
      <c r="E109" s="184"/>
      <c r="F109" s="184"/>
      <c r="G109" s="184"/>
      <c r="H109" s="184"/>
      <c r="I109" s="184"/>
      <c r="J109" s="184"/>
      <c r="K109" s="184"/>
      <c r="L109" s="184"/>
      <c r="M109" s="184"/>
      <c r="N109" s="184"/>
      <c r="O109" s="184"/>
      <c r="P109" s="184"/>
      <c r="Q109" s="184"/>
      <c r="R109" s="184"/>
      <c r="S109" s="184"/>
      <c r="T109" s="46"/>
      <c r="U109" s="46"/>
      <c r="V109" s="46"/>
      <c r="W109" s="46"/>
      <c r="X109" s="46"/>
      <c r="Y109" s="46"/>
      <c r="Z109" s="46"/>
      <c r="AA109" s="46"/>
      <c r="AB109" s="46"/>
      <c r="AC109" s="46"/>
      <c r="AD109" s="46"/>
      <c r="AE109" s="46"/>
      <c r="AF109" s="46"/>
      <c r="AG109" s="46"/>
      <c r="AH109" s="46"/>
      <c r="AI109" s="184"/>
      <c r="AJ109" s="46"/>
      <c r="AK109" s="46"/>
      <c r="AL109" s="46"/>
      <c r="AM109" s="47"/>
      <c r="AN109" s="2137"/>
      <c r="AO109" s="183"/>
      <c r="AP109" s="2137"/>
      <c r="AQ109" s="45"/>
      <c r="AR109" s="46"/>
      <c r="AS109" s="46"/>
      <c r="AT109" s="46"/>
      <c r="AU109" s="184"/>
      <c r="AV109" s="184"/>
      <c r="AW109" s="184"/>
      <c r="AX109" s="184"/>
      <c r="AY109" s="184"/>
      <c r="AZ109" s="184"/>
      <c r="BA109" s="184"/>
      <c r="BB109" s="184"/>
      <c r="BC109" s="184"/>
      <c r="BD109" s="184"/>
      <c r="BE109" s="184"/>
      <c r="BF109" s="184"/>
      <c r="BG109" s="184"/>
      <c r="BH109" s="184"/>
      <c r="BI109" s="184"/>
      <c r="BJ109" s="46"/>
      <c r="BK109" s="46"/>
      <c r="BL109" s="46"/>
      <c r="BM109" s="46"/>
      <c r="BN109" s="46"/>
      <c r="BO109" s="46"/>
      <c r="BP109" s="46"/>
      <c r="BQ109" s="46"/>
      <c r="BR109" s="46"/>
      <c r="BS109" s="46"/>
      <c r="BT109" s="46"/>
      <c r="BU109" s="46"/>
      <c r="BV109" s="46"/>
      <c r="BW109" s="46"/>
      <c r="BX109" s="46"/>
      <c r="BY109" s="184"/>
      <c r="BZ109" s="46"/>
      <c r="CA109" s="46"/>
      <c r="CB109" s="46"/>
      <c r="CC109" s="47"/>
      <c r="CD109" s="2136"/>
      <c r="CE109" s="43"/>
    </row>
    <row r="110" spans="2:83" ht="18" customHeight="1" x14ac:dyDescent="0.25">
      <c r="B110" s="2118"/>
      <c r="C110" s="50"/>
      <c r="D110" s="185" t="s">
        <v>32</v>
      </c>
      <c r="E110" s="186"/>
      <c r="F110" s="186"/>
      <c r="G110" s="186"/>
      <c r="H110" s="186"/>
      <c r="I110" s="186"/>
      <c r="J110" s="186"/>
      <c r="K110" s="186"/>
      <c r="L110" s="186"/>
      <c r="M110" s="186"/>
      <c r="N110" s="186"/>
      <c r="O110" s="186"/>
      <c r="P110" s="186"/>
      <c r="Q110" s="186"/>
      <c r="R110" s="186"/>
      <c r="S110" s="186"/>
      <c r="T110" s="59"/>
      <c r="U110" s="59"/>
      <c r="V110" s="59"/>
      <c r="W110" s="59"/>
      <c r="X110" s="59"/>
      <c r="Y110" s="59"/>
      <c r="Z110" s="59"/>
      <c r="AA110" s="59"/>
      <c r="AB110" s="187"/>
      <c r="AC110" s="59"/>
      <c r="AD110" s="187"/>
      <c r="AE110" s="59"/>
      <c r="AF110" s="59"/>
      <c r="AG110" s="59"/>
      <c r="AH110" s="139"/>
      <c r="AI110" s="3310"/>
      <c r="AJ110" s="3310"/>
      <c r="AK110" s="59"/>
      <c r="AL110" s="59"/>
      <c r="AM110" s="61"/>
      <c r="AN110" s="2137"/>
      <c r="AO110" s="183"/>
      <c r="AP110" s="2137"/>
      <c r="AQ110" s="50"/>
      <c r="AR110" s="185" t="s">
        <v>33</v>
      </c>
      <c r="AU110" s="186"/>
      <c r="AV110" s="186"/>
      <c r="AW110" s="186"/>
      <c r="AX110" s="186"/>
      <c r="AY110" s="186"/>
      <c r="AZ110" s="186"/>
      <c r="BA110" s="186"/>
      <c r="BB110" s="186"/>
      <c r="BC110" s="186"/>
      <c r="BD110" s="186"/>
      <c r="BE110" s="186"/>
      <c r="BF110" s="186"/>
      <c r="BG110" s="186"/>
      <c r="BH110" s="186"/>
      <c r="BI110" s="186"/>
      <c r="BJ110" s="59"/>
      <c r="BK110" s="59"/>
      <c r="BL110" s="59"/>
      <c r="BM110" s="59"/>
      <c r="BN110" s="59"/>
      <c r="BO110" s="59"/>
      <c r="BP110" s="59"/>
      <c r="BQ110" s="59"/>
      <c r="BR110" s="59"/>
      <c r="BS110" s="59"/>
      <c r="BT110" s="59"/>
      <c r="BU110" s="59"/>
      <c r="BV110" s="59"/>
      <c r="BW110" s="59"/>
      <c r="BX110" s="59"/>
      <c r="BY110" s="186"/>
      <c r="BZ110" s="59"/>
      <c r="CA110" s="59"/>
      <c r="CB110" s="59"/>
      <c r="CC110" s="61"/>
      <c r="CD110" s="2136"/>
      <c r="CE110" s="43"/>
    </row>
    <row r="111" spans="2:83" ht="6.75" customHeight="1" x14ac:dyDescent="0.25">
      <c r="B111" s="2118"/>
      <c r="C111" s="50"/>
      <c r="D111" s="188"/>
      <c r="E111" s="186"/>
      <c r="F111" s="186"/>
      <c r="G111" s="186"/>
      <c r="H111" s="186"/>
      <c r="I111" s="186"/>
      <c r="J111" s="186"/>
      <c r="K111" s="186"/>
      <c r="L111" s="186"/>
      <c r="M111" s="186"/>
      <c r="N111" s="186"/>
      <c r="O111" s="186"/>
      <c r="P111" s="186"/>
      <c r="Q111" s="186"/>
      <c r="R111" s="186"/>
      <c r="S111" s="186"/>
      <c r="T111" s="59"/>
      <c r="U111" s="59"/>
      <c r="V111" s="59"/>
      <c r="W111" s="59"/>
      <c r="X111" s="59"/>
      <c r="Y111" s="59"/>
      <c r="Z111" s="59"/>
      <c r="AA111" s="59"/>
      <c r="AB111" s="59"/>
      <c r="AC111" s="59"/>
      <c r="AD111" s="59"/>
      <c r="AE111" s="59"/>
      <c r="AF111" s="59"/>
      <c r="AG111" s="59"/>
      <c r="AH111" s="59"/>
      <c r="AI111" s="186"/>
      <c r="AJ111" s="59"/>
      <c r="AK111" s="59"/>
      <c r="AL111" s="59"/>
      <c r="AM111" s="61"/>
      <c r="AN111" s="2137"/>
      <c r="AO111" s="183"/>
      <c r="AP111" s="2137"/>
      <c r="AQ111" s="50"/>
      <c r="AR111" s="59"/>
      <c r="AS111" s="188"/>
      <c r="AT111" s="188"/>
      <c r="AU111" s="186"/>
      <c r="AV111" s="186"/>
      <c r="AW111" s="186"/>
      <c r="AX111" s="186"/>
      <c r="AY111" s="186"/>
      <c r="AZ111" s="186"/>
      <c r="BA111" s="186"/>
      <c r="BB111" s="186"/>
      <c r="BC111" s="186"/>
      <c r="BD111" s="186"/>
      <c r="BE111" s="186"/>
      <c r="BF111" s="186"/>
      <c r="BG111" s="186"/>
      <c r="BH111" s="186"/>
      <c r="BI111" s="186"/>
      <c r="BJ111" s="59"/>
      <c r="BK111" s="59"/>
      <c r="BL111" s="59"/>
      <c r="BM111" s="59"/>
      <c r="BN111" s="59"/>
      <c r="BO111" s="59"/>
      <c r="BP111" s="59"/>
      <c r="BQ111" s="59"/>
      <c r="BR111" s="59"/>
      <c r="BS111" s="59"/>
      <c r="BT111" s="59"/>
      <c r="BU111" s="59"/>
      <c r="BV111" s="59"/>
      <c r="BW111" s="59"/>
      <c r="BX111" s="59"/>
      <c r="BY111" s="186"/>
      <c r="BZ111" s="59"/>
      <c r="CA111" s="59"/>
      <c r="CB111" s="59"/>
      <c r="CC111" s="61"/>
      <c r="CD111" s="2136"/>
      <c r="CE111" s="43"/>
    </row>
    <row r="112" spans="2:83" ht="15" customHeight="1" x14ac:dyDescent="0.25">
      <c r="B112" s="2118"/>
      <c r="C112" s="50"/>
      <c r="D112" s="188"/>
      <c r="F112" s="2157" t="s">
        <v>2022</v>
      </c>
      <c r="G112" s="2176"/>
      <c r="H112" s="2176"/>
      <c r="I112" s="2176"/>
      <c r="J112" s="2176"/>
      <c r="K112" s="2176"/>
      <c r="L112" s="2176"/>
      <c r="M112" s="2176"/>
      <c r="N112" s="2176"/>
      <c r="O112" s="2176"/>
      <c r="P112" s="2176"/>
      <c r="Q112" s="2176"/>
      <c r="R112" s="2176"/>
      <c r="S112" s="2555" t="str">
        <f>IF(('FORMULAIRE PGA Eaux pluviales '!$H$120='MENU DÉROULANT'!$C$54),"(Aucun actif)","")</f>
        <v/>
      </c>
      <c r="T112" s="2177"/>
      <c r="U112" s="59"/>
      <c r="V112" s="2157" t="s">
        <v>2023</v>
      </c>
      <c r="W112" s="2176"/>
      <c r="X112" s="2176"/>
      <c r="Y112" s="2176"/>
      <c r="Z112" s="2176"/>
      <c r="AA112" s="2176"/>
      <c r="AB112" s="2551" t="str">
        <f>IF(('FORMULAIRE PGA Eaux pluviales '!M73='MENU DÉROULANT'!C63),"(Non applicable)","")</f>
        <v/>
      </c>
      <c r="AC112" s="2176"/>
      <c r="AD112" s="2176"/>
      <c r="AE112" s="2176"/>
      <c r="AF112" s="2176"/>
      <c r="AG112" s="2176"/>
      <c r="AH112" s="2176"/>
      <c r="AI112" s="2176"/>
      <c r="AJ112" s="2555" t="str">
        <f>IF(('FORMULAIRE PGA Eaux pluviales '!$H$81='MENU DÉROULANT'!$F$54),"(Aucun actif)","")</f>
        <v/>
      </c>
      <c r="AK112" s="2176"/>
      <c r="AL112" s="1205"/>
      <c r="AM112" s="61"/>
      <c r="AN112" s="2137"/>
      <c r="AO112" s="183"/>
      <c r="AP112" s="2137"/>
      <c r="AQ112" s="50"/>
      <c r="AR112" s="59"/>
      <c r="AS112" s="188"/>
      <c r="AT112" s="188"/>
      <c r="AV112" s="2157" t="s">
        <v>2022</v>
      </c>
      <c r="AW112" s="2176"/>
      <c r="AX112" s="2176"/>
      <c r="AY112" s="2176"/>
      <c r="AZ112" s="2176"/>
      <c r="BA112" s="2176"/>
      <c r="BB112" s="2176"/>
      <c r="BC112" s="2176"/>
      <c r="BD112" s="2176"/>
      <c r="BE112" s="2176"/>
      <c r="BF112" s="2176"/>
      <c r="BG112" s="2176"/>
      <c r="BH112" s="2176"/>
      <c r="BI112" s="2555" t="str">
        <f>IF(('FORMULAIRE PGA Eaux pluviales '!$H$120='MENU DÉROULANT'!$C$54),"(Aucun actif)","")</f>
        <v/>
      </c>
      <c r="BJ112" s="2177"/>
      <c r="BK112" s="59"/>
      <c r="BL112" s="2157" t="s">
        <v>2023</v>
      </c>
      <c r="BM112" s="2176"/>
      <c r="BN112" s="2176"/>
      <c r="BO112" s="2176"/>
      <c r="BP112" s="2176"/>
      <c r="BQ112" s="2176"/>
      <c r="BR112" s="2551" t="str">
        <f>IF(('FORMULAIRE PGA Eaux pluviales '!M73='MENU DÉROULANT'!C63),"(Non applicable)","")</f>
        <v/>
      </c>
      <c r="BS112" s="2176"/>
      <c r="BT112" s="2176"/>
      <c r="BU112" s="2176"/>
      <c r="BV112" s="2176"/>
      <c r="BW112" s="2176"/>
      <c r="BX112" s="2176"/>
      <c r="BY112" s="2176"/>
      <c r="BZ112" s="2555" t="str">
        <f>IF(('FORMULAIRE PGA Eaux pluviales '!$H$81='MENU DÉROULANT'!$F$54),"(Aucun actif)","")</f>
        <v/>
      </c>
      <c r="CA112" s="2176"/>
      <c r="CB112" s="1205"/>
      <c r="CC112" s="61"/>
      <c r="CD112" s="2136"/>
      <c r="CE112" s="43"/>
    </row>
    <row r="113" spans="2:83" ht="12.75" customHeight="1" x14ac:dyDescent="0.25">
      <c r="B113" s="2118"/>
      <c r="C113" s="50"/>
      <c r="D113" s="188"/>
      <c r="E113" s="186"/>
      <c r="F113" s="189"/>
      <c r="G113" s="189"/>
      <c r="H113" s="189"/>
      <c r="I113" s="189"/>
      <c r="J113" s="189"/>
      <c r="K113" s="189"/>
      <c r="L113" s="189"/>
      <c r="M113" s="189"/>
      <c r="N113" s="189"/>
      <c r="O113" s="186"/>
      <c r="P113" s="186"/>
      <c r="Q113" s="186"/>
      <c r="U113" s="59"/>
      <c r="V113" s="185"/>
      <c r="W113" s="185"/>
      <c r="X113" s="185"/>
      <c r="Y113" s="185"/>
      <c r="Z113" s="185"/>
      <c r="AA113" s="185"/>
      <c r="AB113" s="185"/>
      <c r="AC113" s="185"/>
      <c r="AD113" s="185"/>
      <c r="AE113" s="59"/>
      <c r="AF113" s="59"/>
      <c r="AG113" s="59"/>
      <c r="AH113" s="3312"/>
      <c r="AI113" s="3312"/>
      <c r="AJ113" s="3312"/>
      <c r="AK113" s="59"/>
      <c r="AL113" s="59"/>
      <c r="AM113" s="61"/>
      <c r="AN113" s="2137"/>
      <c r="AO113" s="183"/>
      <c r="AP113" s="2137"/>
      <c r="AQ113" s="50"/>
      <c r="AR113" s="59"/>
      <c r="AS113" s="188"/>
      <c r="AT113" s="188"/>
      <c r="AU113" s="186"/>
      <c r="AV113" s="189"/>
      <c r="AW113" s="189"/>
      <c r="AX113" s="189"/>
      <c r="AY113" s="189"/>
      <c r="AZ113" s="189"/>
      <c r="BA113" s="189"/>
      <c r="BB113" s="189"/>
      <c r="BC113" s="189"/>
      <c r="BD113" s="189"/>
      <c r="BE113" s="186"/>
      <c r="BF113" s="186"/>
      <c r="BG113" s="186"/>
      <c r="BK113" s="59"/>
      <c r="BL113" s="185"/>
      <c r="BM113" s="185"/>
      <c r="BN113" s="185"/>
      <c r="BO113" s="185"/>
      <c r="BP113" s="185"/>
      <c r="BQ113" s="185"/>
      <c r="BR113" s="185"/>
      <c r="BS113" s="185"/>
      <c r="BT113" s="185"/>
      <c r="BU113" s="59"/>
      <c r="BV113" s="59"/>
      <c r="BW113" s="59"/>
      <c r="BX113" s="3312"/>
      <c r="BY113" s="3312"/>
      <c r="BZ113" s="3312"/>
      <c r="CA113" s="59"/>
      <c r="CB113" s="59"/>
      <c r="CC113" s="61"/>
      <c r="CD113" s="2136"/>
      <c r="CE113" s="43"/>
    </row>
    <row r="114" spans="2:83" ht="15.75" customHeight="1" x14ac:dyDescent="0.3">
      <c r="B114" s="2118"/>
      <c r="C114" s="50"/>
      <c r="D114" s="3369" t="s">
        <v>152</v>
      </c>
      <c r="E114" s="3345" t="s">
        <v>122</v>
      </c>
      <c r="F114" s="3345"/>
      <c r="G114" s="3345"/>
      <c r="H114" s="3345"/>
      <c r="I114" s="189"/>
      <c r="J114" s="3314" t="str">
        <f>'CALCULS Eaux pluviales'!E394</f>
        <v/>
      </c>
      <c r="K114" s="3315"/>
      <c r="L114" s="3315"/>
      <c r="M114" s="3374" t="s">
        <v>1908</v>
      </c>
      <c r="N114" s="3375"/>
      <c r="O114" s="3376"/>
      <c r="P114" s="191"/>
      <c r="Q114" s="190"/>
      <c r="U114" s="3345" t="s">
        <v>122</v>
      </c>
      <c r="V114" s="3345"/>
      <c r="W114" s="3345"/>
      <c r="X114" s="3345"/>
      <c r="Y114" s="189"/>
      <c r="Z114" s="3314" t="str">
        <f>'CALCULS Eaux pluviales'!E395</f>
        <v/>
      </c>
      <c r="AA114" s="3315"/>
      <c r="AB114" s="3315"/>
      <c r="AC114" s="3374" t="s">
        <v>1908</v>
      </c>
      <c r="AD114" s="3375"/>
      <c r="AE114" s="3376"/>
      <c r="AF114" s="23"/>
      <c r="AG114" s="192"/>
      <c r="AH114" s="3313"/>
      <c r="AI114" s="3313"/>
      <c r="AJ114" s="3313"/>
      <c r="AK114" s="23"/>
      <c r="AL114" s="27"/>
      <c r="AM114" s="61"/>
      <c r="AN114" s="2137"/>
      <c r="AO114" s="183"/>
      <c r="AP114" s="2137"/>
      <c r="AQ114" s="50"/>
      <c r="AR114" s="3369" t="s">
        <v>152</v>
      </c>
      <c r="AS114" s="3369"/>
      <c r="AT114" s="3369"/>
      <c r="AU114" s="3345" t="s">
        <v>122</v>
      </c>
      <c r="AV114" s="3345"/>
      <c r="AW114" s="3345"/>
      <c r="AX114" s="3345"/>
      <c r="AY114" s="189"/>
      <c r="AZ114" s="3314" t="str">
        <f>'CALCULS Eaux pluviales'!E406</f>
        <v/>
      </c>
      <c r="BA114" s="3315"/>
      <c r="BB114" s="3315"/>
      <c r="BC114" s="3374" t="s">
        <v>1908</v>
      </c>
      <c r="BD114" s="3375"/>
      <c r="BE114" s="3376"/>
      <c r="BF114" s="191"/>
      <c r="BG114" s="190"/>
      <c r="BK114" s="3345" t="s">
        <v>122</v>
      </c>
      <c r="BL114" s="3345"/>
      <c r="BM114" s="3345"/>
      <c r="BN114" s="3345"/>
      <c r="BO114" s="189"/>
      <c r="BP114" s="3314" t="str">
        <f>'CALCULS Eaux pluviales'!E407</f>
        <v/>
      </c>
      <c r="BQ114" s="3315"/>
      <c r="BR114" s="3315"/>
      <c r="BS114" s="3374" t="s">
        <v>1908</v>
      </c>
      <c r="BT114" s="3375"/>
      <c r="BU114" s="3376"/>
      <c r="BV114" s="23"/>
      <c r="BW114" s="192"/>
      <c r="BX114" s="3313"/>
      <c r="BY114" s="3313"/>
      <c r="BZ114" s="3313"/>
      <c r="CA114" s="23"/>
      <c r="CB114" s="27"/>
      <c r="CC114" s="61"/>
      <c r="CD114" s="2136"/>
      <c r="CE114" s="43"/>
    </row>
    <row r="115" spans="2:83" ht="9.75" customHeight="1" x14ac:dyDescent="0.3">
      <c r="B115" s="2118"/>
      <c r="C115" s="50"/>
      <c r="D115" s="3369"/>
      <c r="AK115" s="23"/>
      <c r="AL115" s="27"/>
      <c r="AM115" s="61"/>
      <c r="AN115" s="2137"/>
      <c r="AO115" s="183"/>
      <c r="AP115" s="2137"/>
      <c r="AQ115" s="50"/>
      <c r="AR115" s="3369"/>
      <c r="AS115" s="3369"/>
      <c r="AT115" s="3369"/>
      <c r="CB115" s="27"/>
      <c r="CC115" s="61"/>
      <c r="CD115" s="2136"/>
      <c r="CE115" s="43"/>
    </row>
    <row r="116" spans="2:83" ht="15" customHeight="1" x14ac:dyDescent="0.3">
      <c r="B116" s="2118"/>
      <c r="C116" s="50"/>
      <c r="D116" s="3369"/>
      <c r="E116" s="193"/>
      <c r="F116" s="1207" t="str">
        <f>IF('CALCULS Eaux pluviales'!E389&gt;0,"p","")</f>
        <v/>
      </c>
      <c r="G116" s="22"/>
      <c r="H116" s="1207" t="str">
        <f>IF('CALCULS Eaux pluviales'!F389&gt;0,"p","")</f>
        <v/>
      </c>
      <c r="I116" s="21"/>
      <c r="J116" s="1207" t="str">
        <f>IF('CALCULS Eaux pluviales'!G389&gt;0,"p","")</f>
        <v/>
      </c>
      <c r="K116" s="21"/>
      <c r="L116" s="1207" t="str">
        <f>IF('CALCULS Eaux pluviales'!H389&gt;0,"p","")</f>
        <v/>
      </c>
      <c r="M116" s="21"/>
      <c r="N116" s="1207" t="str">
        <f>IF('CALCULS Eaux pluviales'!I389&gt;0,"p","")</f>
        <v/>
      </c>
      <c r="O116" s="21"/>
      <c r="P116" s="1207" t="str">
        <f>IF('CALCULS Eaux pluviales'!J389&gt;0,"p","")</f>
        <v/>
      </c>
      <c r="Q116" s="21"/>
      <c r="R116" s="1207" t="str">
        <f>IF('CALCULS Eaux pluviales'!K389&gt;0,"p","")</f>
        <v/>
      </c>
      <c r="S116" s="21"/>
      <c r="T116" s="21"/>
      <c r="V116" s="1207" t="str">
        <f>IF('CALCULS Eaux pluviales'!E391&gt;0,"p","")</f>
        <v/>
      </c>
      <c r="W116" s="22"/>
      <c r="X116" s="1207" t="str">
        <f>IF('CALCULS Eaux pluviales'!F391&gt;0,"p","")</f>
        <v/>
      </c>
      <c r="Y116" s="21"/>
      <c r="Z116" s="1207" t="str">
        <f>IF('CALCULS Eaux pluviales'!G391&gt;0,"p","")</f>
        <v/>
      </c>
      <c r="AA116" s="21"/>
      <c r="AB116" s="1207" t="str">
        <f>IF('CALCULS Eaux pluviales'!H391&gt;0,"p","")</f>
        <v/>
      </c>
      <c r="AC116" s="21"/>
      <c r="AD116" s="1207" t="str">
        <f>IF('CALCULS Eaux pluviales'!I391&gt;0,"p","")</f>
        <v/>
      </c>
      <c r="AE116" s="21"/>
      <c r="AF116" s="1207" t="str">
        <f>IF('CALCULS Eaux pluviales'!J391&gt;0,"p","")</f>
        <v/>
      </c>
      <c r="AG116" s="21"/>
      <c r="AH116" s="1207" t="str">
        <f>IF('CALCULS Eaux pluviales'!K391&gt;0,"p","")</f>
        <v/>
      </c>
      <c r="AI116" s="21"/>
      <c r="AJ116" s="21"/>
      <c r="AK116" s="23"/>
      <c r="AL116" s="27"/>
      <c r="AM116" s="61"/>
      <c r="AN116" s="2137"/>
      <c r="AO116" s="183"/>
      <c r="AP116" s="2137"/>
      <c r="AQ116" s="50"/>
      <c r="AR116" s="3369"/>
      <c r="AS116" s="3369"/>
      <c r="AT116" s="3369"/>
      <c r="AU116" s="193"/>
      <c r="AV116" s="1208" t="str">
        <f>IF('CALCULS Eaux pluviales'!E401&gt;0,"p","")</f>
        <v/>
      </c>
      <c r="AW116" s="478"/>
      <c r="AX116" s="1208" t="str">
        <f>IF('CALCULS Eaux pluviales'!F401&gt;0,"p","")</f>
        <v/>
      </c>
      <c r="AY116" s="477"/>
      <c r="AZ116" s="1208" t="str">
        <f>IF('CALCULS Eaux pluviales'!G401&gt;0,"p","")</f>
        <v/>
      </c>
      <c r="BA116" s="477"/>
      <c r="BB116" s="1208" t="str">
        <f>IF('CALCULS Eaux pluviales'!H401&gt;0,"p","")</f>
        <v/>
      </c>
      <c r="BC116" s="477"/>
      <c r="BD116" s="1208" t="str">
        <f>IF('CALCULS Eaux pluviales'!I401&gt;0,"p","")</f>
        <v/>
      </c>
      <c r="BE116" s="477"/>
      <c r="BF116" s="1208" t="str">
        <f>IF('CALCULS Eaux pluviales'!J401&gt;0,"p","")</f>
        <v/>
      </c>
      <c r="BG116" s="477"/>
      <c r="BH116" s="1208" t="str">
        <f>IF('CALCULS Eaux pluviales'!K401&gt;0,"p","")</f>
        <v/>
      </c>
      <c r="BI116" s="477"/>
      <c r="BJ116" s="477"/>
      <c r="BL116" s="1208" t="str">
        <f>IF('CALCULS Eaux pluviales'!E403&gt;0,"p","")</f>
        <v/>
      </c>
      <c r="BM116" s="478"/>
      <c r="BN116" s="1208" t="str">
        <f>IF('CALCULS Eaux pluviales'!F403&gt;0,"p","")</f>
        <v/>
      </c>
      <c r="BO116" s="477"/>
      <c r="BP116" s="1208" t="str">
        <f>IF('CALCULS Eaux pluviales'!G403&gt;0,"p","")</f>
        <v/>
      </c>
      <c r="BQ116" s="477"/>
      <c r="BR116" s="1208" t="str">
        <f>IF('CALCULS Eaux pluviales'!H403&gt;0,"p","")</f>
        <v/>
      </c>
      <c r="BS116" s="477"/>
      <c r="BT116" s="1208" t="str">
        <f>IF('CALCULS Eaux pluviales'!I403&gt;0,"p","")</f>
        <v/>
      </c>
      <c r="BU116" s="477"/>
      <c r="BV116" s="1208" t="str">
        <f>IF('CALCULS Eaux pluviales'!J403&gt;0,"p","")</f>
        <v/>
      </c>
      <c r="BW116" s="477"/>
      <c r="BX116" s="1208" t="str">
        <f>IF('CALCULS Eaux pluviales'!K403&gt;0,"p","")</f>
        <v/>
      </c>
      <c r="BY116" s="26"/>
      <c r="BZ116" s="27"/>
      <c r="CA116" s="23"/>
      <c r="CB116" s="27"/>
      <c r="CC116" s="61"/>
      <c r="CD116" s="2136"/>
      <c r="CE116" s="43"/>
    </row>
    <row r="117" spans="2:83" ht="3.75" customHeight="1" x14ac:dyDescent="0.3">
      <c r="B117" s="2118"/>
      <c r="C117" s="50"/>
      <c r="D117" s="3342"/>
      <c r="E117" s="3342"/>
      <c r="AK117" s="23"/>
      <c r="AL117" s="27"/>
      <c r="AM117" s="61"/>
      <c r="AN117" s="2137"/>
      <c r="AO117" s="183"/>
      <c r="AP117" s="2137"/>
      <c r="AQ117" s="50"/>
      <c r="AR117" s="59"/>
      <c r="AS117" s="3342"/>
      <c r="AT117" s="3342"/>
      <c r="AU117" s="3342"/>
      <c r="CA117" s="23"/>
      <c r="CB117" s="27"/>
      <c r="CC117" s="61"/>
      <c r="CD117" s="2136"/>
      <c r="CE117" s="43"/>
    </row>
    <row r="118" spans="2:83" ht="14.25" customHeight="1" x14ac:dyDescent="0.25">
      <c r="B118" s="2118"/>
      <c r="C118" s="50"/>
      <c r="D118" s="1209" t="s">
        <v>22</v>
      </c>
      <c r="E118" s="23"/>
      <c r="F118" s="23"/>
      <c r="G118" s="23"/>
      <c r="H118" s="23"/>
      <c r="I118" s="23"/>
      <c r="J118" s="23"/>
      <c r="K118" s="23"/>
      <c r="L118" s="23"/>
      <c r="M118" s="23"/>
      <c r="N118" s="23"/>
      <c r="O118" s="23"/>
      <c r="P118" s="23"/>
      <c r="Q118" s="23"/>
      <c r="R118" s="23"/>
      <c r="S118" s="23"/>
      <c r="T118" s="23"/>
      <c r="V118" s="23"/>
      <c r="W118" s="23"/>
      <c r="X118" s="23"/>
      <c r="Y118" s="23"/>
      <c r="Z118" s="23"/>
      <c r="AA118" s="23"/>
      <c r="AB118" s="23"/>
      <c r="AC118" s="23"/>
      <c r="AD118" s="23"/>
      <c r="AE118" s="23"/>
      <c r="AF118" s="23"/>
      <c r="AG118" s="23"/>
      <c r="AH118" s="23"/>
      <c r="AI118" s="23"/>
      <c r="AK118" s="23"/>
      <c r="AM118" s="61"/>
      <c r="AN118" s="2137"/>
      <c r="AO118" s="183"/>
      <c r="AP118" s="2137"/>
      <c r="AQ118" s="50"/>
      <c r="AR118" s="3368" t="s">
        <v>21</v>
      </c>
      <c r="AS118" s="3368"/>
      <c r="AT118" s="3368"/>
      <c r="AU118" s="23"/>
      <c r="AV118" s="23"/>
      <c r="AW118" s="23"/>
      <c r="AX118" s="23"/>
      <c r="AY118" s="23"/>
      <c r="AZ118" s="23"/>
      <c r="BA118" s="23"/>
      <c r="BB118" s="23"/>
      <c r="BC118" s="23"/>
      <c r="BD118" s="23"/>
      <c r="BE118" s="23"/>
      <c r="BF118" s="23"/>
      <c r="BG118" s="23"/>
      <c r="BH118" s="23"/>
      <c r="BI118" s="23"/>
      <c r="BJ118" s="23"/>
      <c r="BL118" s="23"/>
      <c r="BM118" s="23"/>
      <c r="BN118" s="23"/>
      <c r="BO118" s="23"/>
      <c r="BP118" s="23"/>
      <c r="BQ118" s="23"/>
      <c r="BR118" s="23"/>
      <c r="BS118" s="23"/>
      <c r="BT118" s="23"/>
      <c r="BU118" s="23"/>
      <c r="BV118" s="23"/>
      <c r="BW118" s="23"/>
      <c r="BX118" s="23"/>
      <c r="BY118" s="23"/>
      <c r="CA118" s="23"/>
      <c r="CC118" s="61"/>
      <c r="CD118" s="2136"/>
      <c r="CE118" s="43"/>
    </row>
    <row r="119" spans="2:83" ht="14.25" customHeight="1" x14ac:dyDescent="0.25">
      <c r="B119" s="2118"/>
      <c r="C119" s="50"/>
      <c r="D119" s="1210" t="s">
        <v>20</v>
      </c>
      <c r="E119" s="23"/>
      <c r="F119" s="23"/>
      <c r="G119" s="23"/>
      <c r="H119" s="23"/>
      <c r="I119" s="23"/>
      <c r="J119" s="23"/>
      <c r="K119" s="23"/>
      <c r="L119" s="23"/>
      <c r="M119" s="23"/>
      <c r="N119" s="23"/>
      <c r="O119" s="23"/>
      <c r="P119" s="23"/>
      <c r="Q119" s="23"/>
      <c r="R119" s="23"/>
      <c r="S119" s="23"/>
      <c r="T119" s="23"/>
      <c r="V119" s="23"/>
      <c r="W119" s="23"/>
      <c r="X119" s="23"/>
      <c r="Y119" s="23"/>
      <c r="Z119" s="23"/>
      <c r="AA119" s="23"/>
      <c r="AB119" s="23"/>
      <c r="AC119" s="23"/>
      <c r="AD119" s="23"/>
      <c r="AE119" s="23"/>
      <c r="AF119" s="23"/>
      <c r="AG119" s="23"/>
      <c r="AH119" s="23"/>
      <c r="AI119" s="23"/>
      <c r="AJ119" s="197"/>
      <c r="AK119" s="23"/>
      <c r="AL119" s="197"/>
      <c r="AM119" s="61"/>
      <c r="AN119" s="2137"/>
      <c r="AO119" s="183"/>
      <c r="AP119" s="2137"/>
      <c r="AQ119" s="50"/>
      <c r="AR119" s="3367" t="s">
        <v>14</v>
      </c>
      <c r="AS119" s="3367"/>
      <c r="AT119" s="3367"/>
      <c r="AU119" s="23"/>
      <c r="AV119" s="23"/>
      <c r="AW119" s="23"/>
      <c r="AX119" s="23"/>
      <c r="AY119" s="23"/>
      <c r="AZ119" s="23"/>
      <c r="BA119" s="23"/>
      <c r="BB119" s="23"/>
      <c r="BC119" s="23"/>
      <c r="BD119" s="23"/>
      <c r="BE119" s="23"/>
      <c r="BF119" s="23"/>
      <c r="BG119" s="23"/>
      <c r="BH119" s="23"/>
      <c r="BI119" s="23"/>
      <c r="BJ119" s="23"/>
      <c r="BL119" s="23"/>
      <c r="BM119" s="23"/>
      <c r="BN119" s="23"/>
      <c r="BO119" s="23"/>
      <c r="BP119" s="23"/>
      <c r="BQ119" s="23"/>
      <c r="BR119" s="23"/>
      <c r="BS119" s="23"/>
      <c r="BT119" s="23"/>
      <c r="BU119" s="23"/>
      <c r="BV119" s="23"/>
      <c r="BW119" s="23"/>
      <c r="BX119" s="23"/>
      <c r="BY119" s="23"/>
      <c r="BZ119" s="197"/>
      <c r="CA119" s="23"/>
      <c r="CB119" s="197"/>
      <c r="CC119" s="61"/>
      <c r="CD119" s="2136"/>
      <c r="CE119" s="43"/>
    </row>
    <row r="120" spans="2:83" ht="14.25" customHeight="1" x14ac:dyDescent="0.25">
      <c r="B120" s="2118"/>
      <c r="C120" s="50"/>
      <c r="D120" s="1211" t="s">
        <v>18</v>
      </c>
      <c r="E120" s="23"/>
      <c r="F120" s="23"/>
      <c r="G120" s="23"/>
      <c r="H120" s="23"/>
      <c r="I120" s="23"/>
      <c r="J120" s="23"/>
      <c r="K120" s="23"/>
      <c r="L120" s="23"/>
      <c r="M120" s="23"/>
      <c r="N120" s="23"/>
      <c r="O120" s="23"/>
      <c r="P120" s="23"/>
      <c r="Q120" s="23"/>
      <c r="R120" s="200"/>
      <c r="S120" s="200"/>
      <c r="T120" s="23"/>
      <c r="V120" s="23"/>
      <c r="W120" s="23"/>
      <c r="X120" s="23"/>
      <c r="Y120" s="23"/>
      <c r="Z120" s="23"/>
      <c r="AA120" s="23"/>
      <c r="AB120" s="23"/>
      <c r="AC120" s="23"/>
      <c r="AD120" s="23"/>
      <c r="AE120" s="23"/>
      <c r="AF120" s="23"/>
      <c r="AG120" s="23"/>
      <c r="AH120" s="200"/>
      <c r="AI120" s="200"/>
      <c r="AJ120" s="201"/>
      <c r="AK120" s="200"/>
      <c r="AL120" s="201"/>
      <c r="AM120" s="61"/>
      <c r="AN120" s="2137"/>
      <c r="AO120" s="183"/>
      <c r="AP120" s="2137"/>
      <c r="AQ120" s="50"/>
      <c r="AR120" s="3366" t="s">
        <v>17</v>
      </c>
      <c r="AS120" s="3366"/>
      <c r="AT120" s="3366"/>
      <c r="AU120" s="23"/>
      <c r="AV120" s="23"/>
      <c r="AW120" s="23"/>
      <c r="AX120" s="23"/>
      <c r="AY120" s="23"/>
      <c r="AZ120" s="23"/>
      <c r="BA120" s="23"/>
      <c r="BB120" s="23"/>
      <c r="BC120" s="23"/>
      <c r="BD120" s="23"/>
      <c r="BE120" s="23"/>
      <c r="BF120" s="23"/>
      <c r="BG120" s="23"/>
      <c r="BH120" s="200"/>
      <c r="BI120" s="200"/>
      <c r="BJ120" s="23"/>
      <c r="BL120" s="23"/>
      <c r="BM120" s="23"/>
      <c r="BN120" s="23"/>
      <c r="BO120" s="23"/>
      <c r="BP120" s="23"/>
      <c r="BQ120" s="23"/>
      <c r="BR120" s="23"/>
      <c r="BS120" s="23"/>
      <c r="BT120" s="23"/>
      <c r="BU120" s="23"/>
      <c r="BV120" s="23"/>
      <c r="BW120" s="23"/>
      <c r="BX120" s="200"/>
      <c r="BY120" s="200"/>
      <c r="BZ120" s="201"/>
      <c r="CA120" s="200"/>
      <c r="CB120" s="201"/>
      <c r="CC120" s="61"/>
      <c r="CD120" s="2136"/>
      <c r="CE120" s="43"/>
    </row>
    <row r="121" spans="2:83" ht="14.25" customHeight="1" x14ac:dyDescent="0.25">
      <c r="B121" s="2118"/>
      <c r="C121" s="50"/>
      <c r="D121" s="1212" t="s">
        <v>15</v>
      </c>
      <c r="E121" s="23"/>
      <c r="F121" s="23"/>
      <c r="G121" s="23"/>
      <c r="H121" s="23"/>
      <c r="I121" s="23"/>
      <c r="J121" s="23"/>
      <c r="K121" s="23"/>
      <c r="L121" s="23"/>
      <c r="M121" s="23"/>
      <c r="N121" s="23"/>
      <c r="O121" s="23"/>
      <c r="P121" s="23"/>
      <c r="Q121" s="23"/>
      <c r="R121" s="204"/>
      <c r="S121" s="204"/>
      <c r="T121" s="23"/>
      <c r="U121" s="55"/>
      <c r="V121" s="23"/>
      <c r="W121" s="23"/>
      <c r="X121" s="23"/>
      <c r="Y121" s="23"/>
      <c r="Z121" s="23"/>
      <c r="AA121" s="23"/>
      <c r="AB121" s="23"/>
      <c r="AC121" s="23"/>
      <c r="AD121" s="23"/>
      <c r="AE121" s="23"/>
      <c r="AF121" s="23"/>
      <c r="AG121" s="23"/>
      <c r="AH121" s="204"/>
      <c r="AI121" s="204"/>
      <c r="AJ121" s="59"/>
      <c r="AK121" s="204"/>
      <c r="AL121" s="59"/>
      <c r="AM121" s="61"/>
      <c r="AN121" s="2137"/>
      <c r="AO121" s="183"/>
      <c r="AP121" s="2137"/>
      <c r="AQ121" s="50"/>
      <c r="AR121" s="3365" t="s">
        <v>19</v>
      </c>
      <c r="AS121" s="3365"/>
      <c r="AT121" s="3365"/>
      <c r="AU121" s="23"/>
      <c r="AV121" s="23"/>
      <c r="AW121" s="23"/>
      <c r="AX121" s="23"/>
      <c r="AY121" s="23"/>
      <c r="AZ121" s="23"/>
      <c r="BA121" s="23"/>
      <c r="BB121" s="23"/>
      <c r="BC121" s="23"/>
      <c r="BD121" s="23"/>
      <c r="BE121" s="23"/>
      <c r="BF121" s="23"/>
      <c r="BG121" s="23"/>
      <c r="BH121" s="204"/>
      <c r="BI121" s="204"/>
      <c r="BJ121" s="23"/>
      <c r="BK121" s="55"/>
      <c r="BL121" s="23"/>
      <c r="BM121" s="23"/>
      <c r="BN121" s="23"/>
      <c r="BO121" s="23"/>
      <c r="BP121" s="23"/>
      <c r="BQ121" s="23"/>
      <c r="BR121" s="23"/>
      <c r="BS121" s="23"/>
      <c r="BT121" s="23"/>
      <c r="BU121" s="23"/>
      <c r="BV121" s="23"/>
      <c r="BW121" s="23"/>
      <c r="BX121" s="204"/>
      <c r="BY121" s="204"/>
      <c r="BZ121" s="59"/>
      <c r="CA121" s="204"/>
      <c r="CB121" s="59"/>
      <c r="CC121" s="61"/>
      <c r="CD121" s="2136"/>
      <c r="CE121" s="43"/>
    </row>
    <row r="122" spans="2:83" ht="14.25" customHeight="1" x14ac:dyDescent="0.25">
      <c r="B122" s="2118"/>
      <c r="C122" s="50"/>
      <c r="D122" s="206" t="s">
        <v>16</v>
      </c>
      <c r="E122" s="207"/>
      <c r="F122" s="207"/>
      <c r="G122" s="207"/>
      <c r="H122" s="207"/>
      <c r="I122" s="207"/>
      <c r="J122" s="207"/>
      <c r="K122" s="207"/>
      <c r="L122" s="207"/>
      <c r="M122" s="207"/>
      <c r="N122" s="207"/>
      <c r="O122" s="207"/>
      <c r="P122" s="207"/>
      <c r="Q122" s="207"/>
      <c r="R122" s="207"/>
      <c r="S122" s="207"/>
      <c r="T122" s="207"/>
      <c r="U122" s="208"/>
      <c r="V122" s="207"/>
      <c r="W122" s="207"/>
      <c r="X122" s="207"/>
      <c r="Y122" s="207"/>
      <c r="Z122" s="207"/>
      <c r="AA122" s="207"/>
      <c r="AB122" s="207"/>
      <c r="AC122" s="207"/>
      <c r="AD122" s="207"/>
      <c r="AE122" s="207"/>
      <c r="AF122" s="207"/>
      <c r="AG122" s="207"/>
      <c r="AH122" s="207"/>
      <c r="AI122" s="207"/>
      <c r="AJ122" s="208"/>
      <c r="AK122" s="207"/>
      <c r="AL122" s="208"/>
      <c r="AM122" s="61"/>
      <c r="AN122" s="2137"/>
      <c r="AO122" s="183"/>
      <c r="AP122" s="2137"/>
      <c r="AQ122" s="50"/>
      <c r="AR122" s="3364" t="s">
        <v>13</v>
      </c>
      <c r="AS122" s="3364"/>
      <c r="AT122" s="3364"/>
      <c r="AU122" s="454"/>
      <c r="AV122" s="454"/>
      <c r="AW122" s="454"/>
      <c r="AX122" s="454"/>
      <c r="AY122" s="454"/>
      <c r="AZ122" s="454"/>
      <c r="BA122" s="454"/>
      <c r="BB122" s="454"/>
      <c r="BC122" s="454"/>
      <c r="BD122" s="454"/>
      <c r="BE122" s="454"/>
      <c r="BF122" s="454"/>
      <c r="BG122" s="454"/>
      <c r="BH122" s="454"/>
      <c r="BI122" s="454"/>
      <c r="BJ122" s="454"/>
      <c r="BK122" s="455"/>
      <c r="BL122" s="454"/>
      <c r="BM122" s="454"/>
      <c r="BN122" s="454"/>
      <c r="BO122" s="454"/>
      <c r="BP122" s="454"/>
      <c r="BQ122" s="454"/>
      <c r="BR122" s="454"/>
      <c r="BS122" s="454"/>
      <c r="BT122" s="454"/>
      <c r="BU122" s="454"/>
      <c r="BV122" s="454"/>
      <c r="BW122" s="454"/>
      <c r="BX122" s="454"/>
      <c r="BY122" s="454"/>
      <c r="BZ122" s="455"/>
      <c r="CA122" s="454"/>
      <c r="CB122" s="455"/>
      <c r="CC122" s="61"/>
      <c r="CD122" s="2136"/>
      <c r="CE122" s="43"/>
    </row>
    <row r="123" spans="2:83" ht="4.5" customHeight="1" x14ac:dyDescent="0.25">
      <c r="B123" s="2118"/>
      <c r="C123" s="50"/>
      <c r="D123" s="3309"/>
      <c r="E123" s="3309"/>
      <c r="F123" s="472"/>
      <c r="G123" s="474"/>
      <c r="H123" s="472"/>
      <c r="I123" s="474"/>
      <c r="J123" s="472"/>
      <c r="K123" s="474"/>
      <c r="L123" s="472"/>
      <c r="M123" s="474"/>
      <c r="N123" s="472"/>
      <c r="O123" s="474"/>
      <c r="P123" s="472"/>
      <c r="Q123" s="474"/>
      <c r="R123" s="472"/>
      <c r="S123" s="475"/>
      <c r="T123" s="472"/>
      <c r="V123" s="472"/>
      <c r="W123" s="474"/>
      <c r="X123" s="472"/>
      <c r="Y123" s="474"/>
      <c r="Z123" s="472"/>
      <c r="AA123" s="474"/>
      <c r="AB123" s="472"/>
      <c r="AC123" s="474"/>
      <c r="AD123" s="472"/>
      <c r="AE123" s="474"/>
      <c r="AF123" s="472"/>
      <c r="AG123" s="474"/>
      <c r="AH123" s="472"/>
      <c r="AI123" s="475"/>
      <c r="AJ123" s="473"/>
      <c r="AK123" s="475"/>
      <c r="AL123" s="476"/>
      <c r="AM123" s="210"/>
      <c r="AN123" s="2138"/>
      <c r="AO123" s="212"/>
      <c r="AP123" s="2138"/>
      <c r="AQ123" s="213"/>
      <c r="AR123" s="3310"/>
      <c r="AS123" s="3310"/>
      <c r="AT123" s="3310"/>
      <c r="AU123" s="3310"/>
      <c r="AV123" s="23"/>
      <c r="AW123" s="209"/>
      <c r="AX123" s="23"/>
      <c r="AY123" s="209"/>
      <c r="AZ123" s="23"/>
      <c r="BA123" s="209"/>
      <c r="BB123" s="23"/>
      <c r="BC123" s="209"/>
      <c r="BD123" s="23"/>
      <c r="BE123" s="209"/>
      <c r="BF123" s="23"/>
      <c r="BG123" s="209"/>
      <c r="BH123" s="23"/>
      <c r="BI123" s="26"/>
      <c r="BJ123" s="23"/>
      <c r="BL123" s="23"/>
      <c r="BM123" s="209"/>
      <c r="BN123" s="23"/>
      <c r="BO123" s="209"/>
      <c r="BP123" s="23"/>
      <c r="BQ123" s="209"/>
      <c r="BR123" s="23"/>
      <c r="BS123" s="209"/>
      <c r="BT123" s="23"/>
      <c r="BU123" s="209"/>
      <c r="BV123" s="23"/>
      <c r="BW123" s="209"/>
      <c r="BX123" s="23"/>
      <c r="BY123" s="26"/>
      <c r="BZ123" s="59"/>
      <c r="CA123" s="26"/>
      <c r="CB123" s="186"/>
      <c r="CC123" s="61"/>
      <c r="CD123" s="2136"/>
      <c r="CE123" s="43"/>
    </row>
    <row r="124" spans="2:83" ht="33" customHeight="1" x14ac:dyDescent="0.25">
      <c r="B124" s="2118"/>
      <c r="C124" s="50"/>
      <c r="D124" s="3377" t="s">
        <v>153</v>
      </c>
      <c r="E124" s="3377"/>
      <c r="F124" s="3316" t="s">
        <v>26</v>
      </c>
      <c r="G124" s="209"/>
      <c r="H124" s="3316" t="s">
        <v>29</v>
      </c>
      <c r="I124" s="209"/>
      <c r="J124" s="3316" t="s">
        <v>28</v>
      </c>
      <c r="K124" s="209"/>
      <c r="L124" s="3316" t="s">
        <v>27</v>
      </c>
      <c r="M124" s="209"/>
      <c r="N124" s="3316" t="s">
        <v>30</v>
      </c>
      <c r="O124" s="209"/>
      <c r="P124" s="3316" t="s">
        <v>31</v>
      </c>
      <c r="Q124" s="209"/>
      <c r="R124" s="3316" t="s">
        <v>25</v>
      </c>
      <c r="S124" s="26"/>
      <c r="T124" s="3317" t="s">
        <v>37</v>
      </c>
      <c r="V124" s="3316" t="s">
        <v>26</v>
      </c>
      <c r="W124" s="209"/>
      <c r="X124" s="3316" t="s">
        <v>29</v>
      </c>
      <c r="Y124" s="209"/>
      <c r="Z124" s="3316" t="s">
        <v>28</v>
      </c>
      <c r="AA124" s="209"/>
      <c r="AB124" s="3316" t="s">
        <v>27</v>
      </c>
      <c r="AC124" s="209"/>
      <c r="AD124" s="3316" t="s">
        <v>30</v>
      </c>
      <c r="AE124" s="209"/>
      <c r="AF124" s="3316" t="s">
        <v>31</v>
      </c>
      <c r="AG124" s="209"/>
      <c r="AH124" s="3316" t="s">
        <v>25</v>
      </c>
      <c r="AI124" s="26"/>
      <c r="AJ124" s="3317" t="s">
        <v>37</v>
      </c>
      <c r="AK124" s="26"/>
      <c r="AL124" s="186"/>
      <c r="AM124" s="210"/>
      <c r="AN124" s="2138"/>
      <c r="AO124" s="212"/>
      <c r="AP124" s="2138"/>
      <c r="AQ124" s="213"/>
      <c r="AR124" s="3377" t="s">
        <v>153</v>
      </c>
      <c r="AS124" s="3377"/>
      <c r="AT124" s="3377"/>
      <c r="AU124" s="3377"/>
      <c r="AV124" s="3378" t="s">
        <v>26</v>
      </c>
      <c r="AW124" s="209"/>
      <c r="AX124" s="3316" t="s">
        <v>29</v>
      </c>
      <c r="AY124" s="209"/>
      <c r="AZ124" s="3316" t="s">
        <v>28</v>
      </c>
      <c r="BA124" s="209"/>
      <c r="BB124" s="3316" t="s">
        <v>27</v>
      </c>
      <c r="BC124" s="209"/>
      <c r="BD124" s="3316" t="s">
        <v>30</v>
      </c>
      <c r="BE124" s="209"/>
      <c r="BF124" s="3316" t="s">
        <v>31</v>
      </c>
      <c r="BG124" s="209"/>
      <c r="BH124" s="3316" t="s">
        <v>25</v>
      </c>
      <c r="BI124" s="26"/>
      <c r="BJ124" s="3317" t="s">
        <v>37</v>
      </c>
      <c r="BL124" s="3316" t="s">
        <v>26</v>
      </c>
      <c r="BM124" s="209"/>
      <c r="BN124" s="3316" t="s">
        <v>29</v>
      </c>
      <c r="BO124" s="209"/>
      <c r="BP124" s="3316" t="s">
        <v>28</v>
      </c>
      <c r="BQ124" s="209"/>
      <c r="BR124" s="3316" t="s">
        <v>27</v>
      </c>
      <c r="BS124" s="209"/>
      <c r="BT124" s="3316" t="s">
        <v>30</v>
      </c>
      <c r="BU124" s="209"/>
      <c r="BV124" s="3316" t="s">
        <v>31</v>
      </c>
      <c r="BW124" s="209"/>
      <c r="BX124" s="3316" t="s">
        <v>25</v>
      </c>
      <c r="BY124" s="26"/>
      <c r="BZ124" s="3317" t="s">
        <v>37</v>
      </c>
      <c r="CA124" s="26"/>
      <c r="CB124" s="186"/>
      <c r="CC124" s="61"/>
      <c r="CD124" s="2136"/>
      <c r="CE124" s="43"/>
    </row>
    <row r="125" spans="2:83" ht="20.25" customHeight="1" x14ac:dyDescent="0.25">
      <c r="B125" s="2118"/>
      <c r="C125" s="50"/>
      <c r="D125" s="3377"/>
      <c r="E125" s="3377"/>
      <c r="F125" s="3316"/>
      <c r="G125" s="209"/>
      <c r="H125" s="3316"/>
      <c r="I125" s="209"/>
      <c r="J125" s="3316"/>
      <c r="K125" s="209"/>
      <c r="L125" s="3316"/>
      <c r="M125" s="209"/>
      <c r="N125" s="3316"/>
      <c r="O125" s="209"/>
      <c r="P125" s="3316"/>
      <c r="Q125" s="209"/>
      <c r="R125" s="3316"/>
      <c r="S125" s="26"/>
      <c r="T125" s="3317"/>
      <c r="V125" s="3316"/>
      <c r="W125" s="209"/>
      <c r="X125" s="3316"/>
      <c r="Y125" s="209"/>
      <c r="Z125" s="3316"/>
      <c r="AA125" s="209"/>
      <c r="AB125" s="3316"/>
      <c r="AC125" s="209"/>
      <c r="AD125" s="3316"/>
      <c r="AE125" s="209"/>
      <c r="AF125" s="3316"/>
      <c r="AG125" s="209"/>
      <c r="AH125" s="3316"/>
      <c r="AI125" s="26"/>
      <c r="AJ125" s="3317"/>
      <c r="AK125" s="26"/>
      <c r="AL125" s="186"/>
      <c r="AM125" s="210"/>
      <c r="AN125" s="2138"/>
      <c r="AO125" s="212"/>
      <c r="AP125" s="2138"/>
      <c r="AQ125" s="213"/>
      <c r="AR125" s="3377"/>
      <c r="AS125" s="3377"/>
      <c r="AT125" s="3377"/>
      <c r="AU125" s="3377"/>
      <c r="AV125" s="3378"/>
      <c r="AW125" s="209"/>
      <c r="AX125" s="3316"/>
      <c r="AY125" s="209"/>
      <c r="AZ125" s="3316"/>
      <c r="BA125" s="209"/>
      <c r="BB125" s="3316"/>
      <c r="BC125" s="209"/>
      <c r="BD125" s="3316"/>
      <c r="BE125" s="209"/>
      <c r="BF125" s="3316"/>
      <c r="BG125" s="209"/>
      <c r="BH125" s="3316"/>
      <c r="BI125" s="26"/>
      <c r="BJ125" s="3317"/>
      <c r="BL125" s="3316"/>
      <c r="BM125" s="209"/>
      <c r="BN125" s="3316"/>
      <c r="BO125" s="209"/>
      <c r="BP125" s="3316"/>
      <c r="BQ125" s="209"/>
      <c r="BR125" s="3316"/>
      <c r="BS125" s="209"/>
      <c r="BT125" s="3316"/>
      <c r="BU125" s="209"/>
      <c r="BV125" s="3316"/>
      <c r="BW125" s="209"/>
      <c r="BX125" s="3316"/>
      <c r="BY125" s="26"/>
      <c r="BZ125" s="3317"/>
      <c r="CA125" s="26"/>
      <c r="CB125" s="186"/>
      <c r="CC125" s="61"/>
      <c r="CD125" s="2136"/>
      <c r="CE125" s="43"/>
    </row>
    <row r="126" spans="2:83" ht="6.75" customHeight="1" x14ac:dyDescent="0.25">
      <c r="B126" s="2118"/>
      <c r="C126" s="50"/>
      <c r="D126" s="3384"/>
      <c r="E126" s="3384"/>
      <c r="F126" s="3316"/>
      <c r="G126" s="209"/>
      <c r="H126" s="3316"/>
      <c r="I126" s="209"/>
      <c r="J126" s="3316"/>
      <c r="K126" s="209"/>
      <c r="L126" s="3316"/>
      <c r="M126" s="209"/>
      <c r="N126" s="3316"/>
      <c r="O126" s="209"/>
      <c r="P126" s="3316"/>
      <c r="Q126" s="209"/>
      <c r="R126" s="3316"/>
      <c r="S126" s="26"/>
      <c r="T126" s="3317"/>
      <c r="V126" s="3316"/>
      <c r="W126" s="209"/>
      <c r="X126" s="3316"/>
      <c r="Y126" s="209"/>
      <c r="Z126" s="3316"/>
      <c r="AA126" s="209"/>
      <c r="AB126" s="3316"/>
      <c r="AC126" s="209"/>
      <c r="AD126" s="3316"/>
      <c r="AE126" s="209"/>
      <c r="AF126" s="3316"/>
      <c r="AG126" s="209"/>
      <c r="AH126" s="3316"/>
      <c r="AI126" s="26"/>
      <c r="AJ126" s="3317"/>
      <c r="AK126" s="26"/>
      <c r="AL126" s="186"/>
      <c r="AM126" s="210"/>
      <c r="AN126" s="2138"/>
      <c r="AO126" s="212"/>
      <c r="AP126" s="2138"/>
      <c r="AQ126" s="213"/>
      <c r="AR126" s="3310"/>
      <c r="AS126" s="3310"/>
      <c r="AT126" s="3310"/>
      <c r="AU126" s="3310"/>
      <c r="AV126" s="3378"/>
      <c r="AW126" s="209"/>
      <c r="AX126" s="3316"/>
      <c r="AY126" s="209"/>
      <c r="AZ126" s="3316"/>
      <c r="BA126" s="209"/>
      <c r="BB126" s="3316"/>
      <c r="BC126" s="209"/>
      <c r="BD126" s="3316"/>
      <c r="BE126" s="209"/>
      <c r="BF126" s="3316"/>
      <c r="BG126" s="209"/>
      <c r="BH126" s="3316"/>
      <c r="BI126" s="26"/>
      <c r="BJ126" s="3317"/>
      <c r="BL126" s="3316"/>
      <c r="BM126" s="209"/>
      <c r="BN126" s="3316"/>
      <c r="BO126" s="209"/>
      <c r="BP126" s="3316"/>
      <c r="BQ126" s="209"/>
      <c r="BR126" s="3316"/>
      <c r="BS126" s="209"/>
      <c r="BT126" s="3316"/>
      <c r="BU126" s="209"/>
      <c r="BV126" s="3316"/>
      <c r="BW126" s="209"/>
      <c r="BX126" s="3316"/>
      <c r="BY126" s="26"/>
      <c r="BZ126" s="3317"/>
      <c r="CA126" s="26"/>
      <c r="CB126" s="186"/>
      <c r="CC126" s="61"/>
      <c r="CD126" s="2136"/>
      <c r="CE126" s="43"/>
    </row>
    <row r="127" spans="2:83" ht="5.25" customHeight="1" x14ac:dyDescent="0.25">
      <c r="B127" s="2118"/>
      <c r="C127" s="91"/>
      <c r="D127" s="214"/>
      <c r="E127" s="215"/>
      <c r="F127" s="216"/>
      <c r="G127" s="217"/>
      <c r="H127" s="218"/>
      <c r="I127" s="217"/>
      <c r="J127" s="218"/>
      <c r="K127" s="217"/>
      <c r="L127" s="218"/>
      <c r="M127" s="217"/>
      <c r="N127" s="218"/>
      <c r="O127" s="217"/>
      <c r="P127" s="218"/>
      <c r="Q127" s="217"/>
      <c r="R127" s="218"/>
      <c r="S127" s="214"/>
      <c r="T127" s="92"/>
      <c r="U127" s="92"/>
      <c r="V127" s="219"/>
      <c r="W127" s="163"/>
      <c r="X127" s="220"/>
      <c r="Y127" s="163"/>
      <c r="Z127" s="220"/>
      <c r="AA127" s="163"/>
      <c r="AB127" s="220"/>
      <c r="AC127" s="163"/>
      <c r="AD127" s="220"/>
      <c r="AE127" s="163"/>
      <c r="AF127" s="220"/>
      <c r="AG127" s="163"/>
      <c r="AH127" s="220"/>
      <c r="AI127" s="214"/>
      <c r="AJ127" s="92"/>
      <c r="AK127" s="214"/>
      <c r="AL127" s="92"/>
      <c r="AM127" s="93"/>
      <c r="AN127" s="2137"/>
      <c r="AO127" s="183"/>
      <c r="AP127" s="2137"/>
      <c r="AQ127" s="91"/>
      <c r="AR127" s="92"/>
      <c r="AS127" s="214"/>
      <c r="AT127" s="214"/>
      <c r="AU127" s="215"/>
      <c r="AV127" s="216"/>
      <c r="AW127" s="217"/>
      <c r="AX127" s="218"/>
      <c r="AY127" s="217"/>
      <c r="AZ127" s="218"/>
      <c r="BA127" s="217"/>
      <c r="BB127" s="218"/>
      <c r="BC127" s="217"/>
      <c r="BD127" s="218"/>
      <c r="BE127" s="217"/>
      <c r="BF127" s="218"/>
      <c r="BG127" s="217"/>
      <c r="BH127" s="218"/>
      <c r="BI127" s="214"/>
      <c r="BJ127" s="92"/>
      <c r="BK127" s="92"/>
      <c r="BL127" s="219"/>
      <c r="BM127" s="163"/>
      <c r="BN127" s="220"/>
      <c r="BO127" s="163"/>
      <c r="BP127" s="220"/>
      <c r="BQ127" s="163"/>
      <c r="BR127" s="220"/>
      <c r="BS127" s="163"/>
      <c r="BT127" s="220"/>
      <c r="BU127" s="163"/>
      <c r="BV127" s="220"/>
      <c r="BW127" s="163"/>
      <c r="BX127" s="220"/>
      <c r="BY127" s="214"/>
      <c r="BZ127" s="92"/>
      <c r="CA127" s="214"/>
      <c r="CB127" s="92"/>
      <c r="CC127" s="93"/>
      <c r="CD127" s="2136"/>
      <c r="CE127" s="43"/>
    </row>
    <row r="128" spans="2:83" ht="12" customHeight="1" x14ac:dyDescent="0.25">
      <c r="B128" s="2120"/>
      <c r="C128" s="2127"/>
      <c r="D128" s="2127"/>
      <c r="E128" s="2127"/>
      <c r="F128" s="2127"/>
      <c r="G128" s="2127"/>
      <c r="H128" s="2127"/>
      <c r="I128" s="2127"/>
      <c r="J128" s="2127"/>
      <c r="K128" s="2127"/>
      <c r="L128" s="2127"/>
      <c r="M128" s="2127"/>
      <c r="N128" s="2127"/>
      <c r="O128" s="2127"/>
      <c r="P128" s="2127"/>
      <c r="Q128" s="2127"/>
      <c r="R128" s="2127"/>
      <c r="S128" s="2127"/>
      <c r="T128" s="2127"/>
      <c r="U128" s="2127"/>
      <c r="V128" s="2127"/>
      <c r="W128" s="2127"/>
      <c r="X128" s="2127"/>
      <c r="Y128" s="2127"/>
      <c r="Z128" s="2127"/>
      <c r="AA128" s="2127"/>
      <c r="AB128" s="2127"/>
      <c r="AC128" s="2127"/>
      <c r="AD128" s="2127"/>
      <c r="AE128" s="2127"/>
      <c r="AF128" s="2127"/>
      <c r="AG128" s="2127"/>
      <c r="AH128" s="2127"/>
      <c r="AI128" s="2127"/>
      <c r="AJ128" s="2127"/>
      <c r="AK128" s="2127"/>
      <c r="AL128" s="2127"/>
      <c r="AM128" s="2127"/>
      <c r="AN128" s="2127"/>
      <c r="AO128" s="183"/>
      <c r="AP128" s="2127"/>
      <c r="AQ128" s="2127"/>
      <c r="AR128" s="2127"/>
      <c r="AS128" s="2127"/>
      <c r="AT128" s="2127"/>
      <c r="AU128" s="2127"/>
      <c r="AV128" s="2127"/>
      <c r="AW128" s="2127"/>
      <c r="AX128" s="2127"/>
      <c r="AY128" s="2127"/>
      <c r="AZ128" s="2127"/>
      <c r="BA128" s="2127"/>
      <c r="BB128" s="2127"/>
      <c r="BC128" s="2127"/>
      <c r="BD128" s="2127"/>
      <c r="BE128" s="2127"/>
      <c r="BF128" s="2127"/>
      <c r="BG128" s="2127"/>
      <c r="BH128" s="2127"/>
      <c r="BI128" s="2127"/>
      <c r="BJ128" s="2127"/>
      <c r="BK128" s="2127"/>
      <c r="BL128" s="2127"/>
      <c r="BM128" s="2127"/>
      <c r="BN128" s="2127"/>
      <c r="BO128" s="2127"/>
      <c r="BP128" s="2127"/>
      <c r="BQ128" s="2127"/>
      <c r="BR128" s="2127"/>
      <c r="BS128" s="2127"/>
      <c r="BT128" s="2127"/>
      <c r="BU128" s="2127"/>
      <c r="BV128" s="2127"/>
      <c r="BW128" s="2127"/>
      <c r="BX128" s="2127"/>
      <c r="BY128" s="2127"/>
      <c r="BZ128" s="2127"/>
      <c r="CA128" s="2127"/>
      <c r="CB128" s="2127"/>
      <c r="CC128" s="2127"/>
      <c r="CD128" s="2131"/>
      <c r="CE128" s="43"/>
    </row>
    <row r="129" spans="2:83" ht="12.75" customHeight="1" x14ac:dyDescent="0.25">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c r="CA129" s="59"/>
      <c r="CB129" s="59"/>
      <c r="CC129" s="59"/>
      <c r="CD129" s="59"/>
      <c r="CE129" s="59"/>
    </row>
    <row r="130" spans="2:83" ht="22.5" customHeight="1" x14ac:dyDescent="0.25">
      <c r="B130" s="2112"/>
      <c r="C130" s="2113" t="s">
        <v>23</v>
      </c>
      <c r="D130" s="2114"/>
      <c r="E130" s="2114"/>
      <c r="F130" s="2114"/>
      <c r="G130" s="2114"/>
      <c r="H130" s="2114"/>
      <c r="I130" s="2114"/>
      <c r="J130" s="2114"/>
      <c r="K130" s="2114"/>
      <c r="L130" s="2114"/>
      <c r="M130" s="2114"/>
      <c r="N130" s="2114"/>
      <c r="O130" s="2114"/>
      <c r="P130" s="2114"/>
      <c r="Q130" s="2114"/>
      <c r="R130" s="2114"/>
      <c r="S130" s="2114"/>
      <c r="T130" s="2114"/>
      <c r="U130" s="2114"/>
      <c r="V130" s="2114"/>
      <c r="W130" s="2114"/>
      <c r="X130" s="2114"/>
      <c r="Y130" s="2114"/>
      <c r="Z130" s="2114"/>
      <c r="AA130" s="2114"/>
      <c r="AB130" s="2114"/>
      <c r="AC130" s="2114"/>
      <c r="AD130" s="2114"/>
      <c r="AE130" s="2114"/>
      <c r="AF130" s="2114"/>
      <c r="AG130" s="2114"/>
      <c r="AH130" s="2114"/>
      <c r="AI130" s="2114"/>
      <c r="AJ130" s="2114"/>
      <c r="AK130" s="2114"/>
      <c r="AL130" s="2114"/>
      <c r="AM130" s="2114"/>
      <c r="AN130" s="2114"/>
      <c r="AO130" s="2114"/>
      <c r="AP130" s="2114"/>
      <c r="AQ130" s="2115"/>
      <c r="AR130" s="2115"/>
      <c r="AS130" s="2114"/>
      <c r="AT130" s="2114"/>
      <c r="AU130" s="2114"/>
      <c r="AV130" s="2114"/>
      <c r="AW130" s="2114"/>
      <c r="AX130" s="2114"/>
      <c r="AY130" s="2114"/>
      <c r="AZ130" s="2114"/>
      <c r="BA130" s="2114"/>
      <c r="BB130" s="2114"/>
      <c r="BC130" s="2114"/>
      <c r="BD130" s="2114"/>
      <c r="BE130" s="2114"/>
      <c r="BF130" s="2114"/>
      <c r="BG130" s="2114"/>
      <c r="BH130" s="2114"/>
      <c r="BI130" s="2114"/>
      <c r="BJ130" s="2114"/>
      <c r="BK130" s="2114"/>
      <c r="BL130" s="2114"/>
      <c r="BM130" s="2114"/>
      <c r="BN130" s="2114"/>
      <c r="BO130" s="2114"/>
      <c r="BP130" s="2114"/>
      <c r="BQ130" s="2114"/>
      <c r="BR130" s="2114"/>
      <c r="BS130" s="2114"/>
      <c r="BT130" s="2114"/>
      <c r="BU130" s="2114"/>
      <c r="BV130" s="2114"/>
      <c r="BW130" s="2114"/>
      <c r="BX130" s="2112"/>
      <c r="BY130" s="2112"/>
      <c r="BZ130" s="2116"/>
      <c r="CA130" s="2112"/>
      <c r="CB130" s="3449"/>
      <c r="CC130" s="3449"/>
      <c r="CD130" s="2114"/>
    </row>
    <row r="131" spans="2:83" ht="6.75" customHeight="1" x14ac:dyDescent="0.25"/>
    <row r="132" spans="2:83" ht="12" customHeight="1" x14ac:dyDescent="0.25">
      <c r="B132" s="2117"/>
      <c r="C132" s="2121"/>
      <c r="D132" s="2121"/>
      <c r="E132" s="2121"/>
      <c r="F132" s="2121"/>
      <c r="G132" s="2121"/>
      <c r="H132" s="2121"/>
      <c r="I132" s="2121"/>
      <c r="J132" s="2121"/>
      <c r="K132" s="2121"/>
      <c r="L132" s="2121"/>
      <c r="M132" s="2121"/>
      <c r="N132" s="2121"/>
      <c r="O132" s="2121"/>
      <c r="P132" s="2121"/>
      <c r="Q132" s="2121"/>
      <c r="R132" s="2121"/>
      <c r="S132" s="2121"/>
      <c r="T132" s="2121"/>
      <c r="U132" s="2121"/>
      <c r="V132" s="2121"/>
      <c r="W132" s="2121"/>
      <c r="X132" s="2121"/>
      <c r="Y132" s="2121"/>
      <c r="Z132" s="2121"/>
      <c r="AA132" s="2121"/>
      <c r="AB132" s="2121"/>
      <c r="AC132" s="2121"/>
      <c r="AD132" s="2121"/>
      <c r="AE132" s="2121"/>
      <c r="AF132" s="2121"/>
      <c r="AG132" s="2121"/>
      <c r="AH132" s="2121"/>
      <c r="AI132" s="2121"/>
      <c r="AJ132" s="2121"/>
      <c r="AK132" s="2121"/>
      <c r="AL132" s="2121"/>
      <c r="AM132" s="2121"/>
      <c r="AN132" s="2121"/>
      <c r="AO132" s="2121"/>
      <c r="AP132" s="2121"/>
      <c r="AQ132" s="2121"/>
      <c r="AR132" s="2121"/>
      <c r="AS132" s="2121"/>
      <c r="AT132" s="2121"/>
      <c r="AU132" s="2121"/>
      <c r="AV132" s="2121"/>
      <c r="AW132" s="2121"/>
      <c r="AX132" s="2121"/>
      <c r="AY132" s="2121"/>
      <c r="AZ132" s="2121"/>
      <c r="BA132" s="2121"/>
      <c r="BB132" s="2121"/>
      <c r="BC132" s="2121"/>
      <c r="BD132" s="2121"/>
      <c r="BE132" s="2121"/>
      <c r="BF132" s="2121"/>
      <c r="BG132" s="2121"/>
      <c r="BH132" s="2121"/>
      <c r="BI132" s="2121"/>
      <c r="BJ132" s="2121"/>
      <c r="BK132" s="2121"/>
      <c r="BL132" s="2121"/>
      <c r="BM132" s="2121"/>
      <c r="BN132" s="2121"/>
      <c r="BO132" s="2121"/>
      <c r="BP132" s="2121"/>
      <c r="BQ132" s="2121"/>
      <c r="BR132" s="2121"/>
      <c r="BS132" s="2121"/>
      <c r="BT132" s="2121"/>
      <c r="BU132" s="2121"/>
      <c r="BV132" s="2121"/>
      <c r="BW132" s="2121"/>
      <c r="BX132" s="2121"/>
      <c r="BY132" s="2121"/>
      <c r="BZ132" s="2121"/>
      <c r="CA132" s="2121"/>
      <c r="CB132" s="2121"/>
      <c r="CC132" s="2121"/>
      <c r="CD132" s="2128"/>
      <c r="CE132" s="43"/>
    </row>
    <row r="133" spans="2:83" ht="9.75" customHeight="1" x14ac:dyDescent="0.25">
      <c r="B133" s="2118"/>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7"/>
      <c r="CD133" s="2136"/>
      <c r="CE133" s="43"/>
    </row>
    <row r="134" spans="2:83" ht="15" customHeight="1" x14ac:dyDescent="0.25">
      <c r="B134" s="2118"/>
      <c r="C134" s="50"/>
      <c r="D134" s="3306" t="str">
        <f>IF(ISBLANK('FORMULAIRE PGA Eaux pluviales '!C716)=TRUE,"",'FORMULAIRE PGA Eaux pluviales '!C716)</f>
        <v/>
      </c>
      <c r="E134" s="3306"/>
      <c r="F134" s="3306"/>
      <c r="G134" s="3306"/>
      <c r="H134" s="3306"/>
      <c r="I134" s="3306"/>
      <c r="J134" s="3306"/>
      <c r="K134" s="3306"/>
      <c r="L134" s="3306"/>
      <c r="M134" s="3306"/>
      <c r="N134" s="3306"/>
      <c r="O134" s="3306"/>
      <c r="P134" s="3306"/>
      <c r="Q134" s="3306"/>
      <c r="R134" s="3306"/>
      <c r="S134" s="3306"/>
      <c r="T134" s="3306"/>
      <c r="U134" s="3306"/>
      <c r="V134" s="3306"/>
      <c r="W134" s="3306"/>
      <c r="X134" s="3306"/>
      <c r="Y134" s="3306"/>
      <c r="Z134" s="3306"/>
      <c r="AA134" s="3306"/>
      <c r="AB134" s="3306"/>
      <c r="AC134" s="3306"/>
      <c r="AD134" s="3306"/>
      <c r="AE134" s="3306"/>
      <c r="AF134" s="3306"/>
      <c r="AG134" s="3306"/>
      <c r="AH134" s="3306"/>
      <c r="AI134" s="3306"/>
      <c r="AJ134" s="3306"/>
      <c r="AK134" s="3306"/>
      <c r="AL134" s="3306"/>
      <c r="AM134" s="3306"/>
      <c r="AN134" s="3306"/>
      <c r="AO134" s="3306"/>
      <c r="AP134" s="3306"/>
      <c r="AQ134" s="3306"/>
      <c r="AR134" s="3306"/>
      <c r="AS134" s="3306"/>
      <c r="AT134" s="3306"/>
      <c r="AU134" s="3306"/>
      <c r="AV134" s="3306"/>
      <c r="AW134" s="3306"/>
      <c r="AX134" s="3306"/>
      <c r="AY134" s="3306"/>
      <c r="AZ134" s="3306"/>
      <c r="BA134" s="3306"/>
      <c r="BB134" s="3306"/>
      <c r="BC134" s="3306"/>
      <c r="BD134" s="3306"/>
      <c r="BE134" s="3306"/>
      <c r="BF134" s="3306"/>
      <c r="BG134" s="3306"/>
      <c r="BH134" s="3306"/>
      <c r="BI134" s="3306"/>
      <c r="BJ134" s="3306"/>
      <c r="BK134" s="3306"/>
      <c r="BL134" s="3306"/>
      <c r="BM134" s="3306"/>
      <c r="BN134" s="3306"/>
      <c r="BO134" s="3306"/>
      <c r="BP134" s="3306"/>
      <c r="BQ134" s="3306"/>
      <c r="BR134" s="3306"/>
      <c r="BS134" s="3306"/>
      <c r="BT134" s="3306"/>
      <c r="BU134" s="3306"/>
      <c r="BV134" s="3306"/>
      <c r="BW134" s="3306"/>
      <c r="BX134" s="3306"/>
      <c r="BY134" s="3306"/>
      <c r="BZ134" s="3306"/>
      <c r="CA134" s="3306"/>
      <c r="CB134" s="3306"/>
      <c r="CC134" s="61"/>
      <c r="CD134" s="2136"/>
      <c r="CE134" s="43"/>
    </row>
    <row r="135" spans="2:83" ht="15" customHeight="1" x14ac:dyDescent="0.25">
      <c r="B135" s="2118"/>
      <c r="C135" s="50"/>
      <c r="D135" s="3306"/>
      <c r="E135" s="3306"/>
      <c r="F135" s="3306"/>
      <c r="G135" s="3306"/>
      <c r="H135" s="3306"/>
      <c r="I135" s="3306"/>
      <c r="J135" s="3306"/>
      <c r="K135" s="3306"/>
      <c r="L135" s="3306"/>
      <c r="M135" s="3306"/>
      <c r="N135" s="3306"/>
      <c r="O135" s="3306"/>
      <c r="P135" s="3306"/>
      <c r="Q135" s="3306"/>
      <c r="R135" s="3306"/>
      <c r="S135" s="3306"/>
      <c r="T135" s="3306"/>
      <c r="U135" s="3306"/>
      <c r="V135" s="3306"/>
      <c r="W135" s="3306"/>
      <c r="X135" s="3306"/>
      <c r="Y135" s="3306"/>
      <c r="Z135" s="3306"/>
      <c r="AA135" s="3306"/>
      <c r="AB135" s="3306"/>
      <c r="AC135" s="3306"/>
      <c r="AD135" s="3306"/>
      <c r="AE135" s="3306"/>
      <c r="AF135" s="3306"/>
      <c r="AG135" s="3306"/>
      <c r="AH135" s="3306"/>
      <c r="AI135" s="3306"/>
      <c r="AJ135" s="3306"/>
      <c r="AK135" s="3306"/>
      <c r="AL135" s="3306"/>
      <c r="AM135" s="3306"/>
      <c r="AN135" s="3306"/>
      <c r="AO135" s="3306"/>
      <c r="AP135" s="3306"/>
      <c r="AQ135" s="3306"/>
      <c r="AR135" s="3306"/>
      <c r="AS135" s="3306"/>
      <c r="AT135" s="3306"/>
      <c r="AU135" s="3306"/>
      <c r="AV135" s="3306"/>
      <c r="AW135" s="3306"/>
      <c r="AX135" s="3306"/>
      <c r="AY135" s="3306"/>
      <c r="AZ135" s="3306"/>
      <c r="BA135" s="3306"/>
      <c r="BB135" s="3306"/>
      <c r="BC135" s="3306"/>
      <c r="BD135" s="3306"/>
      <c r="BE135" s="3306"/>
      <c r="BF135" s="3306"/>
      <c r="BG135" s="3306"/>
      <c r="BH135" s="3306"/>
      <c r="BI135" s="3306"/>
      <c r="BJ135" s="3306"/>
      <c r="BK135" s="3306"/>
      <c r="BL135" s="3306"/>
      <c r="BM135" s="3306"/>
      <c r="BN135" s="3306"/>
      <c r="BO135" s="3306"/>
      <c r="BP135" s="3306"/>
      <c r="BQ135" s="3306"/>
      <c r="BR135" s="3306"/>
      <c r="BS135" s="3306"/>
      <c r="BT135" s="3306"/>
      <c r="BU135" s="3306"/>
      <c r="BV135" s="3306"/>
      <c r="BW135" s="3306"/>
      <c r="BX135" s="3306"/>
      <c r="BY135" s="3306"/>
      <c r="BZ135" s="3306"/>
      <c r="CA135" s="3306"/>
      <c r="CB135" s="3306"/>
      <c r="CC135" s="61"/>
      <c r="CD135" s="2136"/>
      <c r="CE135" s="43"/>
    </row>
    <row r="136" spans="2:83" ht="8.25" customHeight="1" x14ac:dyDescent="0.25">
      <c r="B136" s="2118"/>
      <c r="C136" s="91"/>
      <c r="D136" s="105"/>
      <c r="E136" s="92"/>
      <c r="F136" s="92"/>
      <c r="G136" s="92"/>
      <c r="H136" s="92"/>
      <c r="I136" s="92"/>
      <c r="J136" s="92"/>
      <c r="K136" s="92"/>
      <c r="L136" s="92"/>
      <c r="M136" s="92"/>
      <c r="N136" s="92"/>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c r="BM136" s="92"/>
      <c r="BN136" s="92"/>
      <c r="BO136" s="92"/>
      <c r="BP136" s="92"/>
      <c r="BQ136" s="92"/>
      <c r="BR136" s="92"/>
      <c r="BS136" s="92"/>
      <c r="BT136" s="92"/>
      <c r="BU136" s="92"/>
      <c r="BV136" s="92"/>
      <c r="BW136" s="92"/>
      <c r="BX136" s="92"/>
      <c r="BY136" s="92"/>
      <c r="BZ136" s="92"/>
      <c r="CA136" s="92"/>
      <c r="CB136" s="92"/>
      <c r="CC136" s="93"/>
      <c r="CD136" s="2136"/>
      <c r="CE136" s="43"/>
    </row>
    <row r="137" spans="2:83" ht="11.25" customHeight="1" x14ac:dyDescent="0.25">
      <c r="B137" s="2120"/>
      <c r="C137" s="2127"/>
      <c r="D137" s="2127"/>
      <c r="E137" s="2127"/>
      <c r="F137" s="2127"/>
      <c r="G137" s="2127"/>
      <c r="H137" s="2127"/>
      <c r="I137" s="2127"/>
      <c r="J137" s="2127"/>
      <c r="K137" s="2127"/>
      <c r="L137" s="2127"/>
      <c r="M137" s="2127"/>
      <c r="N137" s="2127"/>
      <c r="O137" s="2127"/>
      <c r="P137" s="2127"/>
      <c r="Q137" s="2127"/>
      <c r="R137" s="2127"/>
      <c r="S137" s="2127"/>
      <c r="T137" s="2127"/>
      <c r="U137" s="2127"/>
      <c r="V137" s="2127"/>
      <c r="W137" s="2127"/>
      <c r="X137" s="2127"/>
      <c r="Y137" s="2127"/>
      <c r="Z137" s="2127"/>
      <c r="AA137" s="2127"/>
      <c r="AB137" s="2127"/>
      <c r="AC137" s="2127"/>
      <c r="AD137" s="2127"/>
      <c r="AE137" s="2127"/>
      <c r="AF137" s="2127"/>
      <c r="AG137" s="2127"/>
      <c r="AH137" s="2127"/>
      <c r="AI137" s="2127"/>
      <c r="AJ137" s="2127"/>
      <c r="AK137" s="2127"/>
      <c r="AL137" s="2127"/>
      <c r="AM137" s="2127"/>
      <c r="AN137" s="2127"/>
      <c r="AO137" s="2127"/>
      <c r="AP137" s="2127"/>
      <c r="AQ137" s="2127"/>
      <c r="AR137" s="2127"/>
      <c r="AS137" s="2127"/>
      <c r="AT137" s="2127"/>
      <c r="AU137" s="2127"/>
      <c r="AV137" s="2127"/>
      <c r="AW137" s="2127"/>
      <c r="AX137" s="2127"/>
      <c r="AY137" s="2127"/>
      <c r="AZ137" s="2127"/>
      <c r="BA137" s="2127"/>
      <c r="BB137" s="2127"/>
      <c r="BC137" s="2127"/>
      <c r="BD137" s="2127"/>
      <c r="BE137" s="2127"/>
      <c r="BF137" s="2127"/>
      <c r="BG137" s="2127"/>
      <c r="BH137" s="2127"/>
      <c r="BI137" s="2127"/>
      <c r="BJ137" s="2127"/>
      <c r="BK137" s="2127"/>
      <c r="BL137" s="2127"/>
      <c r="BM137" s="2127"/>
      <c r="BN137" s="2127"/>
      <c r="BO137" s="2127"/>
      <c r="BP137" s="2127"/>
      <c r="BQ137" s="2127"/>
      <c r="BR137" s="2127"/>
      <c r="BS137" s="2127"/>
      <c r="BT137" s="2127"/>
      <c r="BU137" s="2127"/>
      <c r="BV137" s="2127"/>
      <c r="BW137" s="2127"/>
      <c r="BX137" s="2127"/>
      <c r="BY137" s="2127"/>
      <c r="BZ137" s="2127"/>
      <c r="CA137" s="2127"/>
      <c r="CB137" s="2127"/>
      <c r="CC137" s="2127"/>
      <c r="CD137" s="2131"/>
      <c r="CE137" s="43"/>
    </row>
    <row r="138" spans="2:83" ht="9.75" customHeight="1" x14ac:dyDescent="0.25">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59"/>
      <c r="BG138" s="59"/>
      <c r="BH138" s="59"/>
      <c r="BI138" s="59"/>
      <c r="BJ138" s="59"/>
      <c r="BK138" s="59"/>
      <c r="BL138" s="59"/>
      <c r="BM138" s="59"/>
      <c r="BN138" s="59"/>
      <c r="BO138" s="59"/>
      <c r="BP138" s="59"/>
      <c r="BQ138" s="59"/>
      <c r="BR138" s="59"/>
      <c r="BS138" s="59"/>
      <c r="BT138" s="59"/>
      <c r="BU138" s="59"/>
      <c r="BV138" s="59"/>
      <c r="BW138" s="59"/>
      <c r="BX138" s="59"/>
      <c r="BY138" s="59"/>
      <c r="BZ138" s="59"/>
      <c r="CA138" s="59"/>
      <c r="CB138" s="59"/>
      <c r="CC138" s="59"/>
      <c r="CD138" s="59"/>
      <c r="CE138" s="59"/>
    </row>
    <row r="142" spans="2:83" ht="15.75" customHeight="1" x14ac:dyDescent="0.25">
      <c r="BK142" s="59"/>
      <c r="BM142" s="377"/>
      <c r="BN142" s="377"/>
      <c r="BO142" s="377"/>
      <c r="BP142" s="377"/>
      <c r="BQ142" s="377"/>
      <c r="BR142" s="377"/>
      <c r="BS142" s="377"/>
      <c r="BT142" s="377"/>
      <c r="BU142" s="377"/>
      <c r="BV142" s="377"/>
      <c r="BW142" s="377"/>
      <c r="BX142" s="377"/>
      <c r="BY142" s="377"/>
      <c r="BZ142" s="377"/>
    </row>
    <row r="143" spans="2:83" x14ac:dyDescent="0.25">
      <c r="BM143" s="377"/>
      <c r="BN143" s="377"/>
      <c r="BO143" s="377"/>
      <c r="BP143" s="377"/>
      <c r="BQ143" s="377"/>
      <c r="BR143" s="377"/>
      <c r="BS143" s="377"/>
      <c r="BT143" s="377"/>
      <c r="BU143" s="377"/>
      <c r="BV143" s="377"/>
      <c r="BW143" s="377"/>
      <c r="BX143" s="377"/>
      <c r="BY143" s="377"/>
      <c r="BZ143" s="377"/>
    </row>
    <row r="144" spans="2:83" x14ac:dyDescent="0.25">
      <c r="BK144" s="59"/>
      <c r="BL144" s="377"/>
      <c r="BM144" s="377"/>
      <c r="BN144" s="377"/>
      <c r="BO144" s="377"/>
      <c r="BP144" s="377"/>
      <c r="BQ144" s="377"/>
      <c r="BR144" s="377"/>
      <c r="BS144" s="377"/>
      <c r="BT144" s="377"/>
      <c r="BU144" s="377"/>
      <c r="BV144" s="377"/>
      <c r="BW144" s="377"/>
      <c r="BX144" s="377"/>
      <c r="BY144" s="377"/>
      <c r="BZ144" s="377"/>
    </row>
  </sheetData>
  <sheetProtection password="C518" sheet="1" objects="1" scenarios="1"/>
  <mergeCells count="181">
    <mergeCell ref="CB130:CC130"/>
    <mergeCell ref="D134:CB135"/>
    <mergeCell ref="BT124:BT126"/>
    <mergeCell ref="BV124:BV126"/>
    <mergeCell ref="BX124:BX126"/>
    <mergeCell ref="BZ124:BZ126"/>
    <mergeCell ref="D126:E126"/>
    <mergeCell ref="AR126:AU126"/>
    <mergeCell ref="BH124:BH126"/>
    <mergeCell ref="BJ124:BJ126"/>
    <mergeCell ref="BL124:BL126"/>
    <mergeCell ref="BN124:BN126"/>
    <mergeCell ref="BP124:BP126"/>
    <mergeCell ref="BR124:BR126"/>
    <mergeCell ref="AV124:AV126"/>
    <mergeCell ref="AX124:AX126"/>
    <mergeCell ref="AZ124:AZ126"/>
    <mergeCell ref="BB124:BB126"/>
    <mergeCell ref="BD124:BD126"/>
    <mergeCell ref="BF124:BF126"/>
    <mergeCell ref="AB124:AB126"/>
    <mergeCell ref="AD124:AD126"/>
    <mergeCell ref="AF124:AF126"/>
    <mergeCell ref="AH124:AH126"/>
    <mergeCell ref="AR122:AT122"/>
    <mergeCell ref="D123:E123"/>
    <mergeCell ref="AR123:AU123"/>
    <mergeCell ref="BC114:BE114"/>
    <mergeCell ref="BK114:BN114"/>
    <mergeCell ref="AJ124:AJ126"/>
    <mergeCell ref="AR124:AU125"/>
    <mergeCell ref="P124:P126"/>
    <mergeCell ref="R124:R126"/>
    <mergeCell ref="T124:T126"/>
    <mergeCell ref="V124:V126"/>
    <mergeCell ref="X124:X126"/>
    <mergeCell ref="Z124:Z126"/>
    <mergeCell ref="D124:E125"/>
    <mergeCell ref="F124:F126"/>
    <mergeCell ref="H124:H126"/>
    <mergeCell ref="J124:J126"/>
    <mergeCell ref="L124:L126"/>
    <mergeCell ref="N124:N126"/>
    <mergeCell ref="D117:E117"/>
    <mergeCell ref="AS117:AU117"/>
    <mergeCell ref="AR118:AT118"/>
    <mergeCell ref="AR119:AT119"/>
    <mergeCell ref="AR120:AT120"/>
    <mergeCell ref="AR121:AT121"/>
    <mergeCell ref="D114:D116"/>
    <mergeCell ref="E114:H114"/>
    <mergeCell ref="J114:L114"/>
    <mergeCell ref="M114:O114"/>
    <mergeCell ref="U114:X114"/>
    <mergeCell ref="BP114:BR114"/>
    <mergeCell ref="R101:T101"/>
    <mergeCell ref="BV101:BY101"/>
    <mergeCell ref="BZ101:CB101"/>
    <mergeCell ref="R102:T102"/>
    <mergeCell ref="BV102:BY102"/>
    <mergeCell ref="BZ102:CB102"/>
    <mergeCell ref="Z114:AB114"/>
    <mergeCell ref="AC114:AE114"/>
    <mergeCell ref="AH114:AJ114"/>
    <mergeCell ref="AR114:AT116"/>
    <mergeCell ref="AU114:AX114"/>
    <mergeCell ref="AZ114:BB114"/>
    <mergeCell ref="AL106:AM106"/>
    <mergeCell ref="CB106:CC106"/>
    <mergeCell ref="AI110:AJ110"/>
    <mergeCell ref="AH113:AJ113"/>
    <mergeCell ref="BX113:BZ113"/>
    <mergeCell ref="BS114:BU114"/>
    <mergeCell ref="BX114:BZ114"/>
    <mergeCell ref="BL87:CA88"/>
    <mergeCell ref="CB88:CC88"/>
    <mergeCell ref="CB93:CC93"/>
    <mergeCell ref="U97:V97"/>
    <mergeCell ref="AU97:AV97"/>
    <mergeCell ref="CB97:CC97"/>
    <mergeCell ref="BL78:CA79"/>
    <mergeCell ref="CB78:CC78"/>
    <mergeCell ref="BL80:CA82"/>
    <mergeCell ref="CB80:CC80"/>
    <mergeCell ref="BL84:CA86"/>
    <mergeCell ref="CB85:CC85"/>
    <mergeCell ref="BL70:CA72"/>
    <mergeCell ref="BL74:CA75"/>
    <mergeCell ref="CB74:CC74"/>
    <mergeCell ref="BL76:CA77"/>
    <mergeCell ref="CB76:CC76"/>
    <mergeCell ref="F78:H78"/>
    <mergeCell ref="Z78:AC78"/>
    <mergeCell ref="AF78:AM78"/>
    <mergeCell ref="AN78:AP78"/>
    <mergeCell ref="AQ78:AR78"/>
    <mergeCell ref="AR67:AS67"/>
    <mergeCell ref="AU67:AX67"/>
    <mergeCell ref="BB67:BG67"/>
    <mergeCell ref="AR70:AS70"/>
    <mergeCell ref="AU70:AX70"/>
    <mergeCell ref="BB70:BG70"/>
    <mergeCell ref="BE78:BG78"/>
    <mergeCell ref="AR63:AS63"/>
    <mergeCell ref="AU63:AX63"/>
    <mergeCell ref="BB63:BG63"/>
    <mergeCell ref="AR65:AS65"/>
    <mergeCell ref="AU65:AX65"/>
    <mergeCell ref="BB65:BG65"/>
    <mergeCell ref="AR59:AS59"/>
    <mergeCell ref="AU59:AX59"/>
    <mergeCell ref="BB59:BG59"/>
    <mergeCell ref="BM59:BO59"/>
    <mergeCell ref="BP59:BR59"/>
    <mergeCell ref="AR61:AS61"/>
    <mergeCell ref="AU61:AX61"/>
    <mergeCell ref="BB61:BG61"/>
    <mergeCell ref="CB52:CC52"/>
    <mergeCell ref="Z56:AB56"/>
    <mergeCell ref="AU57:AZ57"/>
    <mergeCell ref="BD57:BF57"/>
    <mergeCell ref="BM58:BO58"/>
    <mergeCell ref="BP58:BR58"/>
    <mergeCell ref="BA42:BB42"/>
    <mergeCell ref="BC42:BD42"/>
    <mergeCell ref="BE42:BF42"/>
    <mergeCell ref="BG42:BH42"/>
    <mergeCell ref="CB42:CC42"/>
    <mergeCell ref="AJ46:AL46"/>
    <mergeCell ref="BZ46:CB46"/>
    <mergeCell ref="D38:I38"/>
    <mergeCell ref="K38:U38"/>
    <mergeCell ref="AU38:AX38"/>
    <mergeCell ref="BS38:BT38"/>
    <mergeCell ref="BZ38:CB38"/>
    <mergeCell ref="U42:V42"/>
    <mergeCell ref="W42:X42"/>
    <mergeCell ref="AU42:AV42"/>
    <mergeCell ref="AW42:AX42"/>
    <mergeCell ref="AY42:AZ42"/>
    <mergeCell ref="D36:I36"/>
    <mergeCell ref="K36:U36"/>
    <mergeCell ref="AU36:AX36"/>
    <mergeCell ref="BS36:BT36"/>
    <mergeCell ref="BZ36:CB36"/>
    <mergeCell ref="D37:I37"/>
    <mergeCell ref="K37:U37"/>
    <mergeCell ref="AU37:AX37"/>
    <mergeCell ref="BS37:BT37"/>
    <mergeCell ref="BZ37:CB37"/>
    <mergeCell ref="D34:I34"/>
    <mergeCell ref="K34:U34"/>
    <mergeCell ref="AU34:AX34"/>
    <mergeCell ref="BS34:BT34"/>
    <mergeCell ref="BZ34:CB34"/>
    <mergeCell ref="D35:I35"/>
    <mergeCell ref="K35:U35"/>
    <mergeCell ref="AU35:AX35"/>
    <mergeCell ref="BS35:BT35"/>
    <mergeCell ref="BZ35:CB35"/>
    <mergeCell ref="AN31:AR31"/>
    <mergeCell ref="AS31:AT31"/>
    <mergeCell ref="AU31:AY31"/>
    <mergeCell ref="BP31:BV31"/>
    <mergeCell ref="BX31:CB31"/>
    <mergeCell ref="D15:U21"/>
    <mergeCell ref="AF16:AH16"/>
    <mergeCell ref="BB16:BD16"/>
    <mergeCell ref="AH17:AL17"/>
    <mergeCell ref="BW17:CA17"/>
    <mergeCell ref="AF20:AH20"/>
    <mergeCell ref="BB20:BD20"/>
    <mergeCell ref="Z2:AX2"/>
    <mergeCell ref="Z3:AX4"/>
    <mergeCell ref="BY4:CC4"/>
    <mergeCell ref="CB8:CC8"/>
    <mergeCell ref="X12:Z12"/>
    <mergeCell ref="CB25:CC25"/>
    <mergeCell ref="AX29:AZ29"/>
    <mergeCell ref="CA29:CB29"/>
    <mergeCell ref="BR6:CD6"/>
  </mergeCells>
  <conditionalFormatting sqref="U29">
    <cfRule type="iconSet" priority="6">
      <iconSet iconSet="5Rating" showValue="0">
        <cfvo type="percent" val="0"/>
        <cfvo type="num" val="1" gte="0"/>
        <cfvo type="num" val="2" gte="0"/>
        <cfvo type="num" val="3" gte="0"/>
        <cfvo type="num" val="4" gte="0"/>
      </iconSet>
    </cfRule>
    <cfRule type="iconSet" priority="5">
      <iconSet iconSet="5Rating" showValue="0">
        <cfvo type="percent" val="0"/>
        <cfvo type="num" val="1" gte="0"/>
        <cfvo type="num" val="2" gte="0"/>
        <cfvo type="num" val="3" gte="0"/>
        <cfvo type="num" val="4" gte="0"/>
      </iconSet>
    </cfRule>
  </conditionalFormatting>
  <conditionalFormatting sqref="U101:U102">
    <cfRule type="iconSet" priority="3">
      <iconSet iconSet="5Rating" showValue="0">
        <cfvo type="percent" val="0"/>
        <cfvo type="num" val="1" gte="0"/>
        <cfvo type="num" val="2" gte="0"/>
        <cfvo type="num" val="3" gte="0"/>
        <cfvo type="num" val="4" gte="0"/>
      </iconSet>
    </cfRule>
  </conditionalFormatting>
  <conditionalFormatting sqref="AJ46">
    <cfRule type="iconSet" priority="17">
      <iconSet iconSet="5Rating" showValue="0">
        <cfvo type="percent" val="0"/>
        <cfvo type="num" val="1" gte="0"/>
        <cfvo type="num" val="2" gte="0"/>
        <cfvo type="num" val="3" gte="0"/>
        <cfvo type="num" val="4" gte="0"/>
      </iconSet>
    </cfRule>
  </conditionalFormatting>
  <conditionalFormatting sqref="AU101:AU102">
    <cfRule type="iconSet" priority="2">
      <iconSet iconSet="5Rating" showValue="0">
        <cfvo type="percent" val="0"/>
        <cfvo type="num" val="1" gte="0"/>
        <cfvo type="num" val="2" gte="0"/>
        <cfvo type="num" val="3" gte="0"/>
        <cfvo type="num" val="4" gte="0"/>
      </iconSet>
    </cfRule>
  </conditionalFormatting>
  <conditionalFormatting sqref="AX29 X12 AF20 AF16 BB20 BB16 AJ46 CA29">
    <cfRule type="iconSet" priority="18">
      <iconSet iconSet="5Rating" showValue="0">
        <cfvo type="percent" val="0"/>
        <cfvo type="num" val="1" gte="0"/>
        <cfvo type="num" val="2" gte="0"/>
        <cfvo type="num" val="3" gte="0"/>
        <cfvo type="num" val="4" gte="0"/>
      </iconSet>
    </cfRule>
  </conditionalFormatting>
  <conditionalFormatting sqref="AX29 AS30:AT30">
    <cfRule type="iconSet" priority="16">
      <iconSet iconSet="5Rating" showValue="0">
        <cfvo type="percent" val="0"/>
        <cfvo type="num" val="1" gte="0"/>
        <cfvo type="num" val="2" gte="0"/>
        <cfvo type="num" val="3" gte="0"/>
        <cfvo type="num" val="4" gte="0"/>
      </iconSet>
    </cfRule>
  </conditionalFormatting>
  <conditionalFormatting sqref="BE78 AZ59 AT59 Z78 AT61 AT63 AT65 AT67 AT70 AZ61 AZ63 AZ65 AZ67 AZ70 Z56 CB74 CB76 CB78 CB80 CB85 CB88">
    <cfRule type="iconSet" priority="19">
      <iconSet iconSet="5Rating" showValue="0">
        <cfvo type="percent" val="0"/>
        <cfvo type="num" val="1" gte="0"/>
        <cfvo type="num" val="2" gte="0"/>
        <cfvo type="num" val="3" gte="0"/>
        <cfvo type="num" val="4" gte="0"/>
      </iconSet>
    </cfRule>
  </conditionalFormatting>
  <conditionalFormatting sqref="BK59 BM58:BM59 BP58:BP59">
    <cfRule type="iconSet" priority="4">
      <iconSet iconSet="5Rating" showValue="0">
        <cfvo type="percent" val="0"/>
        <cfvo type="num" val="1" gte="0"/>
        <cfvo type="num" val="2" gte="0"/>
        <cfvo type="num" val="3" gte="0"/>
        <cfvo type="num" val="4" gte="0"/>
      </iconSet>
    </cfRule>
  </conditionalFormatting>
  <conditionalFormatting sqref="BZ46">
    <cfRule type="iconSet" priority="7">
      <iconSet iconSet="5Rating" showValue="0">
        <cfvo type="percent" val="0"/>
        <cfvo type="num" val="1" gte="0"/>
        <cfvo type="num" val="2" gte="0"/>
        <cfvo type="num" val="3" gte="0"/>
        <cfvo type="num" val="4" gte="0"/>
      </iconSet>
    </cfRule>
    <cfRule type="iconSet" priority="8">
      <iconSet iconSet="5Rating" showValue="0">
        <cfvo type="percent" val="0"/>
        <cfvo type="num" val="1" gte="0"/>
        <cfvo type="num" val="2" gte="0"/>
        <cfvo type="num" val="3" gte="0"/>
        <cfvo type="num" val="4" gte="0"/>
      </iconSet>
    </cfRule>
  </conditionalFormatting>
  <conditionalFormatting sqref="BZ101:BZ102">
    <cfRule type="iconSet" priority="1">
      <iconSet iconSet="5Rating" showValue="0">
        <cfvo type="percent" val="0"/>
        <cfvo type="num" val="1" gte="0"/>
        <cfvo type="num" val="2" gte="0"/>
        <cfvo type="num" val="3" gte="0"/>
        <cfvo type="num" val="4" gte="0"/>
      </iconSet>
    </cfRule>
  </conditionalFormatting>
  <conditionalFormatting sqref="CB30 CA29">
    <cfRule type="iconSet" priority="15">
      <iconSet iconSet="5Rating" showValue="0">
        <cfvo type="percent" val="0"/>
        <cfvo type="num" val="1" gte="0"/>
        <cfvo type="num" val="2" gte="0"/>
        <cfvo type="num" val="3" gte="0"/>
        <cfvo type="num" val="4" gte="0"/>
      </iconSet>
    </cfRule>
  </conditionalFormatting>
  <conditionalFormatting sqref="CB74">
    <cfRule type="iconSet" priority="14">
      <iconSet iconSet="5Rating" showValue="0">
        <cfvo type="percent" val="0"/>
        <cfvo type="num" val="1" gte="0"/>
        <cfvo type="num" val="2" gte="0"/>
        <cfvo type="num" val="3" gte="0"/>
        <cfvo type="num" val="4" gte="0"/>
      </iconSet>
    </cfRule>
  </conditionalFormatting>
  <conditionalFormatting sqref="CB76">
    <cfRule type="iconSet" priority="13">
      <iconSet iconSet="5Rating" showValue="0">
        <cfvo type="percent" val="0"/>
        <cfvo type="num" val="1" gte="0"/>
        <cfvo type="num" val="2" gte="0"/>
        <cfvo type="num" val="3" gte="0"/>
        <cfvo type="num" val="4" gte="0"/>
      </iconSet>
    </cfRule>
  </conditionalFormatting>
  <conditionalFormatting sqref="CB78">
    <cfRule type="iconSet" priority="12">
      <iconSet iconSet="5Rating" showValue="0">
        <cfvo type="percent" val="0"/>
        <cfvo type="num" val="1" gte="0"/>
        <cfvo type="num" val="2" gte="0"/>
        <cfvo type="num" val="3" gte="0"/>
        <cfvo type="num" val="4" gte="0"/>
      </iconSet>
    </cfRule>
  </conditionalFormatting>
  <conditionalFormatting sqref="CB80">
    <cfRule type="iconSet" priority="11">
      <iconSet iconSet="5Rating" showValue="0">
        <cfvo type="percent" val="0"/>
        <cfvo type="num" val="1" gte="0"/>
        <cfvo type="num" val="2" gte="0"/>
        <cfvo type="num" val="3" gte="0"/>
        <cfvo type="num" val="4" gte="0"/>
      </iconSet>
    </cfRule>
  </conditionalFormatting>
  <conditionalFormatting sqref="CB85">
    <cfRule type="iconSet" priority="10">
      <iconSet iconSet="5Rating" showValue="0">
        <cfvo type="percent" val="0"/>
        <cfvo type="num" val="1" gte="0"/>
        <cfvo type="num" val="2" gte="0"/>
        <cfvo type="num" val="3" gte="0"/>
        <cfvo type="num" val="4" gte="0"/>
      </iconSet>
    </cfRule>
  </conditionalFormatting>
  <conditionalFormatting sqref="CB88">
    <cfRule type="iconSet" priority="9">
      <iconSet iconSet="5Rating" showValue="0">
        <cfvo type="percent" val="0"/>
        <cfvo type="num" val="1" gte="0"/>
        <cfvo type="num" val="2" gte="0"/>
        <cfvo type="num" val="3" gte="0"/>
        <cfvo type="num" val="4" gte="0"/>
      </iconSet>
    </cfRule>
  </conditionalFormatting>
  <conditionalFormatting sqref="CB97 AU97 U97">
    <cfRule type="iconSet" priority="20">
      <iconSet iconSet="5Rating" showValue="0">
        <cfvo type="percent" val="0"/>
        <cfvo type="num" val="2"/>
        <cfvo type="num" val="3"/>
        <cfvo type="num" val="4"/>
        <cfvo type="num" val="5"/>
      </iconSet>
    </cfRule>
  </conditionalFormatting>
  <pageMargins left="1.2204724409448819" right="1.3385826771653544" top="0.82677165354330717" bottom="0.35433070866141736" header="0.31496062992125984" footer="0.23622047244094491"/>
  <pageSetup paperSize="3" scale="49" fitToHeight="0" orientation="portrait" r:id="rId1"/>
  <headerFooter>
    <oddFooter>&amp;L&amp;10Version 1.0    © CERIU, 2023&amp;R&amp;10Onglet SOMMAIRE PGA Eaux pluviales
Page &amp;P de &amp;N</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5" id="{723D8C6F-2891-4DC3-AB9D-A1018EB41B2D}">
            <xm:f>'CALCULS Eaux pluviales'!E$390&gt;4</xm:f>
            <x14:dxf>
              <fill>
                <patternFill>
                  <bgColor theme="9"/>
                </patternFill>
              </fill>
            </x14:dxf>
          </x14:cfRule>
          <xm:sqref>F118</xm:sqref>
        </x14:conditionalFormatting>
        <x14:conditionalFormatting xmlns:xm="http://schemas.microsoft.com/office/excel/2006/main">
          <x14:cfRule type="expression" priority="24" id="{AC685CBC-21A3-4FE7-A979-FA5194A99FF2}">
            <xm:f>'CALCULS Eaux pluviales'!E$390&gt;3</xm:f>
            <x14:dxf>
              <fill>
                <patternFill>
                  <bgColor theme="9"/>
                </patternFill>
              </fill>
            </x14:dxf>
          </x14:cfRule>
          <xm:sqref>F119</xm:sqref>
        </x14:conditionalFormatting>
        <x14:conditionalFormatting xmlns:xm="http://schemas.microsoft.com/office/excel/2006/main">
          <x14:cfRule type="expression" priority="23" id="{91C09A1E-6488-4F7E-B223-42BF7D801CAF}">
            <xm:f>'CALCULS Eaux pluviales'!E$390&gt;2</xm:f>
            <x14:dxf>
              <fill>
                <patternFill>
                  <bgColor theme="9"/>
                </patternFill>
              </fill>
            </x14:dxf>
          </x14:cfRule>
          <xm:sqref>F120</xm:sqref>
        </x14:conditionalFormatting>
        <x14:conditionalFormatting xmlns:xm="http://schemas.microsoft.com/office/excel/2006/main">
          <x14:cfRule type="expression" priority="22" id="{B0124BDD-38DB-462B-B86F-E54C1841D1AD}">
            <xm:f>'CALCULS Eaux pluviales'!E$390&gt;1</xm:f>
            <x14:dxf>
              <fill>
                <patternFill>
                  <bgColor theme="9"/>
                </patternFill>
              </fill>
            </x14:dxf>
          </x14:cfRule>
          <xm:sqref>F121</xm:sqref>
        </x14:conditionalFormatting>
        <x14:conditionalFormatting xmlns:xm="http://schemas.microsoft.com/office/excel/2006/main">
          <x14:cfRule type="expression" priority="21" id="{50491E5F-9DEC-4614-85EE-4F696077FC1F}">
            <xm:f>'CALCULS Eaux pluviales'!E$390&gt;0</xm:f>
            <x14:dxf>
              <fill>
                <patternFill>
                  <bgColor theme="9"/>
                </patternFill>
              </fill>
            </x14:dxf>
          </x14:cfRule>
          <xm:sqref>F122</xm:sqref>
        </x14:conditionalFormatting>
        <x14:conditionalFormatting xmlns:xm="http://schemas.microsoft.com/office/excel/2006/main">
          <x14:cfRule type="expression" priority="45" id="{DB2BD98D-31D2-4898-A593-251838ED1A63}">
            <xm:f>'CALCULS Eaux pluviales'!F$390&gt;4</xm:f>
            <x14:dxf>
              <fill>
                <patternFill>
                  <bgColor theme="9"/>
                </patternFill>
              </fill>
            </x14:dxf>
          </x14:cfRule>
          <xm:sqref>H118</xm:sqref>
        </x14:conditionalFormatting>
        <x14:conditionalFormatting xmlns:xm="http://schemas.microsoft.com/office/excel/2006/main">
          <x14:cfRule type="expression" priority="44" id="{D6AE7662-AAD7-415A-95D1-D1F16DE90D77}">
            <xm:f>'CALCULS Eaux pluviales'!F$390&gt;3</xm:f>
            <x14:dxf>
              <fill>
                <patternFill>
                  <bgColor theme="9"/>
                </patternFill>
              </fill>
            </x14:dxf>
          </x14:cfRule>
          <xm:sqref>H119</xm:sqref>
        </x14:conditionalFormatting>
        <x14:conditionalFormatting xmlns:xm="http://schemas.microsoft.com/office/excel/2006/main">
          <x14:cfRule type="expression" priority="43" id="{651F2624-A3F7-4C66-BB12-D9B8DADDEC85}">
            <xm:f>'CALCULS Eaux pluviales'!F$390&gt;2</xm:f>
            <x14:dxf>
              <fill>
                <patternFill>
                  <bgColor theme="9"/>
                </patternFill>
              </fill>
            </x14:dxf>
          </x14:cfRule>
          <xm:sqref>H120</xm:sqref>
        </x14:conditionalFormatting>
        <x14:conditionalFormatting xmlns:xm="http://schemas.microsoft.com/office/excel/2006/main">
          <x14:cfRule type="expression" priority="42" id="{F646DF4D-993A-459E-8A8D-3760E2E3142B}">
            <xm:f>'CALCULS Eaux pluviales'!F$390&gt;1</xm:f>
            <x14:dxf>
              <fill>
                <patternFill>
                  <bgColor theme="9"/>
                </patternFill>
              </fill>
            </x14:dxf>
          </x14:cfRule>
          <xm:sqref>H121</xm:sqref>
        </x14:conditionalFormatting>
        <x14:conditionalFormatting xmlns:xm="http://schemas.microsoft.com/office/excel/2006/main">
          <x14:cfRule type="expression" priority="41" id="{EE5252BB-D203-4860-B729-0C1D8CEA729E}">
            <xm:f>'CALCULS Eaux pluviales'!F$390&gt;0</xm:f>
            <x14:dxf>
              <fill>
                <patternFill>
                  <bgColor theme="9"/>
                </patternFill>
              </fill>
            </x14:dxf>
          </x14:cfRule>
          <xm:sqref>H122</xm:sqref>
        </x14:conditionalFormatting>
        <x14:conditionalFormatting xmlns:xm="http://schemas.microsoft.com/office/excel/2006/main">
          <x14:cfRule type="expression" priority="55" id="{8B81F98B-9A03-4279-AB70-9BA8D2A29F1D}">
            <xm:f>'CALCULS Eaux pluviales'!G$390&gt;4</xm:f>
            <x14:dxf>
              <fill>
                <patternFill>
                  <bgColor theme="9"/>
                </patternFill>
              </fill>
            </x14:dxf>
          </x14:cfRule>
          <xm:sqref>J118</xm:sqref>
        </x14:conditionalFormatting>
        <x14:conditionalFormatting xmlns:xm="http://schemas.microsoft.com/office/excel/2006/main">
          <x14:cfRule type="expression" priority="54" id="{2CA89E38-FFA5-4A0E-93EF-A582E7C0DF4A}">
            <xm:f>'CALCULS Eaux pluviales'!G$390&gt;3</xm:f>
            <x14:dxf>
              <fill>
                <patternFill>
                  <bgColor theme="9"/>
                </patternFill>
              </fill>
            </x14:dxf>
          </x14:cfRule>
          <xm:sqref>J119</xm:sqref>
        </x14:conditionalFormatting>
        <x14:conditionalFormatting xmlns:xm="http://schemas.microsoft.com/office/excel/2006/main">
          <x14:cfRule type="expression" priority="53" id="{5E22DCF7-666C-4AD5-9914-3265E8B5B5A4}">
            <xm:f>'CALCULS Eaux pluviales'!G$390&gt;2</xm:f>
            <x14:dxf>
              <fill>
                <patternFill>
                  <bgColor theme="9"/>
                </patternFill>
              </fill>
            </x14:dxf>
          </x14:cfRule>
          <xm:sqref>J120</xm:sqref>
        </x14:conditionalFormatting>
        <x14:conditionalFormatting xmlns:xm="http://schemas.microsoft.com/office/excel/2006/main">
          <x14:cfRule type="expression" priority="52" id="{1088649A-9169-4029-9E54-D377691A07A4}">
            <xm:f>'CALCULS Eaux pluviales'!G$390&gt;1</xm:f>
            <x14:dxf>
              <fill>
                <patternFill>
                  <bgColor theme="9"/>
                </patternFill>
              </fill>
            </x14:dxf>
          </x14:cfRule>
          <xm:sqref>J121</xm:sqref>
        </x14:conditionalFormatting>
        <x14:conditionalFormatting xmlns:xm="http://schemas.microsoft.com/office/excel/2006/main">
          <x14:cfRule type="expression" priority="51" id="{47D2E4B8-4D8A-46DD-9843-6E1C3F0010C0}">
            <xm:f>'CALCULS Eaux pluviales'!G$390&gt;0</xm:f>
            <x14:dxf>
              <fill>
                <patternFill>
                  <bgColor theme="9"/>
                </patternFill>
              </fill>
            </x14:dxf>
          </x14:cfRule>
          <xm:sqref>J122</xm:sqref>
        </x14:conditionalFormatting>
        <x14:conditionalFormatting xmlns:xm="http://schemas.microsoft.com/office/excel/2006/main">
          <x14:cfRule type="expression" priority="65" id="{EADF70F2-579E-4158-ABB7-824250970336}">
            <xm:f>'CALCULS Eaux pluviales'!H$390&gt;4</xm:f>
            <x14:dxf>
              <fill>
                <patternFill>
                  <bgColor theme="9"/>
                </patternFill>
              </fill>
            </x14:dxf>
          </x14:cfRule>
          <xm:sqref>L118</xm:sqref>
        </x14:conditionalFormatting>
        <x14:conditionalFormatting xmlns:xm="http://schemas.microsoft.com/office/excel/2006/main">
          <x14:cfRule type="expression" priority="64" id="{D4A790E6-F277-4E71-94FD-C46A0E6B9A35}">
            <xm:f>'CALCULS Eaux pluviales'!H$390&gt;3</xm:f>
            <x14:dxf>
              <fill>
                <patternFill>
                  <bgColor theme="9"/>
                </patternFill>
              </fill>
            </x14:dxf>
          </x14:cfRule>
          <xm:sqref>L119</xm:sqref>
        </x14:conditionalFormatting>
        <x14:conditionalFormatting xmlns:xm="http://schemas.microsoft.com/office/excel/2006/main">
          <x14:cfRule type="expression" priority="63" id="{5467BD76-B343-441C-A0FA-FEAE4ABB6748}">
            <xm:f>'CALCULS Eaux pluviales'!H$390&gt;2</xm:f>
            <x14:dxf>
              <fill>
                <patternFill>
                  <bgColor theme="9"/>
                </patternFill>
              </fill>
            </x14:dxf>
          </x14:cfRule>
          <xm:sqref>L120</xm:sqref>
        </x14:conditionalFormatting>
        <x14:conditionalFormatting xmlns:xm="http://schemas.microsoft.com/office/excel/2006/main">
          <x14:cfRule type="expression" priority="62" id="{38396DD7-041C-475F-8801-8F0F3238E53C}">
            <xm:f>'CALCULS Eaux pluviales'!H$390&gt;1</xm:f>
            <x14:dxf>
              <fill>
                <patternFill>
                  <bgColor theme="9"/>
                </patternFill>
              </fill>
            </x14:dxf>
          </x14:cfRule>
          <xm:sqref>L121</xm:sqref>
        </x14:conditionalFormatting>
        <x14:conditionalFormatting xmlns:xm="http://schemas.microsoft.com/office/excel/2006/main">
          <x14:cfRule type="expression" priority="61" id="{A7BC1F85-2D40-42FE-8771-0BCBA2215802}">
            <xm:f>'CALCULS Eaux pluviales'!H$390&gt;0</xm:f>
            <x14:dxf>
              <fill>
                <patternFill>
                  <bgColor theme="9"/>
                </patternFill>
              </fill>
            </x14:dxf>
          </x14:cfRule>
          <xm:sqref>L122</xm:sqref>
        </x14:conditionalFormatting>
        <x14:conditionalFormatting xmlns:xm="http://schemas.microsoft.com/office/excel/2006/main">
          <x14:cfRule type="expression" priority="75" id="{FB18A713-6479-44BD-9941-B374466034E3}">
            <xm:f>'CALCULS Eaux pluviales'!I$390&gt;4</xm:f>
            <x14:dxf>
              <fill>
                <patternFill>
                  <bgColor theme="9"/>
                </patternFill>
              </fill>
            </x14:dxf>
          </x14:cfRule>
          <xm:sqref>N118</xm:sqref>
        </x14:conditionalFormatting>
        <x14:conditionalFormatting xmlns:xm="http://schemas.microsoft.com/office/excel/2006/main">
          <x14:cfRule type="expression" priority="74" id="{163284B0-F718-43C0-8DA1-82F40AB09593}">
            <xm:f>'CALCULS Eaux pluviales'!I$390&gt;3</xm:f>
            <x14:dxf>
              <fill>
                <patternFill>
                  <bgColor theme="9"/>
                </patternFill>
              </fill>
            </x14:dxf>
          </x14:cfRule>
          <xm:sqref>N119</xm:sqref>
        </x14:conditionalFormatting>
        <x14:conditionalFormatting xmlns:xm="http://schemas.microsoft.com/office/excel/2006/main">
          <x14:cfRule type="expression" priority="73" id="{901BF890-ED7D-4320-8AA9-1A243A61209F}">
            <xm:f>'CALCULS Eaux pluviales'!I$390&gt;2</xm:f>
            <x14:dxf>
              <fill>
                <patternFill>
                  <bgColor theme="9"/>
                </patternFill>
              </fill>
            </x14:dxf>
          </x14:cfRule>
          <xm:sqref>N120</xm:sqref>
        </x14:conditionalFormatting>
        <x14:conditionalFormatting xmlns:xm="http://schemas.microsoft.com/office/excel/2006/main">
          <x14:cfRule type="expression" priority="72" id="{B07699CA-CA19-466C-B863-41C1310D2899}">
            <xm:f>'CALCULS Eaux pluviales'!I$390&gt;1</xm:f>
            <x14:dxf>
              <fill>
                <patternFill>
                  <bgColor theme="9"/>
                </patternFill>
              </fill>
            </x14:dxf>
          </x14:cfRule>
          <xm:sqref>N121</xm:sqref>
        </x14:conditionalFormatting>
        <x14:conditionalFormatting xmlns:xm="http://schemas.microsoft.com/office/excel/2006/main">
          <x14:cfRule type="expression" priority="71" id="{BDFE0004-4D9B-4C23-9396-36EA9B450877}">
            <xm:f>'CALCULS Eaux pluviales'!I$390&gt;0</xm:f>
            <x14:dxf>
              <fill>
                <patternFill>
                  <bgColor theme="9"/>
                </patternFill>
              </fill>
            </x14:dxf>
          </x14:cfRule>
          <xm:sqref>N122</xm:sqref>
        </x14:conditionalFormatting>
        <x14:conditionalFormatting xmlns:xm="http://schemas.microsoft.com/office/excel/2006/main">
          <x14:cfRule type="expression" priority="85" id="{FA8DF2B2-6086-4470-BCB5-42E68CD67BE9}">
            <xm:f>'CALCULS Eaux pluviales'!J$390&gt;4</xm:f>
            <x14:dxf>
              <fill>
                <patternFill>
                  <bgColor theme="9"/>
                </patternFill>
              </fill>
            </x14:dxf>
          </x14:cfRule>
          <xm:sqref>P118</xm:sqref>
        </x14:conditionalFormatting>
        <x14:conditionalFormatting xmlns:xm="http://schemas.microsoft.com/office/excel/2006/main">
          <x14:cfRule type="expression" priority="84" id="{AE68E255-63B2-4F39-B2E7-4E0AC7D660EC}">
            <xm:f>'CALCULS Eaux pluviales'!J$390&gt;3</xm:f>
            <x14:dxf>
              <fill>
                <patternFill>
                  <bgColor theme="9"/>
                </patternFill>
              </fill>
            </x14:dxf>
          </x14:cfRule>
          <xm:sqref>P119</xm:sqref>
        </x14:conditionalFormatting>
        <x14:conditionalFormatting xmlns:xm="http://schemas.microsoft.com/office/excel/2006/main">
          <x14:cfRule type="expression" priority="83" id="{70EDCE1F-9C7A-4F19-85B2-AFDB4412B8A2}">
            <xm:f>'CALCULS Eaux pluviales'!J$390&gt;2</xm:f>
            <x14:dxf>
              <fill>
                <patternFill>
                  <bgColor theme="9"/>
                </patternFill>
              </fill>
            </x14:dxf>
          </x14:cfRule>
          <xm:sqref>P120</xm:sqref>
        </x14:conditionalFormatting>
        <x14:conditionalFormatting xmlns:xm="http://schemas.microsoft.com/office/excel/2006/main">
          <x14:cfRule type="expression" priority="82" id="{CA6C59EC-F941-4B02-A13F-DFBF09C4496E}">
            <xm:f>'CALCULS Eaux pluviales'!J$390&gt;1</xm:f>
            <x14:dxf>
              <fill>
                <patternFill>
                  <bgColor theme="9"/>
                </patternFill>
              </fill>
            </x14:dxf>
          </x14:cfRule>
          <xm:sqref>P121</xm:sqref>
        </x14:conditionalFormatting>
        <x14:conditionalFormatting xmlns:xm="http://schemas.microsoft.com/office/excel/2006/main">
          <x14:cfRule type="expression" priority="81" id="{895BDAF2-5F04-45F3-82B1-627F989EB1BA}">
            <xm:f>'CALCULS Eaux pluviales'!J$390&gt;0</xm:f>
            <x14:dxf>
              <fill>
                <patternFill>
                  <bgColor theme="9"/>
                </patternFill>
              </fill>
            </x14:dxf>
          </x14:cfRule>
          <xm:sqref>P122</xm:sqref>
        </x14:conditionalFormatting>
        <x14:conditionalFormatting xmlns:xm="http://schemas.microsoft.com/office/excel/2006/main">
          <x14:cfRule type="expression" priority="95" id="{1A2F3600-6864-45F0-BA90-E753F3F8FEAC}">
            <xm:f>'CALCULS Eaux pluviales'!K$390&gt;4</xm:f>
            <x14:dxf>
              <fill>
                <patternFill>
                  <bgColor theme="9"/>
                </patternFill>
              </fill>
            </x14:dxf>
          </x14:cfRule>
          <xm:sqref>R118</xm:sqref>
        </x14:conditionalFormatting>
        <x14:conditionalFormatting xmlns:xm="http://schemas.microsoft.com/office/excel/2006/main">
          <x14:cfRule type="expression" priority="94" id="{FC3BA040-E7E9-49D2-B36F-9C1F7C5F62E1}">
            <xm:f>'CALCULS Eaux pluviales'!K$390&gt;3</xm:f>
            <x14:dxf>
              <fill>
                <patternFill>
                  <bgColor theme="9"/>
                </patternFill>
              </fill>
            </x14:dxf>
          </x14:cfRule>
          <xm:sqref>R119</xm:sqref>
        </x14:conditionalFormatting>
        <x14:conditionalFormatting xmlns:xm="http://schemas.microsoft.com/office/excel/2006/main">
          <x14:cfRule type="expression" priority="93" id="{F83B944E-7B5F-4F38-8663-0E6DAB931BD6}">
            <xm:f>'CALCULS Eaux pluviales'!K$390&gt;2</xm:f>
            <x14:dxf>
              <fill>
                <patternFill>
                  <bgColor theme="9"/>
                </patternFill>
              </fill>
            </x14:dxf>
          </x14:cfRule>
          <xm:sqref>R120</xm:sqref>
        </x14:conditionalFormatting>
        <x14:conditionalFormatting xmlns:xm="http://schemas.microsoft.com/office/excel/2006/main">
          <x14:cfRule type="expression" priority="92" id="{C756E7A6-9678-4D50-A341-77B79DF56D4F}">
            <xm:f>'CALCULS Eaux pluviales'!K$390&gt;1</xm:f>
            <x14:dxf>
              <fill>
                <patternFill>
                  <bgColor theme="9"/>
                </patternFill>
              </fill>
            </x14:dxf>
          </x14:cfRule>
          <xm:sqref>R121</xm:sqref>
        </x14:conditionalFormatting>
        <x14:conditionalFormatting xmlns:xm="http://schemas.microsoft.com/office/excel/2006/main">
          <x14:cfRule type="expression" priority="91" id="{E79008AD-1C94-4139-AD56-CBAAF9F6085E}">
            <xm:f>'CALCULS Eaux pluviales'!K$390&gt;0</xm:f>
            <x14:dxf>
              <fill>
                <patternFill>
                  <bgColor theme="9"/>
                </patternFill>
              </fill>
            </x14:dxf>
          </x14:cfRule>
          <xm:sqref>R122</xm:sqref>
        </x14:conditionalFormatting>
        <x14:conditionalFormatting xmlns:xm="http://schemas.microsoft.com/office/excel/2006/main">
          <x14:cfRule type="expression" priority="105" id="{538BF69B-7277-4465-8682-9291A90D1A65}">
            <xm:f>'CALCULS Eaux pluviales'!L$390&gt;4</xm:f>
            <x14:dxf>
              <fill>
                <patternFill>
                  <bgColor theme="9" tint="-0.499984740745262"/>
                </patternFill>
              </fill>
            </x14:dxf>
          </x14:cfRule>
          <xm:sqref>T118</xm:sqref>
        </x14:conditionalFormatting>
        <x14:conditionalFormatting xmlns:xm="http://schemas.microsoft.com/office/excel/2006/main">
          <x14:cfRule type="expression" priority="104" id="{A147BDF3-2C9F-4778-841C-E1D21D07F6B0}">
            <xm:f>'CALCULS Eaux pluviales'!L$390&gt;3</xm:f>
            <x14:dxf>
              <fill>
                <patternFill>
                  <bgColor theme="9" tint="-0.499984740745262"/>
                </patternFill>
              </fill>
            </x14:dxf>
          </x14:cfRule>
          <xm:sqref>T119</xm:sqref>
        </x14:conditionalFormatting>
        <x14:conditionalFormatting xmlns:xm="http://schemas.microsoft.com/office/excel/2006/main">
          <x14:cfRule type="expression" priority="103" id="{7869774C-A6E1-4CF7-B6A7-F1E8F7FB7CC3}">
            <xm:f>'CALCULS Eaux pluviales'!L$390&gt;2</xm:f>
            <x14:dxf>
              <fill>
                <patternFill>
                  <bgColor theme="9" tint="-0.499984740745262"/>
                </patternFill>
              </fill>
            </x14:dxf>
          </x14:cfRule>
          <xm:sqref>T120</xm:sqref>
        </x14:conditionalFormatting>
        <x14:conditionalFormatting xmlns:xm="http://schemas.microsoft.com/office/excel/2006/main">
          <x14:cfRule type="expression" priority="102" id="{932D2DA5-4086-4B34-9DDE-D198D27D8B94}">
            <xm:f>'CALCULS Eaux pluviales'!L$390&gt;1</xm:f>
            <x14:dxf>
              <fill>
                <patternFill>
                  <bgColor theme="9" tint="-0.499984740745262"/>
                </patternFill>
              </fill>
            </x14:dxf>
          </x14:cfRule>
          <xm:sqref>T121</xm:sqref>
        </x14:conditionalFormatting>
        <x14:conditionalFormatting xmlns:xm="http://schemas.microsoft.com/office/excel/2006/main">
          <x14:cfRule type="expression" priority="101" id="{FDA6CC8C-562E-4274-8A07-897876216A4D}">
            <xm:f>'CALCULS Eaux pluviales'!L$390&gt;0</xm:f>
            <x14:dxf>
              <fill>
                <patternFill>
                  <bgColor theme="9" tint="-0.499984740745262"/>
                </patternFill>
              </fill>
            </x14:dxf>
          </x14:cfRule>
          <xm:sqref>T122</xm:sqref>
        </x14:conditionalFormatting>
        <x14:conditionalFormatting xmlns:xm="http://schemas.microsoft.com/office/excel/2006/main">
          <x14:cfRule type="expression" priority="30" id="{E2B5B22A-279B-49B5-B856-45EEF2FAEF69}">
            <xm:f>'CALCULS Eaux pluviales'!E$392&gt;4</xm:f>
            <x14:dxf>
              <fill>
                <patternFill>
                  <bgColor theme="9"/>
                </patternFill>
              </fill>
            </x14:dxf>
          </x14:cfRule>
          <xm:sqref>V118</xm:sqref>
        </x14:conditionalFormatting>
        <x14:conditionalFormatting xmlns:xm="http://schemas.microsoft.com/office/excel/2006/main">
          <x14:cfRule type="expression" priority="29" id="{C1E0D8F5-C2CF-4EF3-93C1-264CA6DA7D84}">
            <xm:f>'CALCULS Eaux pluviales'!E$392&gt;3</xm:f>
            <x14:dxf>
              <fill>
                <patternFill>
                  <bgColor theme="9"/>
                </patternFill>
              </fill>
            </x14:dxf>
          </x14:cfRule>
          <xm:sqref>V119</xm:sqref>
        </x14:conditionalFormatting>
        <x14:conditionalFormatting xmlns:xm="http://schemas.microsoft.com/office/excel/2006/main">
          <x14:cfRule type="expression" priority="28" id="{826CAEFE-8C36-4C37-A02C-DC0934D94543}">
            <xm:f>'CALCULS Eaux pluviales'!E$392&gt;2</xm:f>
            <x14:dxf>
              <fill>
                <patternFill>
                  <bgColor theme="9"/>
                </patternFill>
              </fill>
            </x14:dxf>
          </x14:cfRule>
          <xm:sqref>V120</xm:sqref>
        </x14:conditionalFormatting>
        <x14:conditionalFormatting xmlns:xm="http://schemas.microsoft.com/office/excel/2006/main">
          <x14:cfRule type="expression" priority="27" id="{865822DE-EC90-4019-B361-6CA9036C380B}">
            <xm:f>'CALCULS Eaux pluviales'!E$392&gt;1</xm:f>
            <x14:dxf>
              <fill>
                <patternFill>
                  <bgColor theme="9"/>
                </patternFill>
              </fill>
            </x14:dxf>
          </x14:cfRule>
          <xm:sqref>V121</xm:sqref>
        </x14:conditionalFormatting>
        <x14:conditionalFormatting xmlns:xm="http://schemas.microsoft.com/office/excel/2006/main">
          <x14:cfRule type="expression" priority="26" id="{761C93E5-728E-414C-A694-4384B8F42B8D}">
            <xm:f>'CALCULS Eaux pluviales'!E$392&gt;0</xm:f>
            <x14:dxf>
              <fill>
                <patternFill>
                  <bgColor theme="9"/>
                </patternFill>
              </fill>
            </x14:dxf>
          </x14:cfRule>
          <xm:sqref>V122</xm:sqref>
        </x14:conditionalFormatting>
        <x14:conditionalFormatting xmlns:xm="http://schemas.microsoft.com/office/excel/2006/main">
          <x14:cfRule type="expression" priority="50" id="{DD16F618-9CD2-44A3-A521-8F4AB8EB3A2A}">
            <xm:f>'CALCULS Eaux pluviales'!F$392&gt;4</xm:f>
            <x14:dxf>
              <fill>
                <patternFill>
                  <bgColor theme="9"/>
                </patternFill>
              </fill>
            </x14:dxf>
          </x14:cfRule>
          <xm:sqref>X118</xm:sqref>
        </x14:conditionalFormatting>
        <x14:conditionalFormatting xmlns:xm="http://schemas.microsoft.com/office/excel/2006/main">
          <x14:cfRule type="expression" priority="49" id="{8C8C8AA2-0FA8-47E9-97B5-3C390CEC1E24}">
            <xm:f>'CALCULS Eaux pluviales'!F$392&gt;3</xm:f>
            <x14:dxf>
              <fill>
                <patternFill>
                  <bgColor theme="9"/>
                </patternFill>
              </fill>
            </x14:dxf>
          </x14:cfRule>
          <xm:sqref>X119</xm:sqref>
        </x14:conditionalFormatting>
        <x14:conditionalFormatting xmlns:xm="http://schemas.microsoft.com/office/excel/2006/main">
          <x14:cfRule type="expression" priority="48" id="{6B740B7E-5827-46C4-855C-E856F12E57CA}">
            <xm:f>'CALCULS Eaux pluviales'!F$392&gt;2</xm:f>
            <x14:dxf>
              <fill>
                <patternFill>
                  <bgColor theme="9"/>
                </patternFill>
              </fill>
            </x14:dxf>
          </x14:cfRule>
          <xm:sqref>X120</xm:sqref>
        </x14:conditionalFormatting>
        <x14:conditionalFormatting xmlns:xm="http://schemas.microsoft.com/office/excel/2006/main">
          <x14:cfRule type="expression" priority="47" id="{03BC95C6-0D52-4FF4-87B5-DBB6AA7D7F60}">
            <xm:f>'CALCULS Eaux pluviales'!F$392&gt;1</xm:f>
            <x14:dxf>
              <fill>
                <patternFill>
                  <bgColor theme="9"/>
                </patternFill>
              </fill>
            </x14:dxf>
          </x14:cfRule>
          <xm:sqref>X121</xm:sqref>
        </x14:conditionalFormatting>
        <x14:conditionalFormatting xmlns:xm="http://schemas.microsoft.com/office/excel/2006/main">
          <x14:cfRule type="expression" priority="46" id="{0B0FEFF0-2223-4A1D-90B2-795DD0FC384E}">
            <xm:f>'CALCULS Eaux pluviales'!F$392&gt;0</xm:f>
            <x14:dxf>
              <fill>
                <patternFill>
                  <bgColor theme="9"/>
                </patternFill>
              </fill>
            </x14:dxf>
          </x14:cfRule>
          <xm:sqref>X122</xm:sqref>
        </x14:conditionalFormatting>
        <x14:conditionalFormatting xmlns:xm="http://schemas.microsoft.com/office/excel/2006/main">
          <x14:cfRule type="expression" priority="60" id="{95D45251-AD67-4341-A3BA-3D1CC95DB9EF}">
            <xm:f>'CALCULS Eaux pluviales'!G$392&gt;4</xm:f>
            <x14:dxf>
              <fill>
                <patternFill>
                  <bgColor theme="9"/>
                </patternFill>
              </fill>
            </x14:dxf>
          </x14:cfRule>
          <xm:sqref>Z118</xm:sqref>
        </x14:conditionalFormatting>
        <x14:conditionalFormatting xmlns:xm="http://schemas.microsoft.com/office/excel/2006/main">
          <x14:cfRule type="expression" priority="59" id="{6FDA0231-782B-4213-BBB1-ED2A18A433A3}">
            <xm:f>'CALCULS Eaux pluviales'!G$392&gt;3</xm:f>
            <x14:dxf>
              <fill>
                <patternFill>
                  <bgColor theme="9"/>
                </patternFill>
              </fill>
            </x14:dxf>
          </x14:cfRule>
          <xm:sqref>Z119</xm:sqref>
        </x14:conditionalFormatting>
        <x14:conditionalFormatting xmlns:xm="http://schemas.microsoft.com/office/excel/2006/main">
          <x14:cfRule type="expression" priority="58" id="{51104030-7EBF-40BE-81DE-8208D8FB3EBB}">
            <xm:f>'CALCULS Eaux pluviales'!G$392&gt;2</xm:f>
            <x14:dxf>
              <fill>
                <patternFill>
                  <bgColor theme="9"/>
                </patternFill>
              </fill>
            </x14:dxf>
          </x14:cfRule>
          <xm:sqref>Z120</xm:sqref>
        </x14:conditionalFormatting>
        <x14:conditionalFormatting xmlns:xm="http://schemas.microsoft.com/office/excel/2006/main">
          <x14:cfRule type="expression" priority="57" id="{3728AAA4-CB7E-4BB4-9E1A-6036511DD39E}">
            <xm:f>'CALCULS Eaux pluviales'!G$392&gt;1</xm:f>
            <x14:dxf>
              <fill>
                <patternFill>
                  <bgColor theme="9"/>
                </patternFill>
              </fill>
            </x14:dxf>
          </x14:cfRule>
          <xm:sqref>Z121</xm:sqref>
        </x14:conditionalFormatting>
        <x14:conditionalFormatting xmlns:xm="http://schemas.microsoft.com/office/excel/2006/main">
          <x14:cfRule type="expression" priority="56" id="{C4DAD784-9E4E-41A5-8A93-70C266F3D092}">
            <xm:f>'CALCULS Eaux pluviales'!G$392&gt;0</xm:f>
            <x14:dxf>
              <fill>
                <patternFill>
                  <bgColor theme="9"/>
                </patternFill>
              </fill>
            </x14:dxf>
          </x14:cfRule>
          <xm:sqref>Z122</xm:sqref>
        </x14:conditionalFormatting>
        <x14:conditionalFormatting xmlns:xm="http://schemas.microsoft.com/office/excel/2006/main">
          <x14:cfRule type="expression" priority="70" id="{9006962E-F277-41EA-ADA5-F3EB6366BA18}">
            <xm:f>'CALCULS Eaux pluviales'!H$392&gt;4</xm:f>
            <x14:dxf>
              <fill>
                <patternFill>
                  <bgColor theme="9"/>
                </patternFill>
              </fill>
            </x14:dxf>
          </x14:cfRule>
          <xm:sqref>AB118</xm:sqref>
        </x14:conditionalFormatting>
        <x14:conditionalFormatting xmlns:xm="http://schemas.microsoft.com/office/excel/2006/main">
          <x14:cfRule type="expression" priority="69" id="{4B3709C8-2E08-44E6-9CEE-B7C6A2DA2CD0}">
            <xm:f>'CALCULS Eaux pluviales'!H$392&gt;3</xm:f>
            <x14:dxf>
              <fill>
                <patternFill>
                  <bgColor theme="9"/>
                </patternFill>
              </fill>
            </x14:dxf>
          </x14:cfRule>
          <xm:sqref>AB119</xm:sqref>
        </x14:conditionalFormatting>
        <x14:conditionalFormatting xmlns:xm="http://schemas.microsoft.com/office/excel/2006/main">
          <x14:cfRule type="expression" priority="68" id="{0B0D539A-9837-476A-B2BE-37385AE4138C}">
            <xm:f>'CALCULS Eaux pluviales'!H$392&gt;2</xm:f>
            <x14:dxf>
              <fill>
                <patternFill>
                  <bgColor theme="9"/>
                </patternFill>
              </fill>
            </x14:dxf>
          </x14:cfRule>
          <xm:sqref>AB120</xm:sqref>
        </x14:conditionalFormatting>
        <x14:conditionalFormatting xmlns:xm="http://schemas.microsoft.com/office/excel/2006/main">
          <x14:cfRule type="expression" priority="67" id="{8A283299-A2AC-4D46-8289-F99A621FEE14}">
            <xm:f>'CALCULS Eaux pluviales'!H$392&gt;1</xm:f>
            <x14:dxf>
              <fill>
                <patternFill>
                  <bgColor theme="9"/>
                </patternFill>
              </fill>
            </x14:dxf>
          </x14:cfRule>
          <xm:sqref>AB121</xm:sqref>
        </x14:conditionalFormatting>
        <x14:conditionalFormatting xmlns:xm="http://schemas.microsoft.com/office/excel/2006/main">
          <x14:cfRule type="expression" priority="66" id="{CB748CCD-EEE5-4D63-81A1-1C9228B39FDA}">
            <xm:f>'CALCULS Eaux pluviales'!H$392&gt;0</xm:f>
            <x14:dxf>
              <fill>
                <patternFill>
                  <bgColor theme="9"/>
                </patternFill>
              </fill>
            </x14:dxf>
          </x14:cfRule>
          <xm:sqref>AB122</xm:sqref>
        </x14:conditionalFormatting>
        <x14:conditionalFormatting xmlns:xm="http://schemas.microsoft.com/office/excel/2006/main">
          <x14:cfRule type="expression" priority="80" id="{34795073-D43C-4688-905D-E091CEA98783}">
            <xm:f>'CALCULS Eaux pluviales'!I$392&gt;4</xm:f>
            <x14:dxf>
              <fill>
                <patternFill>
                  <bgColor theme="9"/>
                </patternFill>
              </fill>
            </x14:dxf>
          </x14:cfRule>
          <xm:sqref>AD118</xm:sqref>
        </x14:conditionalFormatting>
        <x14:conditionalFormatting xmlns:xm="http://schemas.microsoft.com/office/excel/2006/main">
          <x14:cfRule type="expression" priority="79" id="{214557EE-3E9C-4C69-ABDB-66CF9FD87A9E}">
            <xm:f>'CALCULS Eaux pluviales'!I$392&gt;3</xm:f>
            <x14:dxf>
              <fill>
                <patternFill>
                  <bgColor theme="9"/>
                </patternFill>
              </fill>
            </x14:dxf>
          </x14:cfRule>
          <xm:sqref>AD119</xm:sqref>
        </x14:conditionalFormatting>
        <x14:conditionalFormatting xmlns:xm="http://schemas.microsoft.com/office/excel/2006/main">
          <x14:cfRule type="expression" priority="78" id="{D743CC19-33D5-4D92-ABAC-E727FB0FBB19}">
            <xm:f>'CALCULS Eaux pluviales'!I$392&gt;2</xm:f>
            <x14:dxf>
              <fill>
                <patternFill>
                  <bgColor theme="9"/>
                </patternFill>
              </fill>
            </x14:dxf>
          </x14:cfRule>
          <xm:sqref>AD120</xm:sqref>
        </x14:conditionalFormatting>
        <x14:conditionalFormatting xmlns:xm="http://schemas.microsoft.com/office/excel/2006/main">
          <x14:cfRule type="expression" priority="77" id="{A8EBB533-CF4F-45E9-ABD8-63DCE2F56719}">
            <xm:f>'CALCULS Eaux pluviales'!I$392&gt;1</xm:f>
            <x14:dxf>
              <fill>
                <patternFill>
                  <bgColor theme="9"/>
                </patternFill>
              </fill>
            </x14:dxf>
          </x14:cfRule>
          <xm:sqref>AD121</xm:sqref>
        </x14:conditionalFormatting>
        <x14:conditionalFormatting xmlns:xm="http://schemas.microsoft.com/office/excel/2006/main">
          <x14:cfRule type="expression" priority="76" id="{C7099C99-E538-495F-96F5-009FA245539F}">
            <xm:f>'CALCULS Eaux pluviales'!I$392&gt;0</xm:f>
            <x14:dxf>
              <fill>
                <patternFill>
                  <bgColor theme="9"/>
                </patternFill>
              </fill>
            </x14:dxf>
          </x14:cfRule>
          <xm:sqref>AD122</xm:sqref>
        </x14:conditionalFormatting>
        <x14:conditionalFormatting xmlns:xm="http://schemas.microsoft.com/office/excel/2006/main">
          <x14:cfRule type="expression" priority="90" id="{081E532A-F761-41DE-9042-6E063252B075}">
            <xm:f>'CALCULS Eaux pluviales'!J$392&gt;4</xm:f>
            <x14:dxf>
              <fill>
                <patternFill>
                  <bgColor theme="9"/>
                </patternFill>
              </fill>
            </x14:dxf>
          </x14:cfRule>
          <xm:sqref>AF118</xm:sqref>
        </x14:conditionalFormatting>
        <x14:conditionalFormatting xmlns:xm="http://schemas.microsoft.com/office/excel/2006/main">
          <x14:cfRule type="expression" priority="89" id="{C1966428-C977-4D3D-AF59-5B92E26D5413}">
            <xm:f>'CALCULS Eaux pluviales'!J$392&gt;3</xm:f>
            <x14:dxf>
              <fill>
                <patternFill>
                  <bgColor theme="9"/>
                </patternFill>
              </fill>
            </x14:dxf>
          </x14:cfRule>
          <xm:sqref>AF119</xm:sqref>
        </x14:conditionalFormatting>
        <x14:conditionalFormatting xmlns:xm="http://schemas.microsoft.com/office/excel/2006/main">
          <x14:cfRule type="expression" priority="88" id="{CDA174F9-2B68-43DD-9D9C-43A155D49EE9}">
            <xm:f>'CALCULS Eaux pluviales'!J$392&gt;2</xm:f>
            <x14:dxf>
              <fill>
                <patternFill>
                  <bgColor theme="9"/>
                </patternFill>
              </fill>
            </x14:dxf>
          </x14:cfRule>
          <xm:sqref>AF120</xm:sqref>
        </x14:conditionalFormatting>
        <x14:conditionalFormatting xmlns:xm="http://schemas.microsoft.com/office/excel/2006/main">
          <x14:cfRule type="expression" priority="87" id="{B495ABBD-BF5B-4D98-8C15-CD233E2DC209}">
            <xm:f>'CALCULS Eaux pluviales'!J$392&gt;1</xm:f>
            <x14:dxf>
              <fill>
                <patternFill>
                  <bgColor theme="9"/>
                </patternFill>
              </fill>
            </x14:dxf>
          </x14:cfRule>
          <xm:sqref>AF121</xm:sqref>
        </x14:conditionalFormatting>
        <x14:conditionalFormatting xmlns:xm="http://schemas.microsoft.com/office/excel/2006/main">
          <x14:cfRule type="expression" priority="86" id="{2C8DF8A2-F9A8-4A56-8C23-FADDC48FF011}">
            <xm:f>'CALCULS Eaux pluviales'!J$392&gt;0</xm:f>
            <x14:dxf>
              <fill>
                <patternFill>
                  <bgColor theme="9"/>
                </patternFill>
              </fill>
            </x14:dxf>
          </x14:cfRule>
          <xm:sqref>AF122</xm:sqref>
        </x14:conditionalFormatting>
        <x14:conditionalFormatting xmlns:xm="http://schemas.microsoft.com/office/excel/2006/main">
          <x14:cfRule type="expression" priority="100" id="{F0A7EE1B-48AB-42F9-85EB-0BE80E1E1148}">
            <xm:f>'CALCULS Eaux pluviales'!K$392&gt;4</xm:f>
            <x14:dxf>
              <fill>
                <patternFill>
                  <bgColor theme="9"/>
                </patternFill>
              </fill>
            </x14:dxf>
          </x14:cfRule>
          <xm:sqref>AH118</xm:sqref>
        </x14:conditionalFormatting>
        <x14:conditionalFormatting xmlns:xm="http://schemas.microsoft.com/office/excel/2006/main">
          <x14:cfRule type="expression" priority="99" id="{05376F1C-B1DB-4F9F-95D5-65F76BD3E01E}">
            <xm:f>'CALCULS Eaux pluviales'!K$392&gt;3</xm:f>
            <x14:dxf>
              <fill>
                <patternFill>
                  <bgColor theme="9"/>
                </patternFill>
              </fill>
            </x14:dxf>
          </x14:cfRule>
          <xm:sqref>AH119</xm:sqref>
        </x14:conditionalFormatting>
        <x14:conditionalFormatting xmlns:xm="http://schemas.microsoft.com/office/excel/2006/main">
          <x14:cfRule type="expression" priority="98" id="{BC68FA4E-9994-4102-8C7C-A2A2E4DC654A}">
            <xm:f>'CALCULS Eaux pluviales'!K$392&gt;2</xm:f>
            <x14:dxf>
              <fill>
                <patternFill>
                  <bgColor theme="9"/>
                </patternFill>
              </fill>
            </x14:dxf>
          </x14:cfRule>
          <xm:sqref>AH120</xm:sqref>
        </x14:conditionalFormatting>
        <x14:conditionalFormatting xmlns:xm="http://schemas.microsoft.com/office/excel/2006/main">
          <x14:cfRule type="expression" priority="97" id="{289FB3E8-5D03-46E4-909B-3C861775A508}">
            <xm:f>'CALCULS Eaux pluviales'!K$392&gt;1</xm:f>
            <x14:dxf>
              <fill>
                <patternFill>
                  <bgColor theme="9"/>
                </patternFill>
              </fill>
            </x14:dxf>
          </x14:cfRule>
          <xm:sqref>AH121</xm:sqref>
        </x14:conditionalFormatting>
        <x14:conditionalFormatting xmlns:xm="http://schemas.microsoft.com/office/excel/2006/main">
          <x14:cfRule type="expression" priority="96" id="{5B05C28D-8F05-4292-9C4A-3FEE9113F54A}">
            <xm:f>'CALCULS Eaux pluviales'!K$392&gt;0</xm:f>
            <x14:dxf>
              <fill>
                <patternFill>
                  <bgColor theme="9"/>
                </patternFill>
              </fill>
            </x14:dxf>
          </x14:cfRule>
          <xm:sqref>AH122</xm:sqref>
        </x14:conditionalFormatting>
        <x14:conditionalFormatting xmlns:xm="http://schemas.microsoft.com/office/excel/2006/main">
          <x14:cfRule type="expression" priority="110" id="{AF867D65-C3FF-4DDB-A618-79E7D139CA62}">
            <xm:f>'CALCULS Eaux pluviales'!L$392&gt;4</xm:f>
            <x14:dxf>
              <fill>
                <patternFill>
                  <bgColor theme="9" tint="-0.499984740745262"/>
                </patternFill>
              </fill>
            </x14:dxf>
          </x14:cfRule>
          <xm:sqref>AJ118</xm:sqref>
        </x14:conditionalFormatting>
        <x14:conditionalFormatting xmlns:xm="http://schemas.microsoft.com/office/excel/2006/main">
          <x14:cfRule type="expression" priority="109" id="{C13272A1-CCDB-427B-A100-CCE301A6A026}">
            <xm:f>'CALCULS Eaux pluviales'!L$392&gt;3</xm:f>
            <x14:dxf>
              <fill>
                <patternFill>
                  <bgColor theme="9" tint="-0.499984740745262"/>
                </patternFill>
              </fill>
            </x14:dxf>
          </x14:cfRule>
          <xm:sqref>AJ119</xm:sqref>
        </x14:conditionalFormatting>
        <x14:conditionalFormatting xmlns:xm="http://schemas.microsoft.com/office/excel/2006/main">
          <x14:cfRule type="expression" priority="108" id="{715BAC42-216A-40ED-BCEE-C08F4A0A5EDD}">
            <xm:f>'CALCULS Eaux pluviales'!L$392&gt;2</xm:f>
            <x14:dxf>
              <fill>
                <patternFill>
                  <bgColor theme="9" tint="-0.499984740745262"/>
                </patternFill>
              </fill>
            </x14:dxf>
          </x14:cfRule>
          <xm:sqref>AJ120</xm:sqref>
        </x14:conditionalFormatting>
        <x14:conditionalFormatting xmlns:xm="http://schemas.microsoft.com/office/excel/2006/main">
          <x14:cfRule type="expression" priority="107" id="{A66C9824-201E-4B27-8ADD-C40E84D990AF}">
            <xm:f>'CALCULS Eaux pluviales'!L$392&gt;1</xm:f>
            <x14:dxf>
              <fill>
                <patternFill>
                  <bgColor theme="9" tint="-0.499984740745262"/>
                </patternFill>
              </fill>
            </x14:dxf>
          </x14:cfRule>
          <xm:sqref>AJ121</xm:sqref>
        </x14:conditionalFormatting>
        <x14:conditionalFormatting xmlns:xm="http://schemas.microsoft.com/office/excel/2006/main">
          <x14:cfRule type="expression" priority="106" id="{F780C82D-C874-4324-BA98-6A3C04525CA4}">
            <xm:f>'CALCULS Eaux pluviales'!L$392&gt;0</xm:f>
            <x14:dxf>
              <fill>
                <patternFill>
                  <bgColor theme="9" tint="-0.499984740745262"/>
                </patternFill>
              </fill>
            </x14:dxf>
          </x14:cfRule>
          <xm:sqref>AJ122</xm:sqref>
        </x14:conditionalFormatting>
        <x14:conditionalFormatting xmlns:xm="http://schemas.microsoft.com/office/excel/2006/main">
          <x14:cfRule type="expression" priority="35" id="{011AC9A8-C71B-42A3-BCE6-52279629EC77}">
            <xm:f>'CALCULS Eaux pluviales'!E$402&gt;4</xm:f>
            <x14:dxf>
              <fill>
                <patternFill>
                  <bgColor rgb="FF428BCE"/>
                </patternFill>
              </fill>
            </x14:dxf>
          </x14:cfRule>
          <xm:sqref>AV118</xm:sqref>
        </x14:conditionalFormatting>
        <x14:conditionalFormatting xmlns:xm="http://schemas.microsoft.com/office/excel/2006/main">
          <x14:cfRule type="expression" priority="34" id="{95F1F263-856B-47CA-9396-1CF81C8D4366}">
            <xm:f>'CALCULS Eaux pluviales'!E$402&gt;3</xm:f>
            <x14:dxf>
              <fill>
                <patternFill>
                  <bgColor rgb="FF428BCE"/>
                </patternFill>
              </fill>
            </x14:dxf>
          </x14:cfRule>
          <xm:sqref>AV119</xm:sqref>
        </x14:conditionalFormatting>
        <x14:conditionalFormatting xmlns:xm="http://schemas.microsoft.com/office/excel/2006/main">
          <x14:cfRule type="expression" priority="33" id="{565199B8-5298-4362-A772-8D2C089F34AD}">
            <xm:f>'CALCULS Eaux pluviales'!E$402&gt;2</xm:f>
            <x14:dxf>
              <fill>
                <patternFill>
                  <bgColor rgb="FF428BCE"/>
                </patternFill>
              </fill>
            </x14:dxf>
          </x14:cfRule>
          <xm:sqref>AV120</xm:sqref>
        </x14:conditionalFormatting>
        <x14:conditionalFormatting xmlns:xm="http://schemas.microsoft.com/office/excel/2006/main">
          <x14:cfRule type="expression" priority="32" id="{2123D9EB-3B3A-4654-9549-7CFE0592DB6D}">
            <xm:f>'CALCULS Eaux pluviales'!E$402&gt;1</xm:f>
            <x14:dxf>
              <fill>
                <patternFill>
                  <bgColor rgb="FF428BCE"/>
                </patternFill>
              </fill>
            </x14:dxf>
          </x14:cfRule>
          <xm:sqref>AV121</xm:sqref>
        </x14:conditionalFormatting>
        <x14:conditionalFormatting xmlns:xm="http://schemas.microsoft.com/office/excel/2006/main">
          <x14:cfRule type="expression" priority="31" id="{6B28390C-1659-4E25-BD87-383C8641F5C6}">
            <xm:f>'CALCULS Eaux pluviales'!E$402&gt;0</xm:f>
            <x14:dxf>
              <fill>
                <patternFill>
                  <bgColor rgb="FF428BCE"/>
                </patternFill>
              </fill>
            </x14:dxf>
          </x14:cfRule>
          <xm:sqref>AV122</xm:sqref>
        </x14:conditionalFormatting>
        <x14:conditionalFormatting xmlns:xm="http://schemas.microsoft.com/office/excel/2006/main">
          <x14:cfRule type="expression" priority="115" id="{10E266A2-31CC-42D7-8A6F-E5B1DA2AB776}">
            <xm:f>'CALCULS Eaux pluviales'!F$402&gt;4</xm:f>
            <x14:dxf>
              <fill>
                <patternFill>
                  <bgColor rgb="FF428BCE"/>
                </patternFill>
              </fill>
            </x14:dxf>
          </x14:cfRule>
          <xm:sqref>AX118</xm:sqref>
        </x14:conditionalFormatting>
        <x14:conditionalFormatting xmlns:xm="http://schemas.microsoft.com/office/excel/2006/main">
          <x14:cfRule type="expression" priority="114" id="{552E0289-DAE6-4B37-8CBF-9F73E75A3441}">
            <xm:f>'CALCULS Eaux pluviales'!F$402&gt;3</xm:f>
            <x14:dxf>
              <fill>
                <patternFill>
                  <bgColor rgb="FF428BCE"/>
                </patternFill>
              </fill>
            </x14:dxf>
          </x14:cfRule>
          <xm:sqref>AX119</xm:sqref>
        </x14:conditionalFormatting>
        <x14:conditionalFormatting xmlns:xm="http://schemas.microsoft.com/office/excel/2006/main">
          <x14:cfRule type="expression" priority="113" id="{951E47EF-D05C-494A-9FC9-4ACE7FBADDBE}">
            <xm:f>'CALCULS Eaux pluviales'!F$402&gt;2</xm:f>
            <x14:dxf>
              <fill>
                <patternFill>
                  <bgColor rgb="FF428BCE"/>
                </patternFill>
              </fill>
            </x14:dxf>
          </x14:cfRule>
          <xm:sqref>AX120</xm:sqref>
        </x14:conditionalFormatting>
        <x14:conditionalFormatting xmlns:xm="http://schemas.microsoft.com/office/excel/2006/main">
          <x14:cfRule type="expression" priority="112" id="{78A0E937-1DCE-4015-944A-471F6135E62A}">
            <xm:f>'CALCULS Eaux pluviales'!F$402&gt;1</xm:f>
            <x14:dxf>
              <fill>
                <patternFill>
                  <bgColor rgb="FF428BCE"/>
                </patternFill>
              </fill>
            </x14:dxf>
          </x14:cfRule>
          <xm:sqref>AX121</xm:sqref>
        </x14:conditionalFormatting>
        <x14:conditionalFormatting xmlns:xm="http://schemas.microsoft.com/office/excel/2006/main">
          <x14:cfRule type="expression" priority="111" id="{3169A03A-5B99-44DA-8E2D-91E2C3875722}">
            <xm:f>'CALCULS Eaux pluviales'!F$402&gt;0</xm:f>
            <x14:dxf>
              <fill>
                <patternFill>
                  <bgColor rgb="FF428BCE"/>
                </patternFill>
              </fill>
            </x14:dxf>
          </x14:cfRule>
          <xm:sqref>AX122</xm:sqref>
        </x14:conditionalFormatting>
        <x14:conditionalFormatting xmlns:xm="http://schemas.microsoft.com/office/excel/2006/main">
          <x14:cfRule type="expression" priority="125" id="{148E829F-4B13-4908-94F5-C478AA59F857}">
            <xm:f>'CALCULS Eaux pluviales'!G$402&gt;4</xm:f>
            <x14:dxf>
              <fill>
                <patternFill>
                  <bgColor rgb="FF428BCE"/>
                </patternFill>
              </fill>
            </x14:dxf>
          </x14:cfRule>
          <xm:sqref>AZ118</xm:sqref>
        </x14:conditionalFormatting>
        <x14:conditionalFormatting xmlns:xm="http://schemas.microsoft.com/office/excel/2006/main">
          <x14:cfRule type="expression" priority="124" id="{EA80B220-5725-4F13-8233-6C463BFA85CA}">
            <xm:f>'CALCULS Eaux pluviales'!G$402&gt;3</xm:f>
            <x14:dxf>
              <fill>
                <patternFill>
                  <bgColor rgb="FF428BCE"/>
                </patternFill>
              </fill>
            </x14:dxf>
          </x14:cfRule>
          <xm:sqref>AZ119</xm:sqref>
        </x14:conditionalFormatting>
        <x14:conditionalFormatting xmlns:xm="http://schemas.microsoft.com/office/excel/2006/main">
          <x14:cfRule type="expression" priority="123" id="{D1705A46-1790-407C-B8E9-602BDCF8782B}">
            <xm:f>'CALCULS Eaux pluviales'!G$402&gt;2</xm:f>
            <x14:dxf>
              <fill>
                <patternFill>
                  <bgColor rgb="FF428BCE"/>
                </patternFill>
              </fill>
            </x14:dxf>
          </x14:cfRule>
          <xm:sqref>AZ120</xm:sqref>
        </x14:conditionalFormatting>
        <x14:conditionalFormatting xmlns:xm="http://schemas.microsoft.com/office/excel/2006/main">
          <x14:cfRule type="expression" priority="122" id="{83CC1FBB-2851-4205-B93B-D375AA1BF2F6}">
            <xm:f>'CALCULS Eaux pluviales'!G$402&gt;1</xm:f>
            <x14:dxf>
              <fill>
                <patternFill>
                  <bgColor rgb="FF428BCE"/>
                </patternFill>
              </fill>
            </x14:dxf>
          </x14:cfRule>
          <xm:sqref>AZ121</xm:sqref>
        </x14:conditionalFormatting>
        <x14:conditionalFormatting xmlns:xm="http://schemas.microsoft.com/office/excel/2006/main">
          <x14:cfRule type="expression" priority="121" id="{24657865-D601-4212-ADB5-DB770F8C13A0}">
            <xm:f>'CALCULS Eaux pluviales'!G$402&gt;0</xm:f>
            <x14:dxf>
              <fill>
                <patternFill>
                  <bgColor rgb="FF428BCE"/>
                </patternFill>
              </fill>
            </x14:dxf>
          </x14:cfRule>
          <xm:sqref>AZ122</xm:sqref>
        </x14:conditionalFormatting>
        <x14:conditionalFormatting xmlns:xm="http://schemas.microsoft.com/office/excel/2006/main">
          <x14:cfRule type="expression" priority="135" id="{2215E40E-DCEE-4EB2-8E54-2574CF862546}">
            <xm:f>'CALCULS Eaux pluviales'!H$402&gt;4</xm:f>
            <x14:dxf>
              <fill>
                <patternFill>
                  <bgColor rgb="FF428BCE"/>
                </patternFill>
              </fill>
            </x14:dxf>
          </x14:cfRule>
          <xm:sqref>BB118</xm:sqref>
        </x14:conditionalFormatting>
        <x14:conditionalFormatting xmlns:xm="http://schemas.microsoft.com/office/excel/2006/main">
          <x14:cfRule type="expression" priority="134" id="{AB6F8778-EF13-4D49-AAAB-24D856EA7A4F}">
            <xm:f>'CALCULS Eaux pluviales'!H$402&gt;3</xm:f>
            <x14:dxf>
              <fill>
                <patternFill>
                  <bgColor rgb="FF428BCE"/>
                </patternFill>
              </fill>
            </x14:dxf>
          </x14:cfRule>
          <xm:sqref>BB119</xm:sqref>
        </x14:conditionalFormatting>
        <x14:conditionalFormatting xmlns:xm="http://schemas.microsoft.com/office/excel/2006/main">
          <x14:cfRule type="expression" priority="133" id="{F4DC7719-6EF7-4EA1-9C23-2D9AB0C5F1B0}">
            <xm:f>'CALCULS Eaux pluviales'!H$402&gt;2</xm:f>
            <x14:dxf>
              <fill>
                <patternFill>
                  <bgColor rgb="FF428BCE"/>
                </patternFill>
              </fill>
            </x14:dxf>
          </x14:cfRule>
          <xm:sqref>BB120</xm:sqref>
        </x14:conditionalFormatting>
        <x14:conditionalFormatting xmlns:xm="http://schemas.microsoft.com/office/excel/2006/main">
          <x14:cfRule type="expression" priority="132" id="{770278F8-15AE-4E83-8F9F-5C00EBF7648C}">
            <xm:f>'CALCULS Eaux pluviales'!H$402&gt;1</xm:f>
            <x14:dxf>
              <fill>
                <patternFill>
                  <bgColor rgb="FF428BCE"/>
                </patternFill>
              </fill>
            </x14:dxf>
          </x14:cfRule>
          <xm:sqref>BB121</xm:sqref>
        </x14:conditionalFormatting>
        <x14:conditionalFormatting xmlns:xm="http://schemas.microsoft.com/office/excel/2006/main">
          <x14:cfRule type="expression" priority="131" id="{F78F89AF-D924-470B-AC20-BFF2C59B55D6}">
            <xm:f>'CALCULS Eaux pluviales'!H$402&gt;0</xm:f>
            <x14:dxf>
              <fill>
                <patternFill>
                  <bgColor rgb="FF428BCE"/>
                </patternFill>
              </fill>
            </x14:dxf>
          </x14:cfRule>
          <xm:sqref>BB122</xm:sqref>
        </x14:conditionalFormatting>
        <x14:conditionalFormatting xmlns:xm="http://schemas.microsoft.com/office/excel/2006/main">
          <x14:cfRule type="expression" priority="145" id="{B0B59C56-A89F-4141-A148-5A12216EA8B5}">
            <xm:f>'CALCULS Eaux pluviales'!I$402&gt;4</xm:f>
            <x14:dxf>
              <fill>
                <patternFill>
                  <bgColor rgb="FF428BCE"/>
                </patternFill>
              </fill>
            </x14:dxf>
          </x14:cfRule>
          <xm:sqref>BD118</xm:sqref>
        </x14:conditionalFormatting>
        <x14:conditionalFormatting xmlns:xm="http://schemas.microsoft.com/office/excel/2006/main">
          <x14:cfRule type="expression" priority="144" id="{4BF35B4E-A546-47BF-9B7D-9447797C4561}">
            <xm:f>'CALCULS Eaux pluviales'!I$402&gt;3</xm:f>
            <x14:dxf>
              <fill>
                <patternFill>
                  <bgColor rgb="FF428BCE"/>
                </patternFill>
              </fill>
            </x14:dxf>
          </x14:cfRule>
          <xm:sqref>BD119</xm:sqref>
        </x14:conditionalFormatting>
        <x14:conditionalFormatting xmlns:xm="http://schemas.microsoft.com/office/excel/2006/main">
          <x14:cfRule type="expression" priority="143" id="{9D4B228F-1A17-4CC0-B216-9E5DD17910CD}">
            <xm:f>'CALCULS Eaux pluviales'!I$402&gt;2</xm:f>
            <x14:dxf>
              <fill>
                <patternFill>
                  <bgColor rgb="FF428BCE"/>
                </patternFill>
              </fill>
            </x14:dxf>
          </x14:cfRule>
          <xm:sqref>BD120</xm:sqref>
        </x14:conditionalFormatting>
        <x14:conditionalFormatting xmlns:xm="http://schemas.microsoft.com/office/excel/2006/main">
          <x14:cfRule type="expression" priority="142" id="{9C1033F5-F0B6-43FF-8A02-DE3C70C27A32}">
            <xm:f>'CALCULS Eaux pluviales'!I$402&gt;1</xm:f>
            <x14:dxf>
              <fill>
                <patternFill>
                  <bgColor rgb="FF428BCE"/>
                </patternFill>
              </fill>
            </x14:dxf>
          </x14:cfRule>
          <xm:sqref>BD121</xm:sqref>
        </x14:conditionalFormatting>
        <x14:conditionalFormatting xmlns:xm="http://schemas.microsoft.com/office/excel/2006/main">
          <x14:cfRule type="expression" priority="141" id="{90288DCD-98A1-4B5D-A0D6-B6C5A0AA56BA}">
            <xm:f>'CALCULS Eaux pluviales'!I$402&gt;0</xm:f>
            <x14:dxf>
              <fill>
                <patternFill>
                  <bgColor rgb="FF428BCE"/>
                </patternFill>
              </fill>
            </x14:dxf>
          </x14:cfRule>
          <xm:sqref>BD122</xm:sqref>
        </x14:conditionalFormatting>
        <x14:conditionalFormatting xmlns:xm="http://schemas.microsoft.com/office/excel/2006/main">
          <x14:cfRule type="expression" priority="155" id="{C7E429FD-F34D-47CD-994B-709CBD680C1A}">
            <xm:f>'CALCULS Eaux pluviales'!J$402&gt;4</xm:f>
            <x14:dxf>
              <fill>
                <patternFill>
                  <bgColor rgb="FF428BCE"/>
                </patternFill>
              </fill>
            </x14:dxf>
          </x14:cfRule>
          <xm:sqref>BF118</xm:sqref>
        </x14:conditionalFormatting>
        <x14:conditionalFormatting xmlns:xm="http://schemas.microsoft.com/office/excel/2006/main">
          <x14:cfRule type="expression" priority="154" id="{6F287C5C-287A-4825-BC12-2C44DDAEBBCA}">
            <xm:f>'CALCULS Eaux pluviales'!J$402&gt;3</xm:f>
            <x14:dxf>
              <fill>
                <patternFill>
                  <bgColor rgb="FF428BCE"/>
                </patternFill>
              </fill>
            </x14:dxf>
          </x14:cfRule>
          <xm:sqref>BF119</xm:sqref>
        </x14:conditionalFormatting>
        <x14:conditionalFormatting xmlns:xm="http://schemas.microsoft.com/office/excel/2006/main">
          <x14:cfRule type="expression" priority="153" id="{1BE87D6B-4370-4641-AD53-68BE027ABAAD}">
            <xm:f>'CALCULS Eaux pluviales'!J$402&gt;2</xm:f>
            <x14:dxf>
              <fill>
                <patternFill>
                  <bgColor rgb="FF428BCE"/>
                </patternFill>
              </fill>
            </x14:dxf>
          </x14:cfRule>
          <xm:sqref>BF120</xm:sqref>
        </x14:conditionalFormatting>
        <x14:conditionalFormatting xmlns:xm="http://schemas.microsoft.com/office/excel/2006/main">
          <x14:cfRule type="expression" priority="152" id="{E1DC4FE4-DC0E-4D99-8305-89291AA07FD2}">
            <xm:f>'CALCULS Eaux pluviales'!J$402&gt;1</xm:f>
            <x14:dxf>
              <fill>
                <patternFill>
                  <bgColor rgb="FF428BCE"/>
                </patternFill>
              </fill>
            </x14:dxf>
          </x14:cfRule>
          <xm:sqref>BF121</xm:sqref>
        </x14:conditionalFormatting>
        <x14:conditionalFormatting xmlns:xm="http://schemas.microsoft.com/office/excel/2006/main">
          <x14:cfRule type="expression" priority="151" id="{BA16A9CE-2E15-40C1-9D9A-0D5394B6747D}">
            <xm:f>'CALCULS Eaux pluviales'!J$402&gt;0</xm:f>
            <x14:dxf>
              <fill>
                <patternFill>
                  <bgColor rgb="FF428BCE"/>
                </patternFill>
              </fill>
            </x14:dxf>
          </x14:cfRule>
          <xm:sqref>BF122</xm:sqref>
        </x14:conditionalFormatting>
        <x14:conditionalFormatting xmlns:xm="http://schemas.microsoft.com/office/excel/2006/main">
          <x14:cfRule type="expression" priority="165" id="{4166524A-9918-4B40-B4C8-592B6CDA9255}">
            <xm:f>'CALCULS Eaux pluviales'!K$402&gt;4</xm:f>
            <x14:dxf>
              <fill>
                <patternFill>
                  <bgColor rgb="FF428BCE"/>
                </patternFill>
              </fill>
            </x14:dxf>
          </x14:cfRule>
          <xm:sqref>BH118</xm:sqref>
        </x14:conditionalFormatting>
        <x14:conditionalFormatting xmlns:xm="http://schemas.microsoft.com/office/excel/2006/main">
          <x14:cfRule type="expression" priority="164" id="{2F0F0AD3-1F3E-48E7-9587-D59C1E1DBF0E}">
            <xm:f>'CALCULS Eaux pluviales'!K$402&gt;3</xm:f>
            <x14:dxf>
              <fill>
                <patternFill>
                  <bgColor rgb="FF428BCE"/>
                </patternFill>
              </fill>
            </x14:dxf>
          </x14:cfRule>
          <xm:sqref>BH119</xm:sqref>
        </x14:conditionalFormatting>
        <x14:conditionalFormatting xmlns:xm="http://schemas.microsoft.com/office/excel/2006/main">
          <x14:cfRule type="expression" priority="163" id="{68A592A3-F8A3-451D-ACFE-003FFF351C5D}">
            <xm:f>'CALCULS Eaux pluviales'!K$402&gt;2</xm:f>
            <x14:dxf>
              <fill>
                <patternFill>
                  <bgColor rgb="FF428BCE"/>
                </patternFill>
              </fill>
            </x14:dxf>
          </x14:cfRule>
          <xm:sqref>BH120</xm:sqref>
        </x14:conditionalFormatting>
        <x14:conditionalFormatting xmlns:xm="http://schemas.microsoft.com/office/excel/2006/main">
          <x14:cfRule type="expression" priority="162" id="{663951B7-2920-4729-93E2-DB42009B03F9}">
            <xm:f>'CALCULS Eaux pluviales'!K$402&gt;1</xm:f>
            <x14:dxf>
              <fill>
                <patternFill>
                  <bgColor rgb="FF428BCE"/>
                </patternFill>
              </fill>
            </x14:dxf>
          </x14:cfRule>
          <xm:sqref>BH121</xm:sqref>
        </x14:conditionalFormatting>
        <x14:conditionalFormatting xmlns:xm="http://schemas.microsoft.com/office/excel/2006/main">
          <x14:cfRule type="expression" priority="161" id="{5045CE69-4A5E-42CA-BFC8-433B8A3B8C2C}">
            <xm:f>'CALCULS Eaux pluviales'!K$402&gt;0</xm:f>
            <x14:dxf>
              <fill>
                <patternFill>
                  <bgColor rgb="FF428BCE"/>
                </patternFill>
              </fill>
            </x14:dxf>
          </x14:cfRule>
          <xm:sqref>BH122</xm:sqref>
        </x14:conditionalFormatting>
        <x14:conditionalFormatting xmlns:xm="http://schemas.microsoft.com/office/excel/2006/main">
          <x14:cfRule type="expression" priority="175" id="{33AE7185-B628-4596-BB9D-5274EAE28B36}">
            <xm:f>'CALCULS Eaux pluviales'!L$402&gt;4</xm:f>
            <x14:dxf>
              <fill>
                <patternFill>
                  <bgColor theme="8" tint="-0.499984740745262"/>
                </patternFill>
              </fill>
            </x14:dxf>
          </x14:cfRule>
          <xm:sqref>BJ118</xm:sqref>
        </x14:conditionalFormatting>
        <x14:conditionalFormatting xmlns:xm="http://schemas.microsoft.com/office/excel/2006/main">
          <x14:cfRule type="expression" priority="174" id="{CF411BF6-E415-47DB-B0DF-54BB923F692F}">
            <xm:f>'CALCULS Eaux pluviales'!L$402&gt;3</xm:f>
            <x14:dxf>
              <fill>
                <patternFill>
                  <bgColor theme="8" tint="-0.499984740745262"/>
                </patternFill>
              </fill>
            </x14:dxf>
          </x14:cfRule>
          <xm:sqref>BJ119</xm:sqref>
        </x14:conditionalFormatting>
        <x14:conditionalFormatting xmlns:xm="http://schemas.microsoft.com/office/excel/2006/main">
          <x14:cfRule type="expression" priority="173" id="{70BEFF07-2566-4729-B897-B0BC3662CBB5}">
            <xm:f>'CALCULS Eaux pluviales'!L$402&gt;2</xm:f>
            <x14:dxf>
              <fill>
                <patternFill>
                  <bgColor theme="8" tint="-0.499984740745262"/>
                </patternFill>
              </fill>
            </x14:dxf>
          </x14:cfRule>
          <xm:sqref>BJ120</xm:sqref>
        </x14:conditionalFormatting>
        <x14:conditionalFormatting xmlns:xm="http://schemas.microsoft.com/office/excel/2006/main">
          <x14:cfRule type="expression" priority="172" id="{6CA00A51-8422-4DD8-8C5B-575AE32DF852}">
            <xm:f>'CALCULS Eaux pluviales'!L$402&gt;1</xm:f>
            <x14:dxf>
              <fill>
                <patternFill>
                  <bgColor theme="8" tint="-0.499984740745262"/>
                </patternFill>
              </fill>
            </x14:dxf>
          </x14:cfRule>
          <xm:sqref>BJ121</xm:sqref>
        </x14:conditionalFormatting>
        <x14:conditionalFormatting xmlns:xm="http://schemas.microsoft.com/office/excel/2006/main">
          <x14:cfRule type="expression" priority="171" id="{4897AEF2-703F-46F3-9D53-74FD7CC45C00}">
            <xm:f>'CALCULS Eaux pluviales'!L$402&gt;0</xm:f>
            <x14:dxf>
              <fill>
                <patternFill>
                  <bgColor theme="8" tint="-0.499984740745262"/>
                </patternFill>
              </fill>
            </x14:dxf>
          </x14:cfRule>
          <xm:sqref>BJ122</xm:sqref>
        </x14:conditionalFormatting>
        <x14:conditionalFormatting xmlns:xm="http://schemas.microsoft.com/office/excel/2006/main">
          <x14:cfRule type="expression" priority="40" id="{373BB7DC-9DF9-440D-884A-8466EEFA003E}">
            <xm:f>'CALCULS Eaux pluviales'!E$404&gt;4</xm:f>
            <x14:dxf>
              <fill>
                <patternFill>
                  <bgColor rgb="FF428BCE"/>
                </patternFill>
              </fill>
            </x14:dxf>
          </x14:cfRule>
          <xm:sqref>BL118</xm:sqref>
        </x14:conditionalFormatting>
        <x14:conditionalFormatting xmlns:xm="http://schemas.microsoft.com/office/excel/2006/main">
          <x14:cfRule type="expression" priority="39" id="{03323CD5-C5F3-422E-BDAE-D1BF02BF4BE0}">
            <xm:f>'CALCULS Eaux pluviales'!E$404&gt;3</xm:f>
            <x14:dxf>
              <fill>
                <patternFill>
                  <bgColor rgb="FF428BCE"/>
                </patternFill>
              </fill>
            </x14:dxf>
          </x14:cfRule>
          <xm:sqref>BL119</xm:sqref>
        </x14:conditionalFormatting>
        <x14:conditionalFormatting xmlns:xm="http://schemas.microsoft.com/office/excel/2006/main">
          <x14:cfRule type="expression" priority="38" id="{C1EDAEB3-E48A-4478-809A-EEF1DBBE139E}">
            <xm:f>'CALCULS Eaux pluviales'!E$404&gt;2</xm:f>
            <x14:dxf>
              <fill>
                <patternFill>
                  <bgColor rgb="FF428BCE"/>
                </patternFill>
              </fill>
            </x14:dxf>
          </x14:cfRule>
          <xm:sqref>BL120</xm:sqref>
        </x14:conditionalFormatting>
        <x14:conditionalFormatting xmlns:xm="http://schemas.microsoft.com/office/excel/2006/main">
          <x14:cfRule type="expression" priority="37" id="{9A43786E-48C5-4FC7-907D-2368C924A4EC}">
            <xm:f>'CALCULS Eaux pluviales'!E$404&gt;1</xm:f>
            <x14:dxf>
              <fill>
                <patternFill>
                  <bgColor rgb="FF428BCE"/>
                </patternFill>
              </fill>
            </x14:dxf>
          </x14:cfRule>
          <xm:sqref>BL121</xm:sqref>
        </x14:conditionalFormatting>
        <x14:conditionalFormatting xmlns:xm="http://schemas.microsoft.com/office/excel/2006/main">
          <x14:cfRule type="expression" priority="36" id="{84792DFF-1B18-4F11-8581-2A59C62CFBD0}">
            <xm:f>'CALCULS Eaux pluviales'!E$404&gt;0</xm:f>
            <x14:dxf>
              <fill>
                <patternFill>
                  <bgColor rgb="FF428BCE"/>
                </patternFill>
              </fill>
            </x14:dxf>
          </x14:cfRule>
          <xm:sqref>BL122</xm:sqref>
        </x14:conditionalFormatting>
        <x14:conditionalFormatting xmlns:xm="http://schemas.microsoft.com/office/excel/2006/main">
          <x14:cfRule type="expression" priority="120" id="{3CDB2ED8-B3AA-437F-9732-051FDB0E7162}">
            <xm:f>'CALCULS Eaux pluviales'!F$404&gt;4</xm:f>
            <x14:dxf>
              <fill>
                <patternFill>
                  <bgColor rgb="FF428BCE"/>
                </patternFill>
              </fill>
            </x14:dxf>
          </x14:cfRule>
          <xm:sqref>BN118</xm:sqref>
        </x14:conditionalFormatting>
        <x14:conditionalFormatting xmlns:xm="http://schemas.microsoft.com/office/excel/2006/main">
          <x14:cfRule type="expression" priority="119" id="{1067438C-E0C2-4470-BE98-3E210C0DC115}">
            <xm:f>'CALCULS Eaux pluviales'!F$404&gt;3</xm:f>
            <x14:dxf>
              <fill>
                <patternFill>
                  <bgColor rgb="FF428BCE"/>
                </patternFill>
              </fill>
            </x14:dxf>
          </x14:cfRule>
          <xm:sqref>BN119</xm:sqref>
        </x14:conditionalFormatting>
        <x14:conditionalFormatting xmlns:xm="http://schemas.microsoft.com/office/excel/2006/main">
          <x14:cfRule type="expression" priority="118" id="{C6F97DDE-5F50-4875-A5CB-78415830520B}">
            <xm:f>'CALCULS Eaux pluviales'!F$404&gt;2</xm:f>
            <x14:dxf>
              <fill>
                <patternFill>
                  <bgColor rgb="FF428BCE"/>
                </patternFill>
              </fill>
            </x14:dxf>
          </x14:cfRule>
          <xm:sqref>BN120</xm:sqref>
        </x14:conditionalFormatting>
        <x14:conditionalFormatting xmlns:xm="http://schemas.microsoft.com/office/excel/2006/main">
          <x14:cfRule type="expression" priority="117" id="{B149CD61-9791-4B3E-BE63-09DAC5E5059D}">
            <xm:f>'CALCULS Eaux pluviales'!F$404&gt;1</xm:f>
            <x14:dxf>
              <fill>
                <patternFill>
                  <bgColor rgb="FF428BCE"/>
                </patternFill>
              </fill>
            </x14:dxf>
          </x14:cfRule>
          <xm:sqref>BN121</xm:sqref>
        </x14:conditionalFormatting>
        <x14:conditionalFormatting xmlns:xm="http://schemas.microsoft.com/office/excel/2006/main">
          <x14:cfRule type="expression" priority="116" id="{F0831709-4825-4A1A-839F-895719169C0F}">
            <xm:f>'CALCULS Eaux pluviales'!F$404&gt;0</xm:f>
            <x14:dxf>
              <fill>
                <patternFill>
                  <bgColor rgb="FF428BCE"/>
                </patternFill>
              </fill>
            </x14:dxf>
          </x14:cfRule>
          <xm:sqref>BN122</xm:sqref>
        </x14:conditionalFormatting>
        <x14:conditionalFormatting xmlns:xm="http://schemas.microsoft.com/office/excel/2006/main">
          <x14:cfRule type="expression" priority="130" id="{057D1933-10C9-4DFB-B925-FA337828771E}">
            <xm:f>'CALCULS Eaux pluviales'!G$404&gt;4</xm:f>
            <x14:dxf>
              <fill>
                <patternFill>
                  <bgColor rgb="FF428BCE"/>
                </patternFill>
              </fill>
            </x14:dxf>
          </x14:cfRule>
          <xm:sqref>BP118</xm:sqref>
        </x14:conditionalFormatting>
        <x14:conditionalFormatting xmlns:xm="http://schemas.microsoft.com/office/excel/2006/main">
          <x14:cfRule type="expression" priority="129" id="{04D7714A-CD46-477D-918A-71872FC10110}">
            <xm:f>'CALCULS Eaux pluviales'!G$404&gt;3</xm:f>
            <x14:dxf>
              <fill>
                <patternFill>
                  <bgColor rgb="FF428BCE"/>
                </patternFill>
              </fill>
            </x14:dxf>
          </x14:cfRule>
          <xm:sqref>BP119</xm:sqref>
        </x14:conditionalFormatting>
        <x14:conditionalFormatting xmlns:xm="http://schemas.microsoft.com/office/excel/2006/main">
          <x14:cfRule type="expression" priority="128" id="{0AD2C2AB-8FB6-4089-B1AA-F8B57DCF5915}">
            <xm:f>'CALCULS Eaux pluviales'!G$404&gt;2</xm:f>
            <x14:dxf>
              <fill>
                <patternFill>
                  <bgColor rgb="FF428BCE"/>
                </patternFill>
              </fill>
            </x14:dxf>
          </x14:cfRule>
          <xm:sqref>BP120</xm:sqref>
        </x14:conditionalFormatting>
        <x14:conditionalFormatting xmlns:xm="http://schemas.microsoft.com/office/excel/2006/main">
          <x14:cfRule type="expression" priority="127" id="{1F621814-276E-487D-A745-C3C933F28DA5}">
            <xm:f>'CALCULS Eaux pluviales'!G$404&gt;1</xm:f>
            <x14:dxf>
              <fill>
                <patternFill>
                  <bgColor rgb="FF428BCE"/>
                </patternFill>
              </fill>
            </x14:dxf>
          </x14:cfRule>
          <xm:sqref>BP121</xm:sqref>
        </x14:conditionalFormatting>
        <x14:conditionalFormatting xmlns:xm="http://schemas.microsoft.com/office/excel/2006/main">
          <x14:cfRule type="expression" priority="126" id="{56D7EEA9-F65D-48E6-8BC5-97D17718DD8C}">
            <xm:f>'CALCULS Eaux pluviales'!G$404&gt;0</xm:f>
            <x14:dxf>
              <fill>
                <patternFill>
                  <bgColor rgb="FF428BCE"/>
                </patternFill>
              </fill>
            </x14:dxf>
          </x14:cfRule>
          <xm:sqref>BP122</xm:sqref>
        </x14:conditionalFormatting>
        <x14:conditionalFormatting xmlns:xm="http://schemas.microsoft.com/office/excel/2006/main">
          <x14:cfRule type="expression" priority="140" id="{51E08088-2222-47CC-9E17-2FE95F0384AC}">
            <xm:f>'CALCULS Eaux pluviales'!H$404&gt;4</xm:f>
            <x14:dxf>
              <fill>
                <patternFill>
                  <bgColor rgb="FF428BCE"/>
                </patternFill>
              </fill>
            </x14:dxf>
          </x14:cfRule>
          <xm:sqref>BR118</xm:sqref>
        </x14:conditionalFormatting>
        <x14:conditionalFormatting xmlns:xm="http://schemas.microsoft.com/office/excel/2006/main">
          <x14:cfRule type="expression" priority="139" id="{25B12AA2-DF05-487D-BB41-7E1D00676063}">
            <xm:f>'CALCULS Eaux pluviales'!H$404&gt;3</xm:f>
            <x14:dxf>
              <fill>
                <patternFill>
                  <bgColor rgb="FF428BCE"/>
                </patternFill>
              </fill>
            </x14:dxf>
          </x14:cfRule>
          <xm:sqref>BR119</xm:sqref>
        </x14:conditionalFormatting>
        <x14:conditionalFormatting xmlns:xm="http://schemas.microsoft.com/office/excel/2006/main">
          <x14:cfRule type="expression" priority="138" id="{27B6747A-D5ED-417C-AE26-9064A3498443}">
            <xm:f>'CALCULS Eaux pluviales'!H$404&gt;2</xm:f>
            <x14:dxf>
              <fill>
                <patternFill>
                  <bgColor rgb="FF428BCE"/>
                </patternFill>
              </fill>
            </x14:dxf>
          </x14:cfRule>
          <xm:sqref>BR120</xm:sqref>
        </x14:conditionalFormatting>
        <x14:conditionalFormatting xmlns:xm="http://schemas.microsoft.com/office/excel/2006/main">
          <x14:cfRule type="expression" priority="137" id="{2F965A1A-D48A-4AEB-BC2C-1E3950F9C628}">
            <xm:f>'CALCULS Eaux pluviales'!H$404&gt;1</xm:f>
            <x14:dxf>
              <fill>
                <patternFill>
                  <bgColor rgb="FF428BCE"/>
                </patternFill>
              </fill>
            </x14:dxf>
          </x14:cfRule>
          <xm:sqref>BR121</xm:sqref>
        </x14:conditionalFormatting>
        <x14:conditionalFormatting xmlns:xm="http://schemas.microsoft.com/office/excel/2006/main">
          <x14:cfRule type="expression" priority="136" id="{E90D6044-DB34-48A6-9126-B3C4F9C67C51}">
            <xm:f>'CALCULS Eaux pluviales'!H$404&gt;0</xm:f>
            <x14:dxf>
              <fill>
                <patternFill>
                  <bgColor rgb="FF428BCE"/>
                </patternFill>
              </fill>
            </x14:dxf>
          </x14:cfRule>
          <xm:sqref>BR122</xm:sqref>
        </x14:conditionalFormatting>
        <x14:conditionalFormatting xmlns:xm="http://schemas.microsoft.com/office/excel/2006/main">
          <x14:cfRule type="expression" priority="150" id="{86D52C3A-5EBE-4633-8C6A-A5254B3BD296}">
            <xm:f>'CALCULS Eaux pluviales'!I$404&gt;4</xm:f>
            <x14:dxf>
              <fill>
                <patternFill>
                  <bgColor rgb="FF428BCE"/>
                </patternFill>
              </fill>
            </x14:dxf>
          </x14:cfRule>
          <xm:sqref>BT118</xm:sqref>
        </x14:conditionalFormatting>
        <x14:conditionalFormatting xmlns:xm="http://schemas.microsoft.com/office/excel/2006/main">
          <x14:cfRule type="expression" priority="149" id="{147638F8-A055-4D51-A1C6-86EA2F634186}">
            <xm:f>'CALCULS Eaux pluviales'!I$404&gt;3</xm:f>
            <x14:dxf>
              <fill>
                <patternFill>
                  <bgColor rgb="FF428BCE"/>
                </patternFill>
              </fill>
            </x14:dxf>
          </x14:cfRule>
          <xm:sqref>BT119</xm:sqref>
        </x14:conditionalFormatting>
        <x14:conditionalFormatting xmlns:xm="http://schemas.microsoft.com/office/excel/2006/main">
          <x14:cfRule type="expression" priority="148" id="{F5F67CFB-611C-422D-8FBE-D8F5E0E931DC}">
            <xm:f>'CALCULS Eaux pluviales'!I$404&gt;2</xm:f>
            <x14:dxf>
              <fill>
                <patternFill>
                  <bgColor rgb="FF428BCE"/>
                </patternFill>
              </fill>
            </x14:dxf>
          </x14:cfRule>
          <xm:sqref>BT120</xm:sqref>
        </x14:conditionalFormatting>
        <x14:conditionalFormatting xmlns:xm="http://schemas.microsoft.com/office/excel/2006/main">
          <x14:cfRule type="expression" priority="147" id="{21BBD668-6342-448D-9BE6-EC241AB7A67F}">
            <xm:f>'CALCULS Eaux pluviales'!I$404&gt;1</xm:f>
            <x14:dxf>
              <fill>
                <patternFill>
                  <bgColor rgb="FF428BCE"/>
                </patternFill>
              </fill>
            </x14:dxf>
          </x14:cfRule>
          <xm:sqref>BT121</xm:sqref>
        </x14:conditionalFormatting>
        <x14:conditionalFormatting xmlns:xm="http://schemas.microsoft.com/office/excel/2006/main">
          <x14:cfRule type="expression" priority="146" id="{9C8D0789-C0AB-4078-AB74-0AF79DD19FCA}">
            <xm:f>'CALCULS Eaux pluviales'!I$404&gt;0</xm:f>
            <x14:dxf>
              <fill>
                <patternFill>
                  <bgColor rgb="FF428BCE"/>
                </patternFill>
              </fill>
            </x14:dxf>
          </x14:cfRule>
          <xm:sqref>BT122</xm:sqref>
        </x14:conditionalFormatting>
        <x14:conditionalFormatting xmlns:xm="http://schemas.microsoft.com/office/excel/2006/main">
          <x14:cfRule type="expression" priority="160" id="{0B090AE8-69EA-4E5F-AAE6-0CC8396A9C21}">
            <xm:f>'CALCULS Eaux pluviales'!J$404&gt;4</xm:f>
            <x14:dxf>
              <fill>
                <patternFill>
                  <bgColor rgb="FF428BCE"/>
                </patternFill>
              </fill>
            </x14:dxf>
          </x14:cfRule>
          <xm:sqref>BV118</xm:sqref>
        </x14:conditionalFormatting>
        <x14:conditionalFormatting xmlns:xm="http://schemas.microsoft.com/office/excel/2006/main">
          <x14:cfRule type="expression" priority="159" id="{7ED52CB9-4EAB-493B-BC12-DB275C455D02}">
            <xm:f>'CALCULS Eaux pluviales'!J$404&gt;3</xm:f>
            <x14:dxf>
              <fill>
                <patternFill>
                  <bgColor rgb="FF428BCE"/>
                </patternFill>
              </fill>
            </x14:dxf>
          </x14:cfRule>
          <xm:sqref>BV119</xm:sqref>
        </x14:conditionalFormatting>
        <x14:conditionalFormatting xmlns:xm="http://schemas.microsoft.com/office/excel/2006/main">
          <x14:cfRule type="expression" priority="158" id="{4A17A379-229F-41D4-BAA1-B0C10DE2610D}">
            <xm:f>'CALCULS Eaux pluviales'!J$404&gt;2</xm:f>
            <x14:dxf>
              <fill>
                <patternFill>
                  <bgColor rgb="FF428BCE"/>
                </patternFill>
              </fill>
            </x14:dxf>
          </x14:cfRule>
          <xm:sqref>BV120</xm:sqref>
        </x14:conditionalFormatting>
        <x14:conditionalFormatting xmlns:xm="http://schemas.microsoft.com/office/excel/2006/main">
          <x14:cfRule type="expression" priority="157" id="{FEDA7D0A-A020-4879-B508-141102D33CAA}">
            <xm:f>'CALCULS Eaux pluviales'!J$404&gt;1</xm:f>
            <x14:dxf>
              <fill>
                <patternFill>
                  <bgColor rgb="FF428BCE"/>
                </patternFill>
              </fill>
            </x14:dxf>
          </x14:cfRule>
          <xm:sqref>BV121</xm:sqref>
        </x14:conditionalFormatting>
        <x14:conditionalFormatting xmlns:xm="http://schemas.microsoft.com/office/excel/2006/main">
          <x14:cfRule type="expression" priority="156" id="{530C8309-E515-4961-92F3-E7AB723B45B4}">
            <xm:f>'CALCULS Eaux pluviales'!J$404&gt;0</xm:f>
            <x14:dxf>
              <fill>
                <patternFill>
                  <bgColor rgb="FF428BCE"/>
                </patternFill>
              </fill>
            </x14:dxf>
          </x14:cfRule>
          <xm:sqref>BV122</xm:sqref>
        </x14:conditionalFormatting>
        <x14:conditionalFormatting xmlns:xm="http://schemas.microsoft.com/office/excel/2006/main">
          <x14:cfRule type="expression" priority="170" id="{16885414-03C5-4229-90D9-224E5A70D638}">
            <xm:f>'CALCULS Eaux pluviales'!K$404&gt;4</xm:f>
            <x14:dxf>
              <fill>
                <patternFill>
                  <bgColor rgb="FF428BCE"/>
                </patternFill>
              </fill>
            </x14:dxf>
          </x14:cfRule>
          <xm:sqref>BX118</xm:sqref>
        </x14:conditionalFormatting>
        <x14:conditionalFormatting xmlns:xm="http://schemas.microsoft.com/office/excel/2006/main">
          <x14:cfRule type="expression" priority="169" id="{8A11C557-BD9C-499A-92F9-50B5CA488B83}">
            <xm:f>'CALCULS Eaux pluviales'!K$404&gt;3</xm:f>
            <x14:dxf>
              <fill>
                <patternFill>
                  <bgColor rgb="FF428BCE"/>
                </patternFill>
              </fill>
            </x14:dxf>
          </x14:cfRule>
          <xm:sqref>BX119</xm:sqref>
        </x14:conditionalFormatting>
        <x14:conditionalFormatting xmlns:xm="http://schemas.microsoft.com/office/excel/2006/main">
          <x14:cfRule type="expression" priority="168" id="{6485F29B-496E-4683-9CEB-A741E1244D97}">
            <xm:f>'CALCULS Eaux pluviales'!K$404&gt;2</xm:f>
            <x14:dxf>
              <fill>
                <patternFill>
                  <bgColor rgb="FF428BCE"/>
                </patternFill>
              </fill>
            </x14:dxf>
          </x14:cfRule>
          <xm:sqref>BX120</xm:sqref>
        </x14:conditionalFormatting>
        <x14:conditionalFormatting xmlns:xm="http://schemas.microsoft.com/office/excel/2006/main">
          <x14:cfRule type="expression" priority="167" id="{F66D23B5-24A1-4B77-B737-6EE4149D19D3}">
            <xm:f>'CALCULS Eaux pluviales'!K$404&gt;1</xm:f>
            <x14:dxf>
              <fill>
                <patternFill>
                  <bgColor rgb="FF428BCE"/>
                </patternFill>
              </fill>
            </x14:dxf>
          </x14:cfRule>
          <xm:sqref>BX121</xm:sqref>
        </x14:conditionalFormatting>
        <x14:conditionalFormatting xmlns:xm="http://schemas.microsoft.com/office/excel/2006/main">
          <x14:cfRule type="expression" priority="166" id="{1E29F53A-2EE2-4BE4-9E95-8652396BABF4}">
            <xm:f>'CALCULS Eaux pluviales'!K$404&gt;0</xm:f>
            <x14:dxf>
              <fill>
                <patternFill>
                  <bgColor rgb="FF428BCE"/>
                </patternFill>
              </fill>
            </x14:dxf>
          </x14:cfRule>
          <xm:sqref>BX122</xm:sqref>
        </x14:conditionalFormatting>
        <x14:conditionalFormatting xmlns:xm="http://schemas.microsoft.com/office/excel/2006/main">
          <x14:cfRule type="expression" priority="180" id="{D7EE71BD-B604-49CF-B6C9-A285D815E3F2}">
            <xm:f>'CALCULS Eaux pluviales'!L$404&gt;4</xm:f>
            <x14:dxf>
              <fill>
                <patternFill>
                  <bgColor theme="8" tint="-0.499984740745262"/>
                </patternFill>
              </fill>
            </x14:dxf>
          </x14:cfRule>
          <xm:sqref>BZ118</xm:sqref>
        </x14:conditionalFormatting>
        <x14:conditionalFormatting xmlns:xm="http://schemas.microsoft.com/office/excel/2006/main">
          <x14:cfRule type="expression" priority="179" id="{BCB06E55-B8ED-41DE-87F9-04DC00CC5467}">
            <xm:f>'CALCULS Eaux pluviales'!L$404&gt;3</xm:f>
            <x14:dxf>
              <fill>
                <patternFill>
                  <bgColor theme="8" tint="-0.499984740745262"/>
                </patternFill>
              </fill>
            </x14:dxf>
          </x14:cfRule>
          <xm:sqref>BZ119</xm:sqref>
        </x14:conditionalFormatting>
        <x14:conditionalFormatting xmlns:xm="http://schemas.microsoft.com/office/excel/2006/main">
          <x14:cfRule type="expression" priority="178" id="{22C93788-4373-4E26-AF59-F25D1CFCA7D3}">
            <xm:f>'CALCULS Eaux pluviales'!L$404&gt;2</xm:f>
            <x14:dxf>
              <fill>
                <patternFill>
                  <bgColor theme="8" tint="-0.499984740745262"/>
                </patternFill>
              </fill>
            </x14:dxf>
          </x14:cfRule>
          <xm:sqref>BZ120</xm:sqref>
        </x14:conditionalFormatting>
        <x14:conditionalFormatting xmlns:xm="http://schemas.microsoft.com/office/excel/2006/main">
          <x14:cfRule type="expression" priority="177" id="{0EE185A4-BA52-4401-A5F1-00D120A0A8C2}">
            <xm:f>'CALCULS Eaux pluviales'!L$404&gt;1</xm:f>
            <x14:dxf>
              <fill>
                <patternFill>
                  <bgColor theme="8" tint="-0.499984740745262"/>
                </patternFill>
              </fill>
            </x14:dxf>
          </x14:cfRule>
          <xm:sqref>BZ121</xm:sqref>
        </x14:conditionalFormatting>
        <x14:conditionalFormatting xmlns:xm="http://schemas.microsoft.com/office/excel/2006/main">
          <x14:cfRule type="expression" priority="176" id="{3673E6F5-A313-4608-B698-DB5B3A2484BE}">
            <xm:f>'CALCULS Eaux pluviales'!L$404&gt;0</xm:f>
            <x14:dxf>
              <fill>
                <patternFill>
                  <bgColor theme="8" tint="-0.499984740745262"/>
                </patternFill>
              </fill>
            </x14:dxf>
          </x14:cfRule>
          <xm:sqref>BZ122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2060"/>
    <pageSetUpPr fitToPage="1"/>
  </sheetPr>
  <dimension ref="A1:AC446"/>
  <sheetViews>
    <sheetView zoomScaleNormal="100" workbookViewId="0">
      <selection activeCell="A2" sqref="A2"/>
    </sheetView>
  </sheetViews>
  <sheetFormatPr baseColWidth="10" defaultRowHeight="15" x14ac:dyDescent="0.25"/>
  <cols>
    <col min="1" max="1" width="3.7109375" style="1" customWidth="1"/>
    <col min="2" max="2" width="21.85546875" customWidth="1"/>
    <col min="3" max="3" width="25.5703125" customWidth="1"/>
    <col min="4" max="4" width="13.42578125" customWidth="1"/>
    <col min="5" max="13" width="11.7109375" customWidth="1"/>
    <col min="14" max="14" width="15.85546875" customWidth="1"/>
    <col min="15" max="15" width="83.7109375" customWidth="1"/>
    <col min="16" max="16" width="27.42578125" customWidth="1"/>
    <col min="18" max="18" width="1.28515625" customWidth="1"/>
    <col min="19" max="20" width="7.7109375" customWidth="1"/>
    <col min="21" max="21" width="14.5703125" customWidth="1"/>
    <col min="22" max="23" width="7.7109375" customWidth="1"/>
    <col min="24" max="24" width="13.7109375" customWidth="1"/>
    <col min="25" max="25" width="7.7109375" customWidth="1"/>
    <col min="26" max="26" width="10.42578125" customWidth="1"/>
    <col min="27" max="27" width="2" customWidth="1"/>
  </cols>
  <sheetData>
    <row r="1" spans="1:28" s="1" customFormat="1" ht="9" customHeight="1" thickBot="1" x14ac:dyDescent="0.3"/>
    <row r="2" spans="1:28" s="1" customFormat="1" ht="32.25" customHeight="1" x14ac:dyDescent="0.25">
      <c r="B2" s="3470" t="s">
        <v>1987</v>
      </c>
      <c r="C2" s="3471"/>
      <c r="D2" s="3471"/>
      <c r="E2" s="3471"/>
      <c r="F2" s="3471"/>
      <c r="G2" s="3471"/>
      <c r="H2" s="3471"/>
      <c r="I2" s="3471"/>
      <c r="J2" s="3471"/>
      <c r="K2" s="3471"/>
      <c r="L2" s="3471"/>
      <c r="M2" s="3471"/>
      <c r="N2" s="3471"/>
      <c r="O2" s="3471"/>
      <c r="P2" s="856"/>
      <c r="Q2" s="1032"/>
      <c r="R2" s="1032"/>
      <c r="S2" s="1032"/>
      <c r="T2" s="1032"/>
      <c r="U2" s="1032"/>
      <c r="V2" s="1032"/>
      <c r="W2" s="1032"/>
      <c r="X2" s="1032"/>
      <c r="Y2" s="1032"/>
      <c r="Z2" s="1032"/>
      <c r="AA2" s="1032"/>
      <c r="AB2" s="1032"/>
    </row>
    <row r="3" spans="1:28" s="1" customFormat="1" ht="61.5" customHeight="1" x14ac:dyDescent="0.25">
      <c r="O3" s="2583" t="s">
        <v>2149</v>
      </c>
    </row>
    <row r="4" spans="1:28" ht="26.25" customHeight="1" x14ac:dyDescent="0.3">
      <c r="B4" s="1762" t="s">
        <v>164</v>
      </c>
      <c r="C4" s="853"/>
      <c r="D4" s="853"/>
      <c r="E4" s="853"/>
      <c r="F4" s="853"/>
      <c r="G4" s="853"/>
      <c r="H4" s="853"/>
      <c r="I4" s="853"/>
      <c r="J4" s="853"/>
      <c r="K4" s="853"/>
      <c r="L4" s="853"/>
      <c r="M4" s="853"/>
      <c r="N4" s="853"/>
      <c r="O4" s="853"/>
      <c r="P4" s="853"/>
      <c r="Q4" s="853"/>
      <c r="R4" s="853"/>
      <c r="S4" s="853"/>
      <c r="T4" s="853"/>
      <c r="U4" s="853"/>
      <c r="V4" s="853"/>
      <c r="W4" s="853"/>
      <c r="X4" s="853"/>
      <c r="Y4" s="853"/>
      <c r="Z4" s="853"/>
      <c r="AA4" s="853"/>
      <c r="AB4" s="853"/>
    </row>
    <row r="5" spans="1:28" ht="21" x14ac:dyDescent="0.35">
      <c r="B5" s="229"/>
    </row>
    <row r="6" spans="1:28" s="28" customFormat="1" x14ac:dyDescent="0.25">
      <c r="A6" s="55"/>
      <c r="C6" s="1286" t="s">
        <v>160</v>
      </c>
      <c r="D6" s="1768"/>
      <c r="G6" s="1288" t="str">
        <f>'CALCULS Eau potable'!G8</f>
        <v/>
      </c>
      <c r="H6" s="1289"/>
      <c r="I6" s="1289"/>
      <c r="J6" s="1289"/>
      <c r="K6" s="1287"/>
    </row>
    <row r="7" spans="1:28" s="28" customFormat="1" x14ac:dyDescent="0.25">
      <c r="A7" s="55"/>
      <c r="C7" s="1286" t="s">
        <v>159</v>
      </c>
      <c r="D7" s="1287"/>
      <c r="G7" s="1288" t="str">
        <f>'CALCULS Eau potable'!G9</f>
        <v/>
      </c>
      <c r="H7" s="1289"/>
      <c r="I7" s="1289"/>
      <c r="J7" s="1289"/>
      <c r="K7" s="1287"/>
    </row>
    <row r="8" spans="1:28" s="28" customFormat="1" x14ac:dyDescent="0.25">
      <c r="A8" s="55"/>
      <c r="C8" s="1286" t="s">
        <v>158</v>
      </c>
      <c r="D8" s="1770"/>
      <c r="G8" s="1288" t="str">
        <f>'CALCULS Eau potable'!G10</f>
        <v/>
      </c>
      <c r="H8" s="1289"/>
      <c r="I8" s="1289"/>
      <c r="J8" s="1289"/>
      <c r="K8" s="1287"/>
    </row>
    <row r="9" spans="1:28" s="28" customFormat="1" x14ac:dyDescent="0.25">
      <c r="A9" s="55"/>
      <c r="C9" s="1250" t="s">
        <v>285</v>
      </c>
      <c r="D9" s="1768"/>
      <c r="G9" s="1290" t="str">
        <f>'CALCULS Eau potable'!G11</f>
        <v/>
      </c>
      <c r="H9" s="1289"/>
      <c r="I9" s="1289"/>
      <c r="J9" s="1289"/>
      <c r="K9" s="1287"/>
      <c r="L9" s="104"/>
    </row>
    <row r="10" spans="1:28" s="28" customFormat="1" x14ac:dyDescent="0.25">
      <c r="A10" s="55"/>
      <c r="C10" s="1769"/>
      <c r="D10" s="1770"/>
      <c r="G10" s="1291" t="s">
        <v>1794</v>
      </c>
      <c r="H10" s="1292" t="str">
        <f>'CALCULS Eau potable'!H12</f>
        <v/>
      </c>
      <c r="I10" s="1286" t="s">
        <v>1793</v>
      </c>
      <c r="J10" s="1289"/>
      <c r="K10" s="1287"/>
      <c r="L10" s="104"/>
      <c r="M10" s="919"/>
      <c r="N10" s="919"/>
    </row>
    <row r="11" spans="1:28" s="28" customFormat="1" x14ac:dyDescent="0.25">
      <c r="A11" s="55"/>
      <c r="C11" s="1286" t="s">
        <v>2150</v>
      </c>
      <c r="D11" s="1287"/>
      <c r="E11" s="55"/>
      <c r="F11" s="55"/>
      <c r="G11" s="2584">
        <f>IDENTIFICATION!F138</f>
        <v>0</v>
      </c>
      <c r="H11" s="1289"/>
      <c r="I11" s="1289"/>
      <c r="J11" s="1289"/>
      <c r="K11" s="1287"/>
      <c r="L11" s="104"/>
    </row>
    <row r="14" spans="1:28" ht="26.25" customHeight="1" x14ac:dyDescent="0.3">
      <c r="B14" s="1762" t="s">
        <v>1988</v>
      </c>
      <c r="C14" s="853"/>
      <c r="D14" s="853"/>
      <c r="E14" s="853"/>
      <c r="F14" s="853"/>
      <c r="G14" s="853"/>
      <c r="H14" s="853"/>
      <c r="I14" s="853"/>
      <c r="J14" s="853"/>
      <c r="K14" s="853"/>
      <c r="L14" s="853"/>
      <c r="M14" s="853"/>
      <c r="N14" s="853"/>
      <c r="O14" s="853"/>
      <c r="P14" s="853"/>
      <c r="Q14" s="853"/>
      <c r="R14" s="853"/>
      <c r="S14" s="853"/>
      <c r="T14" s="853"/>
      <c r="U14" s="853"/>
      <c r="V14" s="853"/>
      <c r="W14" s="853"/>
      <c r="X14" s="853"/>
      <c r="Y14" s="853"/>
      <c r="Z14" s="853"/>
      <c r="AA14" s="853"/>
      <c r="AB14" s="853"/>
    </row>
    <row r="15" spans="1:28" ht="21" x14ac:dyDescent="0.35">
      <c r="B15" s="229"/>
    </row>
    <row r="16" spans="1:28" s="3" customFormat="1" ht="43.5" customHeight="1" x14ac:dyDescent="0.25">
      <c r="A16" s="601"/>
      <c r="B16" s="225"/>
      <c r="C16" s="226"/>
      <c r="D16" s="1777" t="s">
        <v>71</v>
      </c>
      <c r="E16" s="1778" t="s">
        <v>127</v>
      </c>
      <c r="F16" s="1780" t="s">
        <v>1992</v>
      </c>
      <c r="G16" s="226"/>
      <c r="H16" s="1779" t="s">
        <v>162</v>
      </c>
      <c r="I16" s="1761" t="s">
        <v>163</v>
      </c>
      <c r="J16" s="601"/>
      <c r="K16" s="601"/>
      <c r="L16" s="601"/>
      <c r="M16" s="601"/>
      <c r="N16" s="601"/>
    </row>
    <row r="17" spans="2:15" ht="17.25" customHeight="1" x14ac:dyDescent="0.25">
      <c r="B17" s="1771" t="s">
        <v>1921</v>
      </c>
      <c r="C17" s="1764" t="s">
        <v>269</v>
      </c>
      <c r="D17" s="1765">
        <f>'CALCULS Eau potable'!E21+'CALCULS Eau potable'!E24</f>
        <v>0</v>
      </c>
      <c r="E17" s="1786" t="str">
        <f>IF(F17=0,"Aucun",F17)</f>
        <v>Aucun</v>
      </c>
      <c r="F17" s="1781">
        <f>'CALCULS Eau potable'!G21+'CALCULS Eau potable'!G24</f>
        <v>0</v>
      </c>
      <c r="G17" s="1551"/>
      <c r="H17" s="3459">
        <f>'CALCULS Eau potable'!J30</f>
        <v>0</v>
      </c>
      <c r="I17" s="3459">
        <f>IF(E30=2,(ROUNDDOWN(AVERAGE(H17:H22),0)),(ROUNDDOWN(AVERAGE(H17:H25),0)))</f>
        <v>0</v>
      </c>
      <c r="J17" s="2515" t="s">
        <v>1528</v>
      </c>
      <c r="K17" s="1550" t="s">
        <v>1922</v>
      </c>
      <c r="L17" s="1552"/>
      <c r="M17" s="3458" t="str">
        <f t="shared" ref="M17:M22" si="0">E17</f>
        <v>Aucun</v>
      </c>
      <c r="N17" s="3458"/>
      <c r="O17" s="2487">
        <f>D17</f>
        <v>0</v>
      </c>
    </row>
    <row r="18" spans="2:15" ht="17.25" customHeight="1" x14ac:dyDescent="0.25">
      <c r="B18" s="1772"/>
      <c r="C18" s="1764" t="s">
        <v>270</v>
      </c>
      <c r="D18" s="1004">
        <f>'CALCULS Eau potable'!E22+'CALCULS Eau potable'!E25</f>
        <v>0</v>
      </c>
      <c r="E18" s="1787" t="str">
        <f>IF(F18=0,"Aucun",F18)</f>
        <v>Aucun</v>
      </c>
      <c r="F18" s="1782">
        <f>'CALCULS Eau potable'!G22+'CALCULS Eau potable'!G25</f>
        <v>0</v>
      </c>
      <c r="G18" s="224"/>
      <c r="H18" s="3460"/>
      <c r="I18" s="3460"/>
      <c r="J18" s="2513" t="s">
        <v>1528</v>
      </c>
      <c r="K18" s="1550" t="s">
        <v>1923</v>
      </c>
      <c r="L18" s="1552"/>
      <c r="M18" s="3462" t="str">
        <f t="shared" si="0"/>
        <v>Aucun</v>
      </c>
      <c r="N18" s="3462"/>
      <c r="O18" s="2487">
        <f t="shared" ref="O18:O25" si="1">D18</f>
        <v>0</v>
      </c>
    </row>
    <row r="19" spans="2:15" ht="24" customHeight="1" x14ac:dyDescent="0.25">
      <c r="B19" s="1772"/>
      <c r="C19" s="1790" t="s">
        <v>191</v>
      </c>
      <c r="D19" s="602">
        <f>'CALCULS Eau potable'!E23+'CALCULS Eau potable'!E26</f>
        <v>0</v>
      </c>
      <c r="E19" s="1785" t="str">
        <f>IF(AND(F19=0,G19=0),"Aucun",CONCATENATE(F19," km; ",G19," ouvrages"))</f>
        <v>Aucun</v>
      </c>
      <c r="F19" s="1783">
        <f>'CALCULS Eau potable'!G23+'CALCULS Eau potable'!G26</f>
        <v>0</v>
      </c>
      <c r="G19" s="2183">
        <f>'CALCULS Eau potable'!H23+'CALCULS Eau potable'!H26</f>
        <v>0</v>
      </c>
      <c r="H19" s="3460"/>
      <c r="I19" s="3460"/>
      <c r="J19" s="2516" t="s">
        <v>1528</v>
      </c>
      <c r="K19" s="1550" t="s">
        <v>1924</v>
      </c>
      <c r="L19" s="1552"/>
      <c r="M19" s="3458" t="str">
        <f t="shared" si="0"/>
        <v>Aucun</v>
      </c>
      <c r="N19" s="3458"/>
      <c r="O19" s="2487">
        <f t="shared" si="1"/>
        <v>0</v>
      </c>
    </row>
    <row r="20" spans="2:15" ht="17.25" customHeight="1" x14ac:dyDescent="0.25">
      <c r="B20" s="1773" t="s">
        <v>1925</v>
      </c>
      <c r="C20" s="1764" t="s">
        <v>269</v>
      </c>
      <c r="D20" s="2181">
        <f>'CALCULS Eaux usées'!E21+'CALCULS Eaux usées'!E24</f>
        <v>0</v>
      </c>
      <c r="E20" s="1786" t="str">
        <f>IF(F20=0,"Aucun",F20)</f>
        <v>Aucun</v>
      </c>
      <c r="F20" s="1781">
        <f>'CALCULS Eaux usées'!G21+'CALCULS Eaux usées'!G24</f>
        <v>0</v>
      </c>
      <c r="G20" s="1551"/>
      <c r="H20" s="3459">
        <f>'CALCULS Eaux usées'!J30</f>
        <v>0</v>
      </c>
      <c r="I20" s="3460"/>
      <c r="J20" s="2567" t="s">
        <v>1528</v>
      </c>
      <c r="K20" s="1550" t="s">
        <v>1926</v>
      </c>
      <c r="L20" s="1552"/>
      <c r="M20" s="3458" t="str">
        <f t="shared" si="0"/>
        <v>Aucun</v>
      </c>
      <c r="N20" s="3458"/>
      <c r="O20" s="2487">
        <f t="shared" si="1"/>
        <v>0</v>
      </c>
    </row>
    <row r="21" spans="2:15" ht="17.25" customHeight="1" x14ac:dyDescent="0.25">
      <c r="B21" s="1774"/>
      <c r="C21" s="1764" t="s">
        <v>270</v>
      </c>
      <c r="D21" s="1004">
        <f>'CALCULS Eaux usées'!E22+'CALCULS Eaux usées'!E25</f>
        <v>0</v>
      </c>
      <c r="E21" s="1787" t="str">
        <f>IF(F21=0,"Aucun",F21)</f>
        <v>Aucun</v>
      </c>
      <c r="F21" s="1782">
        <f>'CALCULS Eaux usées'!G22+'CALCULS Eaux usées'!G25</f>
        <v>0</v>
      </c>
      <c r="G21" s="224"/>
      <c r="H21" s="3460"/>
      <c r="I21" s="3460"/>
      <c r="J21" s="2566" t="s">
        <v>1528</v>
      </c>
      <c r="K21" s="1550" t="s">
        <v>1927</v>
      </c>
      <c r="L21" s="1552"/>
      <c r="M21" s="3462" t="str">
        <f t="shared" si="0"/>
        <v>Aucun</v>
      </c>
      <c r="N21" s="3462"/>
      <c r="O21" s="2487">
        <f t="shared" si="1"/>
        <v>0</v>
      </c>
    </row>
    <row r="22" spans="2:15" ht="24" customHeight="1" x14ac:dyDescent="0.25">
      <c r="B22" s="1774"/>
      <c r="C22" s="1791" t="s">
        <v>191</v>
      </c>
      <c r="D22" s="2182">
        <f>'CALCULS Eaux usées'!E23+'CALCULS Eaux usées'!E26</f>
        <v>0</v>
      </c>
      <c r="E22" s="1785" t="str">
        <f>IF(AND(F22=0,G22=0),"Aucun",CONCATENATE(F22," km; ",G22," ouvrages"))</f>
        <v>Aucun</v>
      </c>
      <c r="F22" s="1783">
        <f>'CALCULS Eaux usées'!G23+'CALCULS Eaux usées'!G26</f>
        <v>0</v>
      </c>
      <c r="G22" s="1784">
        <f>'CALCULS Eaux usées'!H23+'CALCULS Eaux usées'!H26</f>
        <v>0</v>
      </c>
      <c r="H22" s="3460"/>
      <c r="I22" s="3460"/>
      <c r="J22" s="2517" t="s">
        <v>1528</v>
      </c>
      <c r="K22" s="1550" t="s">
        <v>1928</v>
      </c>
      <c r="L22" s="1552"/>
      <c r="M22" s="3458" t="str">
        <f t="shared" si="0"/>
        <v>Aucun</v>
      </c>
      <c r="N22" s="3458"/>
      <c r="O22" s="2487">
        <f t="shared" si="1"/>
        <v>0</v>
      </c>
    </row>
    <row r="23" spans="2:15" ht="17.25" customHeight="1" x14ac:dyDescent="0.25">
      <c r="B23" s="1775" t="s">
        <v>1929</v>
      </c>
      <c r="C23" s="1766" t="s">
        <v>269</v>
      </c>
      <c r="D23" s="2181">
        <f>'CALCULS Eaux pluviales'!E21+'CALCULS Eaux pluviales'!E24</f>
        <v>0</v>
      </c>
      <c r="E23" s="1786" t="str">
        <f>IF(F23=0,"Aucun",F23)</f>
        <v>Aucun</v>
      </c>
      <c r="F23" s="1781">
        <f>'CALCULS Eaux pluviales'!G21+'CALCULS Eaux pluviales'!G24</f>
        <v>0</v>
      </c>
      <c r="G23" s="2185"/>
      <c r="H23" s="3459">
        <f>'CALCULS Eaux pluviales'!J30</f>
        <v>0</v>
      </c>
      <c r="I23" s="3460"/>
      <c r="J23" s="2518" t="str">
        <f>IF($K$30="","n","")</f>
        <v>n</v>
      </c>
      <c r="K23" s="1550" t="str">
        <f>IF($K$30="","Eaux pluviales /Linéaire","")</f>
        <v>Eaux pluviales /Linéaire</v>
      </c>
      <c r="L23" s="1552"/>
      <c r="M23" s="3458" t="str">
        <f>IF($K$30="",E23,"")</f>
        <v>Aucun</v>
      </c>
      <c r="N23" s="3458"/>
      <c r="O23" s="2487">
        <f t="shared" si="1"/>
        <v>0</v>
      </c>
    </row>
    <row r="24" spans="2:15" ht="17.25" customHeight="1" x14ac:dyDescent="0.25">
      <c r="B24" s="1554"/>
      <c r="C24" s="1764" t="s">
        <v>270</v>
      </c>
      <c r="D24" s="1004">
        <f>'CALCULS Eaux pluviales'!E22+'CALCULS Eaux pluviales'!E25</f>
        <v>0</v>
      </c>
      <c r="E24" s="1787" t="str">
        <f>IF(F24=0,"Aucun",F24)</f>
        <v>Aucun</v>
      </c>
      <c r="F24" s="1782">
        <f>'CALCULS Eaux pluviales'!G22+'CALCULS Eaux pluviales'!G25</f>
        <v>0</v>
      </c>
      <c r="G24" s="224"/>
      <c r="H24" s="3460"/>
      <c r="I24" s="3460"/>
      <c r="J24" s="2514" t="str">
        <f>IF($K$30="","n","")</f>
        <v>n</v>
      </c>
      <c r="K24" s="1550" t="str">
        <f>IF($K$30="","Eaux pluviales /Ponctuel","")</f>
        <v>Eaux pluviales /Ponctuel</v>
      </c>
      <c r="L24" s="1552"/>
      <c r="M24" s="3458" t="str">
        <f>IF($K$30="",E24,"")</f>
        <v>Aucun</v>
      </c>
      <c r="N24" s="3458"/>
      <c r="O24" s="2487">
        <f t="shared" si="1"/>
        <v>0</v>
      </c>
    </row>
    <row r="25" spans="2:15" ht="24" customHeight="1" x14ac:dyDescent="0.25">
      <c r="B25" s="1763"/>
      <c r="C25" s="1792" t="s">
        <v>191</v>
      </c>
      <c r="D25" s="2182">
        <f>'CALCULS Eaux pluviales'!E23+'CALCULS Eaux pluviales'!E26</f>
        <v>0</v>
      </c>
      <c r="E25" s="1789" t="str">
        <f>IF(AND(F25=0,G25=0),"Aucun",CONCATENATE(F25," km; ",G25," ouvrages"))</f>
        <v>Aucun</v>
      </c>
      <c r="F25" s="2184">
        <f>'CALCULS Eaux pluviales'!G23+'CALCULS Eaux pluviales'!G26</f>
        <v>0</v>
      </c>
      <c r="G25" s="2183">
        <f>'CALCULS Eaux pluviales'!H23+'CALCULS Eaux pluviales'!H26</f>
        <v>0</v>
      </c>
      <c r="H25" s="3461"/>
      <c r="I25" s="3461"/>
      <c r="J25" s="2519" t="str">
        <f>IF($K$30="","n","")</f>
        <v>n</v>
      </c>
      <c r="K25" s="1550" t="str">
        <f>IF($K$30="","Eaux pluviales /Autres","")</f>
        <v>Eaux pluviales /Autres</v>
      </c>
      <c r="L25" s="1552"/>
      <c r="M25" s="3458" t="str">
        <f>IF($K$30="",E25,"")</f>
        <v>Aucun</v>
      </c>
      <c r="N25" s="3458"/>
      <c r="O25" s="2487">
        <f t="shared" si="1"/>
        <v>0</v>
      </c>
    </row>
    <row r="26" spans="2:15" ht="17.25" customHeight="1" x14ac:dyDescent="0.25">
      <c r="B26" s="10"/>
      <c r="C26" s="1558"/>
      <c r="D26" s="4"/>
      <c r="E26" s="605"/>
      <c r="F26" s="224"/>
      <c r="G26" s="1788"/>
      <c r="I26" s="1794"/>
      <c r="J26" s="1795"/>
      <c r="K26" s="1796"/>
      <c r="L26" s="1795"/>
      <c r="M26" s="1796"/>
      <c r="N26" s="1797"/>
    </row>
    <row r="27" spans="2:15" ht="17.25" customHeight="1" x14ac:dyDescent="0.25">
      <c r="B27" s="10"/>
      <c r="C27" s="3456" t="s">
        <v>1993</v>
      </c>
      <c r="D27" s="3455">
        <f>SUM(D17:D25)</f>
        <v>0</v>
      </c>
      <c r="E27" s="3455"/>
      <c r="F27" s="224"/>
      <c r="G27" s="1793"/>
      <c r="H27" s="2281" t="s">
        <v>2126</v>
      </c>
      <c r="I27" s="1794"/>
      <c r="J27" s="1795"/>
      <c r="K27" s="1796"/>
      <c r="L27" s="1795"/>
      <c r="M27" s="1796"/>
      <c r="N27" s="1797"/>
    </row>
    <row r="28" spans="2:15" ht="17.25" customHeight="1" x14ac:dyDescent="0.25">
      <c r="B28" s="10"/>
      <c r="C28" s="3456"/>
      <c r="D28" s="3455"/>
      <c r="E28" s="3455"/>
      <c r="F28" s="224"/>
      <c r="G28" s="1788"/>
      <c r="H28" s="2282" t="s">
        <v>2087</v>
      </c>
      <c r="I28" s="1794"/>
      <c r="J28" s="1795"/>
      <c r="K28" s="1796"/>
      <c r="L28" s="1795"/>
      <c r="M28" s="1796"/>
      <c r="N28" s="1797"/>
    </row>
    <row r="29" spans="2:15" ht="17.25" customHeight="1" x14ac:dyDescent="0.25">
      <c r="B29" s="10"/>
      <c r="C29" s="1558"/>
      <c r="D29" s="1776"/>
      <c r="E29" s="1776"/>
      <c r="F29" s="224"/>
      <c r="G29" s="1788"/>
      <c r="I29" s="1794"/>
      <c r="J29" s="1795"/>
      <c r="K29" s="1796"/>
      <c r="L29" s="1795"/>
      <c r="M29" s="1796"/>
      <c r="N29" s="1797"/>
    </row>
    <row r="30" spans="2:15" ht="57.75" customHeight="1" x14ac:dyDescent="0.25">
      <c r="B30" s="2617" t="s">
        <v>1991</v>
      </c>
      <c r="C30" s="3457">
        <f>IDENTIFICATION!G93</f>
        <v>0</v>
      </c>
      <c r="D30" s="3457"/>
      <c r="E30" s="2618" t="str">
        <f>IF(C30='MENU DÉROULANT'!C9,1,IF(C30='MENU DÉROULANT'!C10,2,""))</f>
        <v/>
      </c>
      <c r="F30" t="s">
        <v>124</v>
      </c>
      <c r="K30" s="3454" t="str">
        <f>IF(E30=2,"Note:  La municipalité a fait le choix d'intégrer sa gestion des infrastructures d'eaux pluviales avec celles des eaux usées.","")</f>
        <v/>
      </c>
      <c r="L30" s="3454"/>
      <c r="M30" s="3454"/>
      <c r="N30" s="3454"/>
    </row>
    <row r="31" spans="2:15" ht="279" customHeight="1" x14ac:dyDescent="0.25"/>
    <row r="34" spans="2:28" ht="26.25" customHeight="1" x14ac:dyDescent="0.3">
      <c r="B34" s="1762" t="s">
        <v>1989</v>
      </c>
      <c r="C34" s="853"/>
      <c r="D34" s="853"/>
      <c r="E34" s="853"/>
      <c r="F34" s="853"/>
      <c r="G34" s="853"/>
      <c r="H34" s="853"/>
      <c r="I34" s="853"/>
      <c r="J34" s="853"/>
      <c r="K34" s="853"/>
      <c r="L34" s="853"/>
      <c r="M34" s="853"/>
      <c r="N34" s="853"/>
      <c r="O34" s="853"/>
      <c r="P34" s="853"/>
      <c r="Q34" s="853"/>
      <c r="R34" s="853"/>
      <c r="S34" s="853"/>
      <c r="T34" s="853"/>
      <c r="U34" s="853"/>
      <c r="V34" s="853"/>
      <c r="W34" s="853"/>
      <c r="X34" s="853"/>
      <c r="Y34" s="853"/>
      <c r="Z34" s="853"/>
      <c r="AA34" s="853"/>
      <c r="AB34" s="853"/>
    </row>
    <row r="35" spans="2:28" ht="21" x14ac:dyDescent="0.35">
      <c r="B35" s="229"/>
    </row>
    <row r="36" spans="2:28" ht="30.75" customHeight="1" x14ac:dyDescent="0.35">
      <c r="B36" s="229"/>
      <c r="C36" s="1798" t="s">
        <v>1921</v>
      </c>
    </row>
    <row r="37" spans="2:28" ht="24" x14ac:dyDescent="0.25">
      <c r="C37" s="1806"/>
      <c r="D37" s="1817" t="s">
        <v>46</v>
      </c>
      <c r="E37" s="1816" t="s">
        <v>47</v>
      </c>
      <c r="F37" s="1816" t="s">
        <v>48</v>
      </c>
      <c r="G37" s="1816" t="s">
        <v>49</v>
      </c>
      <c r="H37" s="1816" t="s">
        <v>50</v>
      </c>
      <c r="I37" s="1818" t="s">
        <v>35</v>
      </c>
      <c r="J37" s="597"/>
      <c r="L37" s="1828" t="s">
        <v>161</v>
      </c>
      <c r="M37" s="1828" t="s">
        <v>163</v>
      </c>
    </row>
    <row r="38" spans="2:28" x14ac:dyDescent="0.25">
      <c r="C38" s="1807" t="s">
        <v>1934</v>
      </c>
      <c r="D38" s="1819">
        <f>'CALCULS Eau potable'!E61</f>
        <v>0</v>
      </c>
      <c r="E38" s="1805">
        <f>'CALCULS Eau potable'!F61</f>
        <v>0</v>
      </c>
      <c r="F38" s="1805">
        <f>'CALCULS Eau potable'!G61</f>
        <v>0</v>
      </c>
      <c r="G38" s="1805">
        <f>'CALCULS Eau potable'!H61</f>
        <v>0</v>
      </c>
      <c r="H38" s="1805">
        <f>'CALCULS Eau potable'!I61</f>
        <v>0</v>
      </c>
      <c r="I38" s="1808">
        <f>'CALCULS Eau potable'!J61</f>
        <v>1</v>
      </c>
      <c r="J38" s="1808">
        <f>SUM(D38:I38)</f>
        <v>1</v>
      </c>
      <c r="L38" s="3463">
        <f>'CALCULS Eau potable'!M61</f>
        <v>0</v>
      </c>
      <c r="M38" s="3459">
        <f>'CALCULS Eau potable'!N61</f>
        <v>0</v>
      </c>
      <c r="N38" s="2466"/>
    </row>
    <row r="39" spans="2:28" x14ac:dyDescent="0.25">
      <c r="C39" s="1809"/>
      <c r="D39" s="1822">
        <f>'CALCULS Eau potable'!E21</f>
        <v>0</v>
      </c>
      <c r="E39" s="227"/>
      <c r="F39" s="227"/>
      <c r="G39" s="227"/>
      <c r="H39" s="227"/>
      <c r="I39" s="1824"/>
      <c r="J39" s="1824"/>
      <c r="L39" s="3464"/>
      <c r="M39" s="3460"/>
      <c r="N39" s="2466"/>
    </row>
    <row r="40" spans="2:28" x14ac:dyDescent="0.25">
      <c r="C40" s="1810" t="s">
        <v>1995</v>
      </c>
      <c r="D40" s="1820">
        <f t="shared" ref="D40:J40" si="2">$D$39*D38</f>
        <v>0</v>
      </c>
      <c r="E40" s="1804">
        <f t="shared" si="2"/>
        <v>0</v>
      </c>
      <c r="F40" s="1804">
        <f t="shared" si="2"/>
        <v>0</v>
      </c>
      <c r="G40" s="1804">
        <f t="shared" si="2"/>
        <v>0</v>
      </c>
      <c r="H40" s="1804">
        <f t="shared" si="2"/>
        <v>0</v>
      </c>
      <c r="I40" s="1811">
        <f t="shared" si="2"/>
        <v>0</v>
      </c>
      <c r="J40" s="1811">
        <f t="shared" si="2"/>
        <v>0</v>
      </c>
      <c r="L40" s="3464"/>
      <c r="M40" s="3460"/>
    </row>
    <row r="41" spans="2:28" x14ac:dyDescent="0.25">
      <c r="C41" s="1812" t="s">
        <v>1935</v>
      </c>
      <c r="D41" s="1821">
        <f>'CALCULS Eau potable'!E62</f>
        <v>0</v>
      </c>
      <c r="E41" s="1802">
        <f>'CALCULS Eau potable'!F62</f>
        <v>0</v>
      </c>
      <c r="F41" s="1802">
        <f>'CALCULS Eau potable'!G62</f>
        <v>0</v>
      </c>
      <c r="G41" s="1802">
        <f>'CALCULS Eau potable'!H62</f>
        <v>0</v>
      </c>
      <c r="H41" s="1802">
        <f>'CALCULS Eau potable'!I62</f>
        <v>0</v>
      </c>
      <c r="I41" s="1813">
        <f>'CALCULS Eau potable'!J62</f>
        <v>1</v>
      </c>
      <c r="J41" s="1813">
        <f>SUM(D41:I41)</f>
        <v>1</v>
      </c>
      <c r="L41" s="3464"/>
      <c r="M41" s="3460"/>
    </row>
    <row r="42" spans="2:28" x14ac:dyDescent="0.25">
      <c r="C42" s="1809"/>
      <c r="D42" s="1823">
        <f>'CALCULS Eau potable'!E22</f>
        <v>0</v>
      </c>
      <c r="E42" s="227"/>
      <c r="F42" s="227"/>
      <c r="G42" s="227"/>
      <c r="H42" s="227"/>
      <c r="I42" s="1824"/>
      <c r="J42" s="1824"/>
      <c r="L42" s="3464"/>
      <c r="M42" s="3460"/>
    </row>
    <row r="43" spans="2:28" x14ac:dyDescent="0.25">
      <c r="C43" s="1810" t="s">
        <v>1995</v>
      </c>
      <c r="D43" s="1822">
        <f t="shared" ref="D43:J43" si="3">$D$42*D41</f>
        <v>0</v>
      </c>
      <c r="E43" s="1803">
        <f t="shared" si="3"/>
        <v>0</v>
      </c>
      <c r="F43" s="1803">
        <f t="shared" si="3"/>
        <v>0</v>
      </c>
      <c r="G43" s="1803">
        <f t="shared" si="3"/>
        <v>0</v>
      </c>
      <c r="H43" s="1803">
        <f t="shared" si="3"/>
        <v>0</v>
      </c>
      <c r="I43" s="1814">
        <f t="shared" si="3"/>
        <v>0</v>
      </c>
      <c r="J43" s="1814">
        <f t="shared" si="3"/>
        <v>0</v>
      </c>
      <c r="L43" s="3465"/>
      <c r="M43" s="3460"/>
    </row>
    <row r="44" spans="2:28" x14ac:dyDescent="0.25">
      <c r="C44" s="1807" t="s">
        <v>1936</v>
      </c>
      <c r="D44" s="1819">
        <f>'CALCULS Eau potable'!E63</f>
        <v>0</v>
      </c>
      <c r="E44" s="1805">
        <f>'CALCULS Eau potable'!F63</f>
        <v>0</v>
      </c>
      <c r="F44" s="1805">
        <f>'CALCULS Eau potable'!G63</f>
        <v>0</v>
      </c>
      <c r="G44" s="1805">
        <f>'CALCULS Eau potable'!H63</f>
        <v>0</v>
      </c>
      <c r="H44" s="1805">
        <f>'CALCULS Eau potable'!I63</f>
        <v>0</v>
      </c>
      <c r="I44" s="1808">
        <f>'CALCULS Eau potable'!J63</f>
        <v>1</v>
      </c>
      <c r="J44" s="1808">
        <f>SUM(D44:I44)</f>
        <v>1</v>
      </c>
      <c r="L44" s="3463">
        <f>'CALCULS Eau potable'!M63</f>
        <v>0</v>
      </c>
      <c r="M44" s="3460"/>
    </row>
    <row r="45" spans="2:28" x14ac:dyDescent="0.25">
      <c r="C45" s="1809"/>
      <c r="D45" s="1823">
        <f>'CALCULS Eau potable'!E24</f>
        <v>0</v>
      </c>
      <c r="E45" s="227"/>
      <c r="F45" s="227"/>
      <c r="G45" s="227"/>
      <c r="H45" s="227"/>
      <c r="I45" s="1824"/>
      <c r="J45" s="1824"/>
      <c r="L45" s="3464"/>
      <c r="M45" s="3460"/>
    </row>
    <row r="46" spans="2:28" x14ac:dyDescent="0.25">
      <c r="C46" s="1810" t="s">
        <v>1995</v>
      </c>
      <c r="D46" s="1820">
        <f t="shared" ref="D46:J46" si="4">$D$45*D44</f>
        <v>0</v>
      </c>
      <c r="E46" s="1804">
        <f t="shared" si="4"/>
        <v>0</v>
      </c>
      <c r="F46" s="1804">
        <f t="shared" si="4"/>
        <v>0</v>
      </c>
      <c r="G46" s="1804">
        <f t="shared" si="4"/>
        <v>0</v>
      </c>
      <c r="H46" s="1804">
        <f t="shared" si="4"/>
        <v>0</v>
      </c>
      <c r="I46" s="1811">
        <f t="shared" si="4"/>
        <v>0</v>
      </c>
      <c r="J46" s="1811">
        <f t="shared" si="4"/>
        <v>0</v>
      </c>
      <c r="L46" s="3464"/>
      <c r="M46" s="3460"/>
    </row>
    <row r="47" spans="2:28" x14ac:dyDescent="0.25">
      <c r="C47" s="1812" t="s">
        <v>1937</v>
      </c>
      <c r="D47" s="1821">
        <f>'CALCULS Eau potable'!E64</f>
        <v>0</v>
      </c>
      <c r="E47" s="1802">
        <f>'CALCULS Eau potable'!F64</f>
        <v>0</v>
      </c>
      <c r="F47" s="1802">
        <f>'CALCULS Eau potable'!G64</f>
        <v>0</v>
      </c>
      <c r="G47" s="1802">
        <f>'CALCULS Eau potable'!H64</f>
        <v>0</v>
      </c>
      <c r="H47" s="1802">
        <f>'CALCULS Eau potable'!I64</f>
        <v>0</v>
      </c>
      <c r="I47" s="1813">
        <f>'CALCULS Eau potable'!J64</f>
        <v>1</v>
      </c>
      <c r="J47" s="1813">
        <f>SUM(D47:I47)</f>
        <v>1</v>
      </c>
      <c r="L47" s="3464"/>
      <c r="M47" s="3460"/>
    </row>
    <row r="48" spans="2:28" x14ac:dyDescent="0.25">
      <c r="C48" s="1809"/>
      <c r="D48" s="1823">
        <f>'CALCULS Eau potable'!E25</f>
        <v>0</v>
      </c>
      <c r="E48" s="227"/>
      <c r="F48" s="227"/>
      <c r="G48" s="227"/>
      <c r="H48" s="227"/>
      <c r="I48" s="1824"/>
      <c r="J48" s="1825"/>
      <c r="L48" s="3464"/>
      <c r="M48" s="3460"/>
    </row>
    <row r="49" spans="1:13" x14ac:dyDescent="0.25">
      <c r="C49" s="1810" t="s">
        <v>1995</v>
      </c>
      <c r="D49" s="1820">
        <f t="shared" ref="D49:J49" si="5">$D$48*D47</f>
        <v>0</v>
      </c>
      <c r="E49" s="1804">
        <f t="shared" si="5"/>
        <v>0</v>
      </c>
      <c r="F49" s="1804">
        <f t="shared" si="5"/>
        <v>0</v>
      </c>
      <c r="G49" s="1804">
        <f t="shared" si="5"/>
        <v>0</v>
      </c>
      <c r="H49" s="1804">
        <f t="shared" si="5"/>
        <v>0</v>
      </c>
      <c r="I49" s="1811">
        <f>$D$48*I47</f>
        <v>0</v>
      </c>
      <c r="J49" s="1811">
        <f t="shared" si="5"/>
        <v>0</v>
      </c>
      <c r="L49" s="3465"/>
      <c r="M49" s="3461"/>
    </row>
    <row r="50" spans="1:13" x14ac:dyDescent="0.25">
      <c r="C50" s="1826" t="s">
        <v>1938</v>
      </c>
      <c r="D50" s="1829">
        <f t="shared" ref="D50" si="6">D40+D46</f>
        <v>0</v>
      </c>
      <c r="E50" s="1830">
        <f t="shared" ref="E50:I50" si="7">E40+E46</f>
        <v>0</v>
      </c>
      <c r="F50" s="1830">
        <f t="shared" si="7"/>
        <v>0</v>
      </c>
      <c r="G50" s="1830">
        <f t="shared" si="7"/>
        <v>0</v>
      </c>
      <c r="H50" s="1830">
        <f t="shared" si="7"/>
        <v>0</v>
      </c>
      <c r="I50" s="1830">
        <f t="shared" si="7"/>
        <v>0</v>
      </c>
      <c r="J50" s="1831">
        <f t="shared" ref="J50" si="8">J40+J46</f>
        <v>0</v>
      </c>
      <c r="L50" s="227"/>
    </row>
    <row r="51" spans="1:13" x14ac:dyDescent="0.25">
      <c r="C51" s="1815" t="s">
        <v>1939</v>
      </c>
      <c r="D51" s="1822">
        <f t="shared" ref="D51" si="9">D43+D49</f>
        <v>0</v>
      </c>
      <c r="E51" s="1803">
        <f t="shared" ref="E51:I51" si="10">E43+E49</f>
        <v>0</v>
      </c>
      <c r="F51" s="1803">
        <f t="shared" si="10"/>
        <v>0</v>
      </c>
      <c r="G51" s="1803">
        <f t="shared" si="10"/>
        <v>0</v>
      </c>
      <c r="H51" s="1803">
        <f t="shared" si="10"/>
        <v>0</v>
      </c>
      <c r="I51" s="1803">
        <f t="shared" si="10"/>
        <v>0</v>
      </c>
      <c r="J51" s="1832">
        <f t="shared" ref="J51" si="11">J43+J49</f>
        <v>0</v>
      </c>
      <c r="L51" s="227"/>
    </row>
    <row r="52" spans="1:13" ht="20.25" customHeight="1" x14ac:dyDescent="0.25">
      <c r="C52" s="1845"/>
      <c r="D52" s="1846"/>
      <c r="E52" s="1846"/>
      <c r="F52" s="1846"/>
      <c r="G52" s="1846"/>
      <c r="H52" s="1846"/>
      <c r="I52" s="1847"/>
      <c r="J52" s="1833">
        <f t="shared" ref="J52" si="12">J50+J51</f>
        <v>0</v>
      </c>
      <c r="K52" s="1834">
        <f>D39+D42+D45+D48</f>
        <v>0</v>
      </c>
      <c r="L52" s="1561" t="s">
        <v>1940</v>
      </c>
    </row>
    <row r="53" spans="1:13" s="6" customFormat="1" ht="17.25" customHeight="1" x14ac:dyDescent="0.25">
      <c r="A53" s="416"/>
      <c r="B53" s="228"/>
      <c r="C53" s="1565"/>
      <c r="D53" s="1562"/>
      <c r="E53" s="1562"/>
      <c r="F53" s="1562"/>
      <c r="G53" s="1562"/>
      <c r="H53" s="1562"/>
      <c r="I53" s="1562"/>
      <c r="J53" s="1563"/>
      <c r="K53" s="1564"/>
    </row>
    <row r="54" spans="1:13" ht="30.75" customHeight="1" x14ac:dyDescent="0.35">
      <c r="B54" s="229"/>
      <c r="C54" s="1798" t="s">
        <v>1925</v>
      </c>
    </row>
    <row r="55" spans="1:13" ht="24" x14ac:dyDescent="0.25">
      <c r="C55" s="1835"/>
      <c r="D55" s="1839" t="s">
        <v>46</v>
      </c>
      <c r="E55" s="1836" t="s">
        <v>47</v>
      </c>
      <c r="F55" s="1836" t="s">
        <v>48</v>
      </c>
      <c r="G55" s="1836" t="s">
        <v>49</v>
      </c>
      <c r="H55" s="1836" t="s">
        <v>50</v>
      </c>
      <c r="I55" s="1840" t="s">
        <v>35</v>
      </c>
      <c r="J55" s="1837"/>
      <c r="K55" s="227"/>
      <c r="L55" s="1828" t="s">
        <v>161</v>
      </c>
      <c r="M55" s="1828" t="s">
        <v>163</v>
      </c>
    </row>
    <row r="56" spans="1:13" x14ac:dyDescent="0.25">
      <c r="C56" s="1807" t="s">
        <v>1941</v>
      </c>
      <c r="D56" s="1821">
        <f>'CALCULS Eaux usées'!E61</f>
        <v>0</v>
      </c>
      <c r="E56" s="1802">
        <f>'CALCULS Eaux usées'!F61</f>
        <v>0</v>
      </c>
      <c r="F56" s="1802">
        <f>'CALCULS Eaux usées'!G61</f>
        <v>0</v>
      </c>
      <c r="G56" s="1802">
        <f>'CALCULS Eaux usées'!H61</f>
        <v>0</v>
      </c>
      <c r="H56" s="1802">
        <f>'CALCULS Eaux usées'!I61</f>
        <v>0</v>
      </c>
      <c r="I56" s="1813">
        <f>'CALCULS Eaux usées'!J61</f>
        <v>1</v>
      </c>
      <c r="J56" s="1841">
        <f>SUM(D56:I56)</f>
        <v>1</v>
      </c>
      <c r="K56" s="1560"/>
      <c r="L56" s="3463">
        <f>'CALCULS Eaux usées'!M61</f>
        <v>0</v>
      </c>
      <c r="M56" s="3459">
        <f>'CALCULS Eaux usées'!N61</f>
        <v>0</v>
      </c>
    </row>
    <row r="57" spans="1:13" x14ac:dyDescent="0.25">
      <c r="C57" s="1809"/>
      <c r="D57" s="1822">
        <f>'CALCULS Eaux usées'!E21</f>
        <v>0</v>
      </c>
      <c r="E57" s="227"/>
      <c r="F57" s="227"/>
      <c r="G57" s="227"/>
      <c r="H57" s="227"/>
      <c r="I57" s="1824"/>
      <c r="J57" s="1827"/>
      <c r="K57" s="227"/>
      <c r="L57" s="3464"/>
      <c r="M57" s="3460"/>
    </row>
    <row r="58" spans="1:13" x14ac:dyDescent="0.25">
      <c r="C58" s="1810" t="s">
        <v>1995</v>
      </c>
      <c r="D58" s="1820">
        <f>$D$57*D56</f>
        <v>0</v>
      </c>
      <c r="E58" s="1804">
        <f t="shared" ref="E58:J58" si="13">$D$57*E56</f>
        <v>0</v>
      </c>
      <c r="F58" s="1804">
        <f t="shared" si="13"/>
        <v>0</v>
      </c>
      <c r="G58" s="1804">
        <f t="shared" si="13"/>
        <v>0</v>
      </c>
      <c r="H58" s="1804">
        <f t="shared" si="13"/>
        <v>0</v>
      </c>
      <c r="I58" s="1811">
        <f t="shared" si="13"/>
        <v>0</v>
      </c>
      <c r="J58" s="1842">
        <f t="shared" si="13"/>
        <v>0</v>
      </c>
      <c r="K58" s="227"/>
      <c r="L58" s="3464"/>
      <c r="M58" s="3460"/>
    </row>
    <row r="59" spans="1:13" x14ac:dyDescent="0.25">
      <c r="C59" s="1812" t="s">
        <v>1942</v>
      </c>
      <c r="D59" s="1821">
        <f>'CALCULS Eaux usées'!E62</f>
        <v>0</v>
      </c>
      <c r="E59" s="1802">
        <f>'CALCULS Eaux usées'!F62</f>
        <v>0</v>
      </c>
      <c r="F59" s="1802">
        <f>'CALCULS Eaux usées'!G62</f>
        <v>0</v>
      </c>
      <c r="G59" s="1802">
        <f>'CALCULS Eaux usées'!H62</f>
        <v>0</v>
      </c>
      <c r="H59" s="1802">
        <f>'CALCULS Eaux usées'!I62</f>
        <v>0</v>
      </c>
      <c r="I59" s="1813">
        <f>'CALCULS Eaux usées'!J62</f>
        <v>1</v>
      </c>
      <c r="J59" s="1843">
        <f>SUM(D59:I59)</f>
        <v>1</v>
      </c>
      <c r="K59" s="1560"/>
      <c r="L59" s="3464"/>
      <c r="M59" s="3460"/>
    </row>
    <row r="60" spans="1:13" x14ac:dyDescent="0.25">
      <c r="C60" s="1809"/>
      <c r="D60" s="1822">
        <f>'CALCULS Eaux usées'!E22</f>
        <v>0</v>
      </c>
      <c r="E60" s="227"/>
      <c r="F60" s="227"/>
      <c r="G60" s="227"/>
      <c r="H60" s="227"/>
      <c r="I60" s="1824"/>
      <c r="J60" s="1827"/>
      <c r="K60" s="227"/>
      <c r="L60" s="3464"/>
      <c r="M60" s="3460"/>
    </row>
    <row r="61" spans="1:13" x14ac:dyDescent="0.25">
      <c r="C61" s="1810" t="s">
        <v>1995</v>
      </c>
      <c r="D61" s="1820">
        <f>$D$60*D59</f>
        <v>0</v>
      </c>
      <c r="E61" s="1804">
        <f t="shared" ref="E61:J61" si="14">$D$60*E59</f>
        <v>0</v>
      </c>
      <c r="F61" s="1804">
        <f t="shared" si="14"/>
        <v>0</v>
      </c>
      <c r="G61" s="1804">
        <f t="shared" si="14"/>
        <v>0</v>
      </c>
      <c r="H61" s="1804">
        <f t="shared" si="14"/>
        <v>0</v>
      </c>
      <c r="I61" s="1811">
        <f t="shared" si="14"/>
        <v>0</v>
      </c>
      <c r="J61" s="1842">
        <f t="shared" si="14"/>
        <v>0</v>
      </c>
      <c r="K61" s="227"/>
      <c r="L61" s="3465"/>
      <c r="M61" s="3460"/>
    </row>
    <row r="62" spans="1:13" x14ac:dyDescent="0.25">
      <c r="C62" s="1812" t="s">
        <v>1943</v>
      </c>
      <c r="D62" s="1821">
        <f>'CALCULS Eaux usées'!E63</f>
        <v>0</v>
      </c>
      <c r="E62" s="1802">
        <f>'CALCULS Eaux usées'!F63</f>
        <v>0</v>
      </c>
      <c r="F62" s="1802">
        <f>'CALCULS Eaux usées'!G63</f>
        <v>0</v>
      </c>
      <c r="G62" s="1802">
        <f>'CALCULS Eaux usées'!H63</f>
        <v>0</v>
      </c>
      <c r="H62" s="1802">
        <f>'CALCULS Eaux usées'!I63</f>
        <v>0</v>
      </c>
      <c r="I62" s="1813">
        <f>'CALCULS Eaux usées'!J63</f>
        <v>1</v>
      </c>
      <c r="J62" s="1841">
        <f>SUM(D62:I62)</f>
        <v>1</v>
      </c>
      <c r="K62" s="1560"/>
      <c r="L62" s="3463">
        <f>'CALCULS Eaux usées'!M63</f>
        <v>0</v>
      </c>
      <c r="M62" s="3460"/>
    </row>
    <row r="63" spans="1:13" x14ac:dyDescent="0.25">
      <c r="C63" s="1809"/>
      <c r="D63" s="1823">
        <f>'CALCULS Eaux usées'!E24</f>
        <v>0</v>
      </c>
      <c r="E63" s="227"/>
      <c r="F63" s="227"/>
      <c r="G63" s="227"/>
      <c r="H63" s="227"/>
      <c r="I63" s="1824"/>
      <c r="J63" s="1827"/>
      <c r="K63" s="227"/>
      <c r="L63" s="3464"/>
      <c r="M63" s="3460"/>
    </row>
    <row r="64" spans="1:13" x14ac:dyDescent="0.25">
      <c r="C64" s="1810" t="s">
        <v>1995</v>
      </c>
      <c r="D64" s="1820">
        <f>$D$63*D62</f>
        <v>0</v>
      </c>
      <c r="E64" s="1804">
        <f t="shared" ref="E64:J64" si="15">$D$63*E62</f>
        <v>0</v>
      </c>
      <c r="F64" s="1804">
        <f t="shared" si="15"/>
        <v>0</v>
      </c>
      <c r="G64" s="1804">
        <f t="shared" si="15"/>
        <v>0</v>
      </c>
      <c r="H64" s="1804">
        <f t="shared" si="15"/>
        <v>0</v>
      </c>
      <c r="I64" s="1811">
        <f t="shared" si="15"/>
        <v>0</v>
      </c>
      <c r="J64" s="1842">
        <f t="shared" si="15"/>
        <v>0</v>
      </c>
      <c r="K64" s="227"/>
      <c r="L64" s="3464"/>
      <c r="M64" s="3460"/>
    </row>
    <row r="65" spans="1:13" x14ac:dyDescent="0.25">
      <c r="C65" s="1812" t="s">
        <v>1944</v>
      </c>
      <c r="D65" s="1821">
        <f>'CALCULS Eaux usées'!E64</f>
        <v>0</v>
      </c>
      <c r="E65" s="1802">
        <f>'CALCULS Eaux usées'!F64</f>
        <v>0</v>
      </c>
      <c r="F65" s="1802">
        <f>'CALCULS Eaux usées'!G64</f>
        <v>0</v>
      </c>
      <c r="G65" s="1802">
        <f>'CALCULS Eaux usées'!H64</f>
        <v>0</v>
      </c>
      <c r="H65" s="1802">
        <f>'CALCULS Eaux usées'!I64</f>
        <v>0</v>
      </c>
      <c r="I65" s="1813">
        <f>'CALCULS Eaux usées'!J64</f>
        <v>1</v>
      </c>
      <c r="J65" s="1843">
        <f>SUM(D65:I65)</f>
        <v>1</v>
      </c>
      <c r="K65" s="1560"/>
      <c r="L65" s="3464"/>
      <c r="M65" s="3460"/>
    </row>
    <row r="66" spans="1:13" x14ac:dyDescent="0.25">
      <c r="C66" s="1809"/>
      <c r="D66" s="1823">
        <f>'CALCULS Eaux usées'!E25</f>
        <v>0</v>
      </c>
      <c r="E66" s="227"/>
      <c r="F66" s="227"/>
      <c r="G66" s="227"/>
      <c r="H66" s="227"/>
      <c r="I66" s="1824"/>
      <c r="J66" s="993"/>
      <c r="K66" s="227"/>
      <c r="L66" s="3464"/>
      <c r="M66" s="3460"/>
    </row>
    <row r="67" spans="1:13" x14ac:dyDescent="0.25">
      <c r="C67" s="1810" t="s">
        <v>1995</v>
      </c>
      <c r="D67" s="1820">
        <f>$D$66*D65</f>
        <v>0</v>
      </c>
      <c r="E67" s="1804">
        <f t="shared" ref="E67:J67" si="16">$D$66*E65</f>
        <v>0</v>
      </c>
      <c r="F67" s="1804">
        <f t="shared" si="16"/>
        <v>0</v>
      </c>
      <c r="G67" s="1804">
        <f t="shared" si="16"/>
        <v>0</v>
      </c>
      <c r="H67" s="1804">
        <f t="shared" si="16"/>
        <v>0</v>
      </c>
      <c r="I67" s="1811">
        <f t="shared" si="16"/>
        <v>0</v>
      </c>
      <c r="J67" s="1842">
        <f t="shared" si="16"/>
        <v>0</v>
      </c>
      <c r="K67" s="227"/>
      <c r="L67" s="3465"/>
      <c r="M67" s="3461"/>
    </row>
    <row r="68" spans="1:13" x14ac:dyDescent="0.25">
      <c r="C68" s="1838" t="s">
        <v>1945</v>
      </c>
      <c r="D68" s="1822">
        <f>D58+D64</f>
        <v>0</v>
      </c>
      <c r="E68" s="1803">
        <f t="shared" ref="E68:J68" si="17">E58+E64</f>
        <v>0</v>
      </c>
      <c r="F68" s="1803">
        <f t="shared" si="17"/>
        <v>0</v>
      </c>
      <c r="G68" s="1803">
        <f t="shared" si="17"/>
        <v>0</v>
      </c>
      <c r="H68" s="1803">
        <f t="shared" si="17"/>
        <v>0</v>
      </c>
      <c r="I68" s="1814">
        <f t="shared" si="17"/>
        <v>0</v>
      </c>
      <c r="J68" s="1831">
        <f t="shared" si="17"/>
        <v>0</v>
      </c>
      <c r="K68" s="227"/>
    </row>
    <row r="69" spans="1:13" x14ac:dyDescent="0.25">
      <c r="C69" s="1815" t="s">
        <v>1946</v>
      </c>
      <c r="D69" s="1822">
        <f>D61+D67</f>
        <v>0</v>
      </c>
      <c r="E69" s="1803">
        <f t="shared" ref="E69:J69" si="18">E61+E67</f>
        <v>0</v>
      </c>
      <c r="F69" s="1803">
        <f t="shared" si="18"/>
        <v>0</v>
      </c>
      <c r="G69" s="1803">
        <f t="shared" si="18"/>
        <v>0</v>
      </c>
      <c r="H69" s="1803">
        <f t="shared" si="18"/>
        <v>0</v>
      </c>
      <c r="I69" s="1814">
        <f t="shared" si="18"/>
        <v>0</v>
      </c>
      <c r="J69" s="1832">
        <f t="shared" si="18"/>
        <v>0</v>
      </c>
      <c r="K69" s="227"/>
    </row>
    <row r="70" spans="1:13" ht="20.25" customHeight="1" x14ac:dyDescent="0.25">
      <c r="C70" s="1845"/>
      <c r="D70" s="1846"/>
      <c r="E70" s="1846"/>
      <c r="F70" s="1846"/>
      <c r="G70" s="1846"/>
      <c r="H70" s="1846"/>
      <c r="I70" s="1847"/>
      <c r="J70" s="1833">
        <f t="shared" ref="J70" si="19">J68+J69</f>
        <v>0</v>
      </c>
      <c r="K70" s="1834">
        <f>D57+D60+D63+D66</f>
        <v>0</v>
      </c>
      <c r="L70" s="1561" t="s">
        <v>1940</v>
      </c>
    </row>
    <row r="71" spans="1:13" s="6" customFormat="1" ht="18" customHeight="1" x14ac:dyDescent="0.25">
      <c r="A71" s="416"/>
      <c r="B71" s="228"/>
      <c r="C71" s="1565"/>
      <c r="D71" s="1562"/>
      <c r="E71" s="1562"/>
      <c r="F71" s="1562"/>
      <c r="G71" s="1562"/>
      <c r="H71" s="1562"/>
      <c r="I71" s="1562"/>
      <c r="J71" s="1563"/>
      <c r="K71" s="1564"/>
    </row>
    <row r="72" spans="1:13" ht="30.75" customHeight="1" x14ac:dyDescent="0.35">
      <c r="B72" s="229"/>
      <c r="C72" s="1798" t="s">
        <v>1929</v>
      </c>
      <c r="D72" s="1566"/>
      <c r="E72" s="1566"/>
      <c r="F72" s="1566"/>
    </row>
    <row r="73" spans="1:13" ht="24" x14ac:dyDescent="0.25">
      <c r="C73" s="1835"/>
      <c r="D73" s="1839" t="s">
        <v>46</v>
      </c>
      <c r="E73" s="1836" t="s">
        <v>47</v>
      </c>
      <c r="F73" s="1836" t="s">
        <v>48</v>
      </c>
      <c r="G73" s="1836" t="s">
        <v>49</v>
      </c>
      <c r="H73" s="1836" t="s">
        <v>50</v>
      </c>
      <c r="I73" s="1840" t="s">
        <v>35</v>
      </c>
      <c r="J73" s="1837"/>
      <c r="K73" s="227"/>
      <c r="L73" s="1828" t="s">
        <v>161</v>
      </c>
      <c r="M73" s="1828" t="s">
        <v>163</v>
      </c>
    </row>
    <row r="74" spans="1:13" x14ac:dyDescent="0.25">
      <c r="C74" s="1807" t="s">
        <v>1941</v>
      </c>
      <c r="D74" s="1821">
        <f>'CALCULS Eaux pluviales'!E61</f>
        <v>0</v>
      </c>
      <c r="E74" s="1802">
        <f>'CALCULS Eaux pluviales'!F61</f>
        <v>0</v>
      </c>
      <c r="F74" s="1802">
        <f>'CALCULS Eaux pluviales'!G61</f>
        <v>0</v>
      </c>
      <c r="G74" s="1802">
        <f>'CALCULS Eaux pluviales'!H61</f>
        <v>0</v>
      </c>
      <c r="H74" s="1802">
        <f>'CALCULS Eaux pluviales'!I61</f>
        <v>0</v>
      </c>
      <c r="I74" s="1813">
        <f>'CALCULS Eaux pluviales'!J61</f>
        <v>1</v>
      </c>
      <c r="J74" s="1841">
        <f>SUM(D74:I74)</f>
        <v>1</v>
      </c>
      <c r="K74" s="1560"/>
      <c r="L74" s="3463">
        <f>'CALCULS Eaux pluviales'!M61</f>
        <v>0</v>
      </c>
      <c r="M74" s="3459">
        <f>'CALCULS Eaux pluviales'!N61</f>
        <v>0</v>
      </c>
    </row>
    <row r="75" spans="1:13" x14ac:dyDescent="0.25">
      <c r="C75" s="1809"/>
      <c r="D75" s="1822">
        <f>'CALCULS Eaux pluviales'!E21</f>
        <v>0</v>
      </c>
      <c r="E75" s="227"/>
      <c r="F75" s="227"/>
      <c r="G75" s="227"/>
      <c r="H75" s="227"/>
      <c r="I75" s="1824"/>
      <c r="J75" s="1827"/>
      <c r="K75" s="227"/>
      <c r="L75" s="3464"/>
      <c r="M75" s="3460"/>
    </row>
    <row r="76" spans="1:13" x14ac:dyDescent="0.25">
      <c r="C76" s="1810" t="s">
        <v>1995</v>
      </c>
      <c r="D76" s="1820">
        <f>$D$75*D74</f>
        <v>0</v>
      </c>
      <c r="E76" s="1804">
        <f t="shared" ref="E76:J76" si="20">$D$75*E74</f>
        <v>0</v>
      </c>
      <c r="F76" s="1804">
        <f t="shared" si="20"/>
        <v>0</v>
      </c>
      <c r="G76" s="1804">
        <f t="shared" si="20"/>
        <v>0</v>
      </c>
      <c r="H76" s="1804">
        <f t="shared" si="20"/>
        <v>0</v>
      </c>
      <c r="I76" s="1811">
        <f t="shared" si="20"/>
        <v>0</v>
      </c>
      <c r="J76" s="1842">
        <f t="shared" si="20"/>
        <v>0</v>
      </c>
      <c r="K76" s="227"/>
      <c r="L76" s="3464"/>
      <c r="M76" s="3460"/>
    </row>
    <row r="77" spans="1:13" x14ac:dyDescent="0.25">
      <c r="C77" s="1812" t="s">
        <v>1942</v>
      </c>
      <c r="D77" s="1821">
        <f>'CALCULS Eaux pluviales'!E62</f>
        <v>0</v>
      </c>
      <c r="E77" s="1802">
        <f>'CALCULS Eaux pluviales'!F62</f>
        <v>0</v>
      </c>
      <c r="F77" s="1802">
        <f>'CALCULS Eaux pluviales'!G62</f>
        <v>0</v>
      </c>
      <c r="G77" s="1802">
        <f>'CALCULS Eaux pluviales'!H62</f>
        <v>0</v>
      </c>
      <c r="H77" s="1802">
        <f>'CALCULS Eaux pluviales'!I62</f>
        <v>0</v>
      </c>
      <c r="I77" s="1813">
        <f>'CALCULS Eaux pluviales'!J62</f>
        <v>1</v>
      </c>
      <c r="J77" s="1843">
        <f>SUM(D77:I77)</f>
        <v>1</v>
      </c>
      <c r="K77" s="1560"/>
      <c r="L77" s="3464"/>
      <c r="M77" s="3460"/>
    </row>
    <row r="78" spans="1:13" x14ac:dyDescent="0.25">
      <c r="C78" s="1809"/>
      <c r="D78" s="1822">
        <f>'CALCULS Eaux pluviales'!E22</f>
        <v>0</v>
      </c>
      <c r="E78" s="227"/>
      <c r="F78" s="227"/>
      <c r="G78" s="227"/>
      <c r="H78" s="227"/>
      <c r="I78" s="1824"/>
      <c r="J78" s="1827"/>
      <c r="K78" s="227"/>
      <c r="L78" s="3464"/>
      <c r="M78" s="3460"/>
    </row>
    <row r="79" spans="1:13" x14ac:dyDescent="0.25">
      <c r="C79" s="1810" t="s">
        <v>1995</v>
      </c>
      <c r="D79" s="1820">
        <f>$D$78*D77</f>
        <v>0</v>
      </c>
      <c r="E79" s="1804">
        <f t="shared" ref="E79:J79" si="21">$D$78*E77</f>
        <v>0</v>
      </c>
      <c r="F79" s="1804">
        <f t="shared" si="21"/>
        <v>0</v>
      </c>
      <c r="G79" s="1804">
        <f t="shared" si="21"/>
        <v>0</v>
      </c>
      <c r="H79" s="1804">
        <f t="shared" si="21"/>
        <v>0</v>
      </c>
      <c r="I79" s="1811">
        <f t="shared" si="21"/>
        <v>0</v>
      </c>
      <c r="J79" s="1842">
        <f t="shared" si="21"/>
        <v>0</v>
      </c>
      <c r="K79" s="227"/>
      <c r="L79" s="3465"/>
      <c r="M79" s="3460"/>
    </row>
    <row r="80" spans="1:13" x14ac:dyDescent="0.25">
      <c r="C80" s="1812" t="s">
        <v>1943</v>
      </c>
      <c r="D80" s="1821">
        <f>'CALCULS Eaux pluviales'!E63</f>
        <v>0</v>
      </c>
      <c r="E80" s="1802">
        <f>'CALCULS Eaux pluviales'!F63</f>
        <v>0</v>
      </c>
      <c r="F80" s="1802">
        <f>'CALCULS Eaux pluviales'!G63</f>
        <v>0</v>
      </c>
      <c r="G80" s="1802">
        <f>'CALCULS Eaux pluviales'!H63</f>
        <v>0</v>
      </c>
      <c r="H80" s="1802">
        <f>'CALCULS Eaux pluviales'!I63</f>
        <v>0</v>
      </c>
      <c r="I80" s="1813">
        <f>'CALCULS Eaux pluviales'!J63</f>
        <v>1</v>
      </c>
      <c r="J80" s="1841">
        <f>SUM(D80:I80)</f>
        <v>1</v>
      </c>
      <c r="K80" s="1560"/>
      <c r="L80" s="3463">
        <f>'CALCULS Eaux pluviales'!M63</f>
        <v>0</v>
      </c>
      <c r="M80" s="3460"/>
    </row>
    <row r="81" spans="1:14" x14ac:dyDescent="0.25">
      <c r="C81" s="1809"/>
      <c r="D81" s="1823">
        <f>'CALCULS Eaux pluviales'!E24</f>
        <v>0</v>
      </c>
      <c r="E81" s="227"/>
      <c r="F81" s="227"/>
      <c r="G81" s="227"/>
      <c r="H81" s="227"/>
      <c r="I81" s="1824"/>
      <c r="J81" s="1827"/>
      <c r="K81" s="227"/>
      <c r="L81" s="3464"/>
      <c r="M81" s="3460"/>
    </row>
    <row r="82" spans="1:14" x14ac:dyDescent="0.25">
      <c r="C82" s="1810" t="s">
        <v>1995</v>
      </c>
      <c r="D82" s="1820">
        <f>$D$81*D80</f>
        <v>0</v>
      </c>
      <c r="E82" s="1804">
        <f t="shared" ref="E82:J82" si="22">$D$81*E80</f>
        <v>0</v>
      </c>
      <c r="F82" s="1804">
        <f t="shared" si="22"/>
        <v>0</v>
      </c>
      <c r="G82" s="1804">
        <f t="shared" si="22"/>
        <v>0</v>
      </c>
      <c r="H82" s="1804">
        <f t="shared" si="22"/>
        <v>0</v>
      </c>
      <c r="I82" s="1811">
        <f t="shared" si="22"/>
        <v>0</v>
      </c>
      <c r="J82" s="1842">
        <f t="shared" si="22"/>
        <v>0</v>
      </c>
      <c r="K82" s="227"/>
      <c r="L82" s="3464"/>
      <c r="M82" s="3460"/>
    </row>
    <row r="83" spans="1:14" x14ac:dyDescent="0.25">
      <c r="C83" s="1812" t="s">
        <v>1944</v>
      </c>
      <c r="D83" s="1821">
        <f>'CALCULS Eaux pluviales'!E64</f>
        <v>0</v>
      </c>
      <c r="E83" s="1802">
        <f>'CALCULS Eaux pluviales'!F64</f>
        <v>0</v>
      </c>
      <c r="F83" s="1802">
        <f>'CALCULS Eaux pluviales'!G64</f>
        <v>0</v>
      </c>
      <c r="G83" s="1802">
        <f>'CALCULS Eaux pluviales'!H64</f>
        <v>0</v>
      </c>
      <c r="H83" s="1802">
        <f>'CALCULS Eaux pluviales'!I64</f>
        <v>0</v>
      </c>
      <c r="I83" s="1813">
        <f>'CALCULS Eaux pluviales'!J64</f>
        <v>1</v>
      </c>
      <c r="J83" s="1843">
        <f>SUM(D83:I83)</f>
        <v>1</v>
      </c>
      <c r="K83" s="1560"/>
      <c r="L83" s="3464"/>
      <c r="M83" s="3460"/>
    </row>
    <row r="84" spans="1:14" x14ac:dyDescent="0.25">
      <c r="C84" s="1809"/>
      <c r="D84" s="1823">
        <f>'CALCULS Eaux pluviales'!E25</f>
        <v>0</v>
      </c>
      <c r="E84" s="227"/>
      <c r="F84" s="227"/>
      <c r="G84" s="227"/>
      <c r="H84" s="227"/>
      <c r="I84" s="1824"/>
      <c r="J84" s="993"/>
      <c r="K84" s="227"/>
      <c r="L84" s="3464"/>
      <c r="M84" s="3460"/>
    </row>
    <row r="85" spans="1:14" x14ac:dyDescent="0.25">
      <c r="C85" s="1810" t="s">
        <v>1995</v>
      </c>
      <c r="D85" s="1820">
        <f>$D$84*D83</f>
        <v>0</v>
      </c>
      <c r="E85" s="1804">
        <f t="shared" ref="E85:J85" si="23">$D$84*E83</f>
        <v>0</v>
      </c>
      <c r="F85" s="1804">
        <f t="shared" si="23"/>
        <v>0</v>
      </c>
      <c r="G85" s="1804">
        <f t="shared" si="23"/>
        <v>0</v>
      </c>
      <c r="H85" s="1804">
        <f t="shared" si="23"/>
        <v>0</v>
      </c>
      <c r="I85" s="1811">
        <f t="shared" si="23"/>
        <v>0</v>
      </c>
      <c r="J85" s="1842">
        <f t="shared" si="23"/>
        <v>0</v>
      </c>
      <c r="K85" s="227"/>
      <c r="L85" s="3465"/>
      <c r="M85" s="3461"/>
    </row>
    <row r="86" spans="1:14" x14ac:dyDescent="0.25">
      <c r="C86" s="1838" t="s">
        <v>1945</v>
      </c>
      <c r="D86" s="1822">
        <f>D76+D82</f>
        <v>0</v>
      </c>
      <c r="E86" s="1803">
        <f t="shared" ref="E86:J86" si="24">E76+E82</f>
        <v>0</v>
      </c>
      <c r="F86" s="1803">
        <f t="shared" si="24"/>
        <v>0</v>
      </c>
      <c r="G86" s="1803">
        <f t="shared" si="24"/>
        <v>0</v>
      </c>
      <c r="H86" s="1803">
        <f t="shared" si="24"/>
        <v>0</v>
      </c>
      <c r="I86" s="1814">
        <f t="shared" si="24"/>
        <v>0</v>
      </c>
      <c r="J86" s="1831">
        <f t="shared" si="24"/>
        <v>0</v>
      </c>
      <c r="K86" s="227"/>
    </row>
    <row r="87" spans="1:14" x14ac:dyDescent="0.25">
      <c r="C87" s="1815" t="s">
        <v>1946</v>
      </c>
      <c r="D87" s="1822">
        <f>D79+D85</f>
        <v>0</v>
      </c>
      <c r="E87" s="1803">
        <f t="shared" ref="E87:J87" si="25">E79+E85</f>
        <v>0</v>
      </c>
      <c r="F87" s="1803">
        <f t="shared" si="25"/>
        <v>0</v>
      </c>
      <c r="G87" s="1803">
        <f t="shared" si="25"/>
        <v>0</v>
      </c>
      <c r="H87" s="1803">
        <f t="shared" si="25"/>
        <v>0</v>
      </c>
      <c r="I87" s="1814">
        <f t="shared" si="25"/>
        <v>0</v>
      </c>
      <c r="J87" s="1832">
        <f t="shared" si="25"/>
        <v>0</v>
      </c>
      <c r="K87" s="227"/>
    </row>
    <row r="88" spans="1:14" ht="20.25" customHeight="1" x14ac:dyDescent="0.25">
      <c r="C88" s="1845"/>
      <c r="D88" s="1846"/>
      <c r="E88" s="1846"/>
      <c r="F88" s="1846"/>
      <c r="G88" s="1846"/>
      <c r="H88" s="1846"/>
      <c r="I88" s="1847"/>
      <c r="J88" s="1833">
        <f t="shared" ref="J88" si="26">J86+J87</f>
        <v>0</v>
      </c>
      <c r="K88" s="1834">
        <f>D75+D78+D81+D84</f>
        <v>0</v>
      </c>
      <c r="L88" s="1561" t="s">
        <v>1940</v>
      </c>
    </row>
    <row r="89" spans="1:14" s="6" customFormat="1" ht="40.5" customHeight="1" x14ac:dyDescent="0.25">
      <c r="A89" s="416"/>
      <c r="B89" s="228"/>
      <c r="D89" s="1799"/>
      <c r="E89" s="1799"/>
      <c r="F89" s="1799"/>
      <c r="G89" s="1799"/>
      <c r="H89" s="1799"/>
      <c r="I89" s="1799"/>
      <c r="J89" s="1799"/>
      <c r="K89" s="1800"/>
    </row>
    <row r="90" spans="1:14" s="6" customFormat="1" ht="40.5" customHeight="1" x14ac:dyDescent="0.25">
      <c r="A90" s="416"/>
      <c r="B90" s="228"/>
      <c r="C90" s="1801" t="s">
        <v>1994</v>
      </c>
      <c r="D90" s="1799"/>
      <c r="E90" s="1799"/>
      <c r="F90" s="1799"/>
      <c r="G90" s="1799"/>
      <c r="H90" s="1799"/>
      <c r="I90" s="1799"/>
      <c r="J90" s="1799"/>
      <c r="K90" s="1800"/>
    </row>
    <row r="91" spans="1:14" ht="10.5" customHeight="1" x14ac:dyDescent="0.35">
      <c r="B91" s="229"/>
      <c r="D91" s="7"/>
      <c r="E91" s="7"/>
      <c r="F91" s="7"/>
      <c r="G91" s="7"/>
      <c r="H91" s="7"/>
      <c r="I91" s="7"/>
      <c r="J91" s="7"/>
    </row>
    <row r="92" spans="1:14" ht="24" x14ac:dyDescent="0.35">
      <c r="B92" s="229"/>
      <c r="D92" s="227" t="s">
        <v>46</v>
      </c>
      <c r="E92" s="227" t="s">
        <v>47</v>
      </c>
      <c r="F92" s="227" t="s">
        <v>48</v>
      </c>
      <c r="G92" s="227" t="s">
        <v>49</v>
      </c>
      <c r="H92" s="227" t="s">
        <v>50</v>
      </c>
      <c r="I92" s="1844" t="s">
        <v>35</v>
      </c>
      <c r="M92" s="1848" t="s">
        <v>1996</v>
      </c>
      <c r="N92" s="1849"/>
    </row>
    <row r="93" spans="1:14" ht="21" x14ac:dyDescent="0.35">
      <c r="B93" s="229"/>
      <c r="M93" s="2616">
        <f>IF(E30=2,(ROUNDDOWN(AVERAGE(M38,M56,M74),0)),(ROUNDDOWN(AVERAGE(M38,M56),0)))</f>
        <v>0</v>
      </c>
      <c r="N93" s="1850"/>
    </row>
    <row r="94" spans="1:14" ht="21" x14ac:dyDescent="0.35">
      <c r="B94" s="229"/>
      <c r="C94" t="s">
        <v>1922</v>
      </c>
      <c r="D94" s="7">
        <f>IF($J$50=0,0,D50/$J$50)</f>
        <v>0</v>
      </c>
      <c r="E94" s="7">
        <f t="shared" ref="E94:I94" si="27">IF($J$50=0,0,E50/$J$50)</f>
        <v>0</v>
      </c>
      <c r="F94" s="7">
        <f t="shared" si="27"/>
        <v>0</v>
      </c>
      <c r="G94" s="7">
        <f t="shared" si="27"/>
        <v>0</v>
      </c>
      <c r="H94" s="7">
        <f t="shared" si="27"/>
        <v>0</v>
      </c>
      <c r="I94" s="7">
        <f t="shared" si="27"/>
        <v>0</v>
      </c>
      <c r="J94" s="7">
        <f>SUM(D94:I94)</f>
        <v>0</v>
      </c>
      <c r="M94" s="2306"/>
      <c r="N94" s="1"/>
    </row>
    <row r="95" spans="1:14" ht="21" x14ac:dyDescent="0.35">
      <c r="B95" s="229"/>
      <c r="C95" t="s">
        <v>1923</v>
      </c>
      <c r="D95" s="7">
        <f t="shared" ref="D95:I95" si="28">IF($J$51=0,0,D51/$J$51)</f>
        <v>0</v>
      </c>
      <c r="E95" s="7">
        <f t="shared" si="28"/>
        <v>0</v>
      </c>
      <c r="F95" s="7">
        <f t="shared" si="28"/>
        <v>0</v>
      </c>
      <c r="G95" s="7">
        <f t="shared" si="28"/>
        <v>0</v>
      </c>
      <c r="H95" s="7">
        <f t="shared" si="28"/>
        <v>0</v>
      </c>
      <c r="I95" s="7">
        <f t="shared" si="28"/>
        <v>0</v>
      </c>
      <c r="J95" s="7">
        <f t="shared" ref="J95:J101" si="29">SUM(D95:I95)</f>
        <v>0</v>
      </c>
      <c r="M95" s="2281" t="s">
        <v>2126</v>
      </c>
    </row>
    <row r="96" spans="1:14" ht="21" x14ac:dyDescent="0.35">
      <c r="B96" s="229"/>
      <c r="D96" s="7"/>
      <c r="E96" s="7"/>
      <c r="F96" s="7"/>
      <c r="G96" s="7"/>
      <c r="H96" s="7"/>
      <c r="I96" s="7"/>
      <c r="J96" s="7"/>
      <c r="M96" s="2282" t="s">
        <v>2087</v>
      </c>
    </row>
    <row r="97" spans="2:10" ht="21" x14ac:dyDescent="0.35">
      <c r="B97" s="229"/>
      <c r="C97" t="s">
        <v>1926</v>
      </c>
      <c r="D97" s="7">
        <f t="shared" ref="D97:I97" si="30">IF($J$68=0,0,D68/$J$68)</f>
        <v>0</v>
      </c>
      <c r="E97" s="7">
        <f t="shared" si="30"/>
        <v>0</v>
      </c>
      <c r="F97" s="7">
        <f t="shared" si="30"/>
        <v>0</v>
      </c>
      <c r="G97" s="7">
        <f t="shared" si="30"/>
        <v>0</v>
      </c>
      <c r="H97" s="7">
        <f t="shared" si="30"/>
        <v>0</v>
      </c>
      <c r="I97" s="7">
        <f t="shared" si="30"/>
        <v>0</v>
      </c>
      <c r="J97" s="7">
        <f t="shared" si="29"/>
        <v>0</v>
      </c>
    </row>
    <row r="98" spans="2:10" ht="21" x14ac:dyDescent="0.35">
      <c r="B98" s="229"/>
      <c r="C98" t="s">
        <v>1927</v>
      </c>
      <c r="D98" s="7">
        <f t="shared" ref="D98:I98" si="31">IF($J$69=0,0,D69/$J$69)</f>
        <v>0</v>
      </c>
      <c r="E98" s="7">
        <f t="shared" si="31"/>
        <v>0</v>
      </c>
      <c r="F98" s="7">
        <f t="shared" si="31"/>
        <v>0</v>
      </c>
      <c r="G98" s="7">
        <f t="shared" si="31"/>
        <v>0</v>
      </c>
      <c r="H98" s="7">
        <f t="shared" si="31"/>
        <v>0</v>
      </c>
      <c r="I98" s="7">
        <f t="shared" si="31"/>
        <v>0</v>
      </c>
      <c r="J98" s="7">
        <f t="shared" si="29"/>
        <v>0</v>
      </c>
    </row>
    <row r="99" spans="2:10" ht="21" x14ac:dyDescent="0.35">
      <c r="B99" s="229"/>
      <c r="D99" s="7"/>
      <c r="E99" s="7"/>
      <c r="F99" s="7"/>
      <c r="G99" s="7"/>
      <c r="H99" s="7"/>
      <c r="I99" s="7"/>
      <c r="J99" s="7"/>
    </row>
    <row r="100" spans="2:10" ht="21" x14ac:dyDescent="0.35">
      <c r="B100" s="229"/>
      <c r="C100" t="s">
        <v>1930</v>
      </c>
      <c r="D100" s="7">
        <f>IF($J$86=0,0,D86/$J$86)</f>
        <v>0</v>
      </c>
      <c r="E100" s="7">
        <f t="shared" ref="E100:I100" si="32">IF($J$86=0,0,E86/$J$86)</f>
        <v>0</v>
      </c>
      <c r="F100" s="7">
        <f t="shared" si="32"/>
        <v>0</v>
      </c>
      <c r="G100" s="7">
        <f t="shared" si="32"/>
        <v>0</v>
      </c>
      <c r="H100" s="7">
        <f t="shared" si="32"/>
        <v>0</v>
      </c>
      <c r="I100" s="7">
        <f t="shared" si="32"/>
        <v>0</v>
      </c>
      <c r="J100" s="7">
        <f t="shared" si="29"/>
        <v>0</v>
      </c>
    </row>
    <row r="101" spans="2:10" ht="21" x14ac:dyDescent="0.35">
      <c r="B101" s="229"/>
      <c r="C101" t="s">
        <v>1931</v>
      </c>
      <c r="D101" s="7">
        <f t="shared" ref="D101:I101" si="33">IF($J$87=0,0,D87/$J$87)</f>
        <v>0</v>
      </c>
      <c r="E101" s="7">
        <f t="shared" si="33"/>
        <v>0</v>
      </c>
      <c r="F101" s="7">
        <f t="shared" si="33"/>
        <v>0</v>
      </c>
      <c r="G101" s="7">
        <f t="shared" si="33"/>
        <v>0</v>
      </c>
      <c r="H101" s="7">
        <f t="shared" si="33"/>
        <v>0</v>
      </c>
      <c r="I101" s="7">
        <f t="shared" si="33"/>
        <v>0</v>
      </c>
      <c r="J101" s="7">
        <f t="shared" si="29"/>
        <v>0</v>
      </c>
    </row>
    <row r="102" spans="2:10" ht="21" x14ac:dyDescent="0.35">
      <c r="B102" s="229"/>
      <c r="D102" s="7"/>
      <c r="E102" s="7"/>
      <c r="F102" s="7"/>
      <c r="G102" s="7"/>
      <c r="H102" s="7"/>
      <c r="I102" s="7"/>
      <c r="J102" s="7"/>
    </row>
    <row r="103" spans="2:10" ht="10.5" customHeight="1" x14ac:dyDescent="0.35">
      <c r="B103" s="229"/>
      <c r="D103" s="7"/>
      <c r="E103" s="7"/>
      <c r="F103" s="7"/>
      <c r="G103" s="7"/>
      <c r="H103" s="7"/>
      <c r="I103" s="7"/>
      <c r="J103" s="7"/>
    </row>
    <row r="104" spans="2:10" ht="21" x14ac:dyDescent="0.35">
      <c r="B104" s="229"/>
      <c r="C104" s="1559" t="s">
        <v>1932</v>
      </c>
      <c r="D104" s="7"/>
      <c r="E104" s="7"/>
      <c r="F104" s="7"/>
      <c r="G104" s="7"/>
      <c r="H104" s="7"/>
      <c r="I104" s="7"/>
      <c r="J104" s="7"/>
    </row>
    <row r="105" spans="2:10" ht="24" x14ac:dyDescent="0.35">
      <c r="B105" s="229"/>
      <c r="D105" s="1844" t="str">
        <f>I92</f>
        <v>Inconnu</v>
      </c>
      <c r="E105" s="227" t="str">
        <f>H92</f>
        <v>Très mauvais 
(E)</v>
      </c>
      <c r="F105" s="227" t="str">
        <f>G92</f>
        <v>Mauvais 
(D)</v>
      </c>
      <c r="G105" s="227" t="str">
        <f>F92</f>
        <v>Satisfaisant 
(C)</v>
      </c>
      <c r="H105" s="227" t="str">
        <f>E92</f>
        <v>Bon 
(B)</v>
      </c>
      <c r="I105" s="227" t="str">
        <f>D92</f>
        <v>Très bon 
(A)</v>
      </c>
      <c r="J105" s="7"/>
    </row>
    <row r="106" spans="2:10" ht="21" x14ac:dyDescent="0.35">
      <c r="B106" s="229"/>
    </row>
    <row r="107" spans="2:10" ht="21" x14ac:dyDescent="0.35">
      <c r="B107" s="229"/>
      <c r="C107" t="s">
        <v>1922</v>
      </c>
      <c r="D107" s="7">
        <f>I94</f>
        <v>0</v>
      </c>
      <c r="E107" s="7">
        <f>H94</f>
        <v>0</v>
      </c>
      <c r="F107" s="7">
        <f>G94</f>
        <v>0</v>
      </c>
      <c r="G107" s="7">
        <f>F94</f>
        <v>0</v>
      </c>
      <c r="H107" s="7">
        <f>E94</f>
        <v>0</v>
      </c>
      <c r="I107" s="7">
        <f>D94</f>
        <v>0</v>
      </c>
      <c r="J107" s="7">
        <f>SUM(D107:I107)</f>
        <v>0</v>
      </c>
    </row>
    <row r="108" spans="2:10" ht="21" x14ac:dyDescent="0.35">
      <c r="B108" s="229"/>
      <c r="C108" t="s">
        <v>1923</v>
      </c>
      <c r="D108" s="7">
        <f>I95</f>
        <v>0</v>
      </c>
      <c r="E108" s="7">
        <f>H95</f>
        <v>0</v>
      </c>
      <c r="F108" s="7">
        <f>G95</f>
        <v>0</v>
      </c>
      <c r="G108" s="7">
        <f>F95</f>
        <v>0</v>
      </c>
      <c r="H108" s="7">
        <f>E95</f>
        <v>0</v>
      </c>
      <c r="I108" s="7">
        <f>D95</f>
        <v>0</v>
      </c>
      <c r="J108" s="7">
        <f t="shared" ref="J108:J114" si="34">SUM(D108:I108)</f>
        <v>0</v>
      </c>
    </row>
    <row r="109" spans="2:10" ht="21" x14ac:dyDescent="0.35">
      <c r="B109" s="229"/>
      <c r="D109" s="7"/>
      <c r="E109" s="7"/>
      <c r="F109" s="7"/>
      <c r="G109" s="7"/>
      <c r="H109" s="7"/>
      <c r="I109" s="7"/>
      <c r="J109" s="7"/>
    </row>
    <row r="110" spans="2:10" ht="21" x14ac:dyDescent="0.35">
      <c r="B110" s="229"/>
      <c r="C110" t="s">
        <v>1926</v>
      </c>
      <c r="D110" s="7">
        <f>I97</f>
        <v>0</v>
      </c>
      <c r="E110" s="7">
        <f>H97</f>
        <v>0</v>
      </c>
      <c r="F110" s="7">
        <f>G97</f>
        <v>0</v>
      </c>
      <c r="G110" s="7">
        <f>F97</f>
        <v>0</v>
      </c>
      <c r="H110" s="7">
        <f>E97</f>
        <v>0</v>
      </c>
      <c r="I110" s="7">
        <f>D97</f>
        <v>0</v>
      </c>
      <c r="J110" s="7">
        <f t="shared" si="34"/>
        <v>0</v>
      </c>
    </row>
    <row r="111" spans="2:10" ht="21" x14ac:dyDescent="0.35">
      <c r="B111" s="229"/>
      <c r="C111" t="s">
        <v>1927</v>
      </c>
      <c r="D111" s="7">
        <f>I98</f>
        <v>0</v>
      </c>
      <c r="E111" s="7">
        <f>H98</f>
        <v>0</v>
      </c>
      <c r="F111" s="7">
        <f>G98</f>
        <v>0</v>
      </c>
      <c r="G111" s="7">
        <f>F98</f>
        <v>0</v>
      </c>
      <c r="H111" s="7">
        <f>E98</f>
        <v>0</v>
      </c>
      <c r="I111" s="7">
        <f>D98</f>
        <v>0</v>
      </c>
      <c r="J111" s="7">
        <f t="shared" si="34"/>
        <v>0</v>
      </c>
    </row>
    <row r="112" spans="2:10" ht="21" x14ac:dyDescent="0.35">
      <c r="B112" s="229"/>
      <c r="D112" s="7"/>
      <c r="E112" s="7"/>
      <c r="F112" s="7"/>
      <c r="G112" s="7"/>
      <c r="H112" s="7"/>
      <c r="I112" s="7"/>
      <c r="J112" s="7"/>
    </row>
    <row r="113" spans="2:14" ht="21" x14ac:dyDescent="0.35">
      <c r="B113" s="229"/>
      <c r="C113" t="s">
        <v>1930</v>
      </c>
      <c r="D113" s="7">
        <f>I100</f>
        <v>0</v>
      </c>
      <c r="E113" s="7">
        <f>H100</f>
        <v>0</v>
      </c>
      <c r="F113" s="7">
        <f>G100</f>
        <v>0</v>
      </c>
      <c r="G113" s="7">
        <f>F100</f>
        <v>0</v>
      </c>
      <c r="H113" s="7">
        <f>E100</f>
        <v>0</v>
      </c>
      <c r="I113" s="7">
        <f>D100</f>
        <v>0</v>
      </c>
      <c r="J113" s="7">
        <f t="shared" si="34"/>
        <v>0</v>
      </c>
    </row>
    <row r="114" spans="2:14" ht="21" x14ac:dyDescent="0.35">
      <c r="B114" s="229"/>
      <c r="C114" t="s">
        <v>1931</v>
      </c>
      <c r="D114" s="7">
        <f>I101</f>
        <v>0</v>
      </c>
      <c r="E114" s="7">
        <f>H101</f>
        <v>0</v>
      </c>
      <c r="F114" s="7">
        <f>G101</f>
        <v>0</v>
      </c>
      <c r="G114" s="7">
        <f>F101</f>
        <v>0</v>
      </c>
      <c r="H114" s="7">
        <f>E101</f>
        <v>0</v>
      </c>
      <c r="I114" s="7">
        <f>D101</f>
        <v>0</v>
      </c>
      <c r="J114" s="7">
        <f t="shared" si="34"/>
        <v>0</v>
      </c>
    </row>
    <row r="115" spans="2:14" ht="17.25" customHeight="1" x14ac:dyDescent="0.35">
      <c r="B115" s="229"/>
      <c r="D115" s="7"/>
      <c r="E115" s="7"/>
      <c r="F115" s="7"/>
      <c r="G115" s="7"/>
      <c r="H115" s="7"/>
      <c r="I115" s="7"/>
      <c r="J115" s="7"/>
      <c r="L115" s="1"/>
      <c r="M115" s="1"/>
      <c r="N115" s="1"/>
    </row>
    <row r="116" spans="2:14" ht="17.25" customHeight="1" x14ac:dyDescent="0.35">
      <c r="B116" s="229"/>
      <c r="D116" s="7"/>
      <c r="E116" s="7"/>
      <c r="F116" s="7"/>
      <c r="G116" s="7"/>
      <c r="H116" s="7"/>
      <c r="I116" s="7"/>
      <c r="J116" s="7"/>
      <c r="L116" s="2520" t="s">
        <v>1528</v>
      </c>
      <c r="M116" s="1550" t="s">
        <v>72</v>
      </c>
      <c r="N116" s="1"/>
    </row>
    <row r="117" spans="2:14" ht="17.25" customHeight="1" x14ac:dyDescent="0.35">
      <c r="B117" s="229"/>
      <c r="D117" s="7"/>
      <c r="E117" s="7"/>
      <c r="F117" s="7"/>
      <c r="G117" s="7"/>
      <c r="H117" s="7"/>
      <c r="I117" s="7"/>
      <c r="J117" s="7"/>
      <c r="L117" s="2570" t="s">
        <v>1528</v>
      </c>
      <c r="M117" s="1550" t="s">
        <v>73</v>
      </c>
      <c r="N117" s="1"/>
    </row>
    <row r="118" spans="2:14" ht="17.25" customHeight="1" x14ac:dyDescent="0.35">
      <c r="B118" s="229"/>
      <c r="D118" s="7"/>
      <c r="E118" s="7"/>
      <c r="F118" s="7"/>
      <c r="G118" s="7"/>
      <c r="H118" s="7"/>
      <c r="I118" s="7"/>
      <c r="J118" s="7"/>
      <c r="L118" s="2569" t="s">
        <v>1528</v>
      </c>
      <c r="M118" s="1550" t="s">
        <v>1933</v>
      </c>
      <c r="N118" s="1"/>
    </row>
    <row r="119" spans="2:14" ht="17.25" customHeight="1" x14ac:dyDescent="0.35">
      <c r="B119" s="229"/>
      <c r="D119" s="7"/>
      <c r="E119" s="7"/>
      <c r="F119" s="7"/>
      <c r="G119" s="7"/>
      <c r="H119" s="7"/>
      <c r="I119" s="7"/>
      <c r="J119" s="7"/>
      <c r="L119" s="2521" t="s">
        <v>1528</v>
      </c>
      <c r="M119" s="1550" t="s">
        <v>75</v>
      </c>
      <c r="N119" s="1"/>
    </row>
    <row r="120" spans="2:14" ht="17.25" customHeight="1" x14ac:dyDescent="0.35">
      <c r="B120" s="229"/>
      <c r="D120" s="7"/>
      <c r="E120" s="7"/>
      <c r="F120" s="7"/>
      <c r="G120" s="7"/>
      <c r="H120" s="7"/>
      <c r="I120" s="7"/>
      <c r="J120" s="7"/>
      <c r="L120" s="2522" t="s">
        <v>1528</v>
      </c>
      <c r="M120" s="1550" t="s">
        <v>76</v>
      </c>
      <c r="N120" s="1"/>
    </row>
    <row r="121" spans="2:14" ht="17.25" customHeight="1" x14ac:dyDescent="0.35">
      <c r="B121" s="229"/>
      <c r="D121" s="7"/>
      <c r="E121" s="7"/>
      <c r="F121" s="7"/>
      <c r="G121" s="7"/>
      <c r="H121" s="7"/>
      <c r="I121" s="7"/>
      <c r="J121" s="7"/>
      <c r="L121" s="2568" t="s">
        <v>1528</v>
      </c>
      <c r="M121" s="1550" t="s">
        <v>35</v>
      </c>
      <c r="N121" s="1"/>
    </row>
    <row r="122" spans="2:14" ht="17.25" customHeight="1" x14ac:dyDescent="0.35">
      <c r="B122" s="229"/>
      <c r="D122" s="7"/>
      <c r="E122" s="7"/>
      <c r="F122" s="7"/>
      <c r="G122" s="7"/>
      <c r="H122" s="7"/>
      <c r="I122" s="7"/>
      <c r="J122" s="7"/>
      <c r="L122" s="1"/>
      <c r="M122" s="1"/>
      <c r="N122" s="1"/>
    </row>
    <row r="123" spans="2:14" ht="17.25" customHeight="1" x14ac:dyDescent="0.35">
      <c r="B123" s="229"/>
      <c r="D123" s="2307"/>
      <c r="E123" s="2307"/>
      <c r="F123" s="2307"/>
      <c r="G123" s="2307"/>
      <c r="H123" s="2307"/>
      <c r="I123" s="2307"/>
      <c r="J123" s="2307"/>
      <c r="K123" s="1"/>
      <c r="L123" s="1"/>
      <c r="M123" s="1"/>
    </row>
    <row r="124" spans="2:14" ht="17.25" customHeight="1" thickBot="1" x14ac:dyDescent="0.4">
      <c r="B124" s="229"/>
      <c r="D124" s="2307"/>
      <c r="E124" s="2308" t="s">
        <v>269</v>
      </c>
      <c r="F124" s="2309" t="s">
        <v>270</v>
      </c>
      <c r="G124" s="2307"/>
      <c r="H124" s="2308" t="s">
        <v>269</v>
      </c>
      <c r="I124" s="2309" t="s">
        <v>270</v>
      </c>
      <c r="J124" s="2307"/>
      <c r="K124" s="2308" t="s">
        <v>269</v>
      </c>
      <c r="L124" s="2309" t="s">
        <v>270</v>
      </c>
      <c r="M124" s="1"/>
    </row>
    <row r="125" spans="2:14" ht="20.25" customHeight="1" x14ac:dyDescent="0.35">
      <c r="B125" s="229"/>
      <c r="D125" s="2307"/>
      <c r="E125" s="3466" t="s">
        <v>271</v>
      </c>
      <c r="F125" s="3466"/>
      <c r="G125" s="2307"/>
      <c r="H125" s="3466" t="s">
        <v>272</v>
      </c>
      <c r="I125" s="3466"/>
      <c r="J125" s="2307"/>
      <c r="K125" s="3466" t="s">
        <v>273</v>
      </c>
      <c r="L125" s="3466"/>
      <c r="M125" s="1"/>
    </row>
    <row r="126" spans="2:14" ht="310.5" customHeight="1" x14ac:dyDescent="0.35">
      <c r="B126" s="229"/>
    </row>
    <row r="127" spans="2:14" ht="21" x14ac:dyDescent="0.35">
      <c r="B127" s="229"/>
    </row>
    <row r="129" spans="2:28" ht="26.25" customHeight="1" x14ac:dyDescent="0.3">
      <c r="B129" s="1762" t="s">
        <v>1990</v>
      </c>
      <c r="C129" s="853"/>
      <c r="D129" s="853"/>
      <c r="E129" s="853"/>
      <c r="F129" s="853"/>
      <c r="G129" s="853"/>
      <c r="H129" s="853"/>
      <c r="I129" s="853"/>
      <c r="J129" s="853"/>
      <c r="K129" s="853"/>
      <c r="L129" s="853"/>
      <c r="M129" s="853"/>
      <c r="N129" s="853"/>
      <c r="O129" s="853"/>
      <c r="P129" s="853"/>
      <c r="Q129" s="853"/>
      <c r="R129" s="853"/>
      <c r="S129" s="853"/>
      <c r="T129" s="853"/>
      <c r="U129" s="853"/>
      <c r="V129" s="853"/>
      <c r="W129" s="853"/>
      <c r="X129" s="853"/>
      <c r="Y129" s="853"/>
      <c r="Z129" s="853"/>
      <c r="AA129" s="853"/>
      <c r="AB129" s="853"/>
    </row>
    <row r="130" spans="2:28" ht="21" x14ac:dyDescent="0.35">
      <c r="B130" s="229"/>
    </row>
    <row r="131" spans="2:28" ht="22.5" customHeight="1" x14ac:dyDescent="0.25">
      <c r="C131" s="230" t="s">
        <v>2000</v>
      </c>
    </row>
    <row r="132" spans="2:28" ht="13.5" customHeight="1" x14ac:dyDescent="0.25">
      <c r="C132" s="230"/>
    </row>
    <row r="133" spans="2:28" ht="30.75" customHeight="1" x14ac:dyDescent="0.25">
      <c r="B133" s="230"/>
      <c r="C133" s="1798" t="s">
        <v>1921</v>
      </c>
    </row>
    <row r="134" spans="2:28" ht="19.5" customHeight="1" x14ac:dyDescent="0.25">
      <c r="B134" s="6"/>
      <c r="C134" s="1111"/>
      <c r="D134" s="1111">
        <f>'CALCULS Eau potable'!E179</f>
        <v>0</v>
      </c>
      <c r="E134" s="1111">
        <f>D134+1</f>
        <v>1</v>
      </c>
      <c r="F134" s="1111">
        <f t="shared" ref="F134:M134" si="35">E134+1</f>
        <v>2</v>
      </c>
      <c r="G134" s="1111">
        <f t="shared" si="35"/>
        <v>3</v>
      </c>
      <c r="H134" s="1111">
        <f t="shared" si="35"/>
        <v>4</v>
      </c>
      <c r="I134" s="1111">
        <f t="shared" si="35"/>
        <v>5</v>
      </c>
      <c r="J134" s="1111">
        <f t="shared" si="35"/>
        <v>6</v>
      </c>
      <c r="K134" s="1111">
        <f t="shared" si="35"/>
        <v>7</v>
      </c>
      <c r="L134" s="1111">
        <f t="shared" si="35"/>
        <v>8</v>
      </c>
      <c r="M134" s="1111">
        <f t="shared" si="35"/>
        <v>9</v>
      </c>
      <c r="N134" s="1111" t="s">
        <v>1822</v>
      </c>
    </row>
    <row r="135" spans="2:28" x14ac:dyDescent="0.25">
      <c r="C135" s="2" t="s">
        <v>2001</v>
      </c>
      <c r="D135" s="231">
        <f>'CALCULS Eau potable'!E180</f>
        <v>0</v>
      </c>
      <c r="E135" s="231">
        <f>'CALCULS Eau potable'!F180</f>
        <v>0</v>
      </c>
      <c r="F135" s="231">
        <f>'CALCULS Eau potable'!G180</f>
        <v>0</v>
      </c>
      <c r="G135" s="231">
        <f>'CALCULS Eau potable'!H180</f>
        <v>0</v>
      </c>
      <c r="H135" s="231">
        <f>'CALCULS Eau potable'!I180</f>
        <v>0</v>
      </c>
      <c r="I135" s="231">
        <f>'CALCULS Eau potable'!J180</f>
        <v>0</v>
      </c>
      <c r="J135" s="231">
        <f>'CALCULS Eau potable'!K180</f>
        <v>0</v>
      </c>
      <c r="K135" s="231">
        <f>'CALCULS Eau potable'!L180</f>
        <v>0</v>
      </c>
      <c r="L135" s="231">
        <f>'CALCULS Eau potable'!M180</f>
        <v>0</v>
      </c>
      <c r="M135" s="231">
        <f>'CALCULS Eau potable'!N180</f>
        <v>0</v>
      </c>
      <c r="N135" s="231">
        <f>'CALCULS Eau potable'!O180</f>
        <v>0</v>
      </c>
    </row>
    <row r="136" spans="2:28" x14ac:dyDescent="0.25">
      <c r="C136" s="376" t="s">
        <v>55</v>
      </c>
      <c r="D136" s="231">
        <f>'CALCULS Eau potable'!F222+'CALCULS Eau potable'!F223</f>
        <v>0</v>
      </c>
      <c r="E136" s="231">
        <f>D136</f>
        <v>0</v>
      </c>
      <c r="F136" s="231">
        <f t="shared" ref="F136:M137" si="36">E136</f>
        <v>0</v>
      </c>
      <c r="G136" s="231">
        <f t="shared" si="36"/>
        <v>0</v>
      </c>
      <c r="H136" s="231">
        <f t="shared" si="36"/>
        <v>0</v>
      </c>
      <c r="I136" s="231">
        <f t="shared" si="36"/>
        <v>0</v>
      </c>
      <c r="J136" s="231">
        <f t="shared" si="36"/>
        <v>0</v>
      </c>
      <c r="K136" s="231">
        <f t="shared" si="36"/>
        <v>0</v>
      </c>
      <c r="L136" s="231">
        <f t="shared" si="36"/>
        <v>0</v>
      </c>
      <c r="M136" s="231">
        <f t="shared" si="36"/>
        <v>0</v>
      </c>
      <c r="N136" s="231">
        <f>SUM(D136:M136)</f>
        <v>0</v>
      </c>
    </row>
    <row r="137" spans="2:28" x14ac:dyDescent="0.25">
      <c r="C137" s="376" t="s">
        <v>2141</v>
      </c>
      <c r="D137" s="231">
        <f>'CALCULS Eau potable'!F224</f>
        <v>0</v>
      </c>
      <c r="E137" s="231">
        <f>D137</f>
        <v>0</v>
      </c>
      <c r="F137" s="231">
        <f t="shared" si="36"/>
        <v>0</v>
      </c>
      <c r="G137" s="231">
        <f t="shared" si="36"/>
        <v>0</v>
      </c>
      <c r="H137" s="231">
        <f t="shared" si="36"/>
        <v>0</v>
      </c>
      <c r="I137" s="231">
        <f t="shared" si="36"/>
        <v>0</v>
      </c>
      <c r="J137" s="231">
        <f t="shared" si="36"/>
        <v>0</v>
      </c>
      <c r="K137" s="231">
        <f t="shared" si="36"/>
        <v>0</v>
      </c>
      <c r="L137" s="231">
        <f t="shared" si="36"/>
        <v>0</v>
      </c>
      <c r="M137" s="231">
        <f t="shared" si="36"/>
        <v>0</v>
      </c>
      <c r="N137" s="231">
        <f>SUM(D137:M137)</f>
        <v>0</v>
      </c>
    </row>
    <row r="138" spans="2:28" x14ac:dyDescent="0.25">
      <c r="C138" s="376" t="s">
        <v>133</v>
      </c>
      <c r="D138" s="231">
        <f>'CALCULS Eau potable'!F225+'CALCULS Eau potable'!F226</f>
        <v>0</v>
      </c>
      <c r="E138" s="231">
        <f>D138</f>
        <v>0</v>
      </c>
      <c r="F138" s="231">
        <f t="shared" ref="F138:M138" si="37">E138</f>
        <v>0</v>
      </c>
      <c r="G138" s="231">
        <f t="shared" si="37"/>
        <v>0</v>
      </c>
      <c r="H138" s="231">
        <f t="shared" si="37"/>
        <v>0</v>
      </c>
      <c r="I138" s="231">
        <f t="shared" si="37"/>
        <v>0</v>
      </c>
      <c r="J138" s="231">
        <f t="shared" si="37"/>
        <v>0</v>
      </c>
      <c r="K138" s="231">
        <f t="shared" si="37"/>
        <v>0</v>
      </c>
      <c r="L138" s="231">
        <f t="shared" si="37"/>
        <v>0</v>
      </c>
      <c r="M138" s="231">
        <f t="shared" si="37"/>
        <v>0</v>
      </c>
      <c r="N138" s="231">
        <f>SUM(D138:M138)</f>
        <v>0</v>
      </c>
    </row>
    <row r="139" spans="2:28" x14ac:dyDescent="0.25">
      <c r="C139" s="1108" t="s">
        <v>1</v>
      </c>
      <c r="D139" s="1109">
        <f>'CALCULS Eau potable'!E181</f>
        <v>0</v>
      </c>
      <c r="E139" s="1109">
        <f>'CALCULS Eau potable'!F181</f>
        <v>0</v>
      </c>
      <c r="F139" s="1109">
        <f>'CALCULS Eau potable'!G181</f>
        <v>0</v>
      </c>
      <c r="G139" s="1109">
        <f>'CALCULS Eau potable'!H181</f>
        <v>0</v>
      </c>
      <c r="H139" s="1109">
        <f>'CALCULS Eau potable'!I181</f>
        <v>0</v>
      </c>
      <c r="I139" s="1109">
        <f>'CALCULS Eau potable'!J181</f>
        <v>0</v>
      </c>
      <c r="J139" s="1109">
        <f>'CALCULS Eau potable'!K181</f>
        <v>0</v>
      </c>
      <c r="K139" s="1109">
        <f>'CALCULS Eau potable'!L181</f>
        <v>0</v>
      </c>
      <c r="L139" s="1109">
        <f>'CALCULS Eau potable'!M181</f>
        <v>0</v>
      </c>
      <c r="M139" s="1109">
        <f>'CALCULS Eau potable'!N181</f>
        <v>0</v>
      </c>
      <c r="N139" s="1109">
        <f>'CALCULS Eau potable'!O181</f>
        <v>0</v>
      </c>
    </row>
    <row r="140" spans="2:28" x14ac:dyDescent="0.25">
      <c r="C140" s="2" t="s">
        <v>2</v>
      </c>
      <c r="D140" s="231">
        <f>'CALCULS Eau potable'!E182</f>
        <v>0</v>
      </c>
      <c r="E140" s="231">
        <f>'CALCULS Eau potable'!F182</f>
        <v>0</v>
      </c>
      <c r="F140" s="231">
        <f>'CALCULS Eau potable'!G182</f>
        <v>0</v>
      </c>
      <c r="G140" s="231">
        <f>'CALCULS Eau potable'!H182</f>
        <v>0</v>
      </c>
      <c r="H140" s="231">
        <f>'CALCULS Eau potable'!I182</f>
        <v>0</v>
      </c>
      <c r="I140" s="231">
        <f>'CALCULS Eau potable'!J182</f>
        <v>0</v>
      </c>
      <c r="J140" s="231">
        <f>'CALCULS Eau potable'!K182</f>
        <v>0</v>
      </c>
      <c r="K140" s="231">
        <f>'CALCULS Eau potable'!L182</f>
        <v>0</v>
      </c>
      <c r="L140" s="231">
        <f>'CALCULS Eau potable'!M182</f>
        <v>0</v>
      </c>
      <c r="M140" s="231">
        <f>'CALCULS Eau potable'!N182</f>
        <v>0</v>
      </c>
      <c r="N140" s="231">
        <f>'CALCULS Eau potable'!O182</f>
        <v>0</v>
      </c>
    </row>
    <row r="141" spans="2:28" x14ac:dyDescent="0.25">
      <c r="C141" s="2" t="s">
        <v>5</v>
      </c>
      <c r="D141" s="231">
        <f>'CALCULS Eau potable'!E183</f>
        <v>0</v>
      </c>
      <c r="E141" s="231">
        <f>'CALCULS Eau potable'!F183</f>
        <v>0</v>
      </c>
      <c r="F141" s="231">
        <f>'CALCULS Eau potable'!G183</f>
        <v>0</v>
      </c>
      <c r="G141" s="231">
        <f>'CALCULS Eau potable'!H183</f>
        <v>0</v>
      </c>
      <c r="H141" s="231">
        <f>'CALCULS Eau potable'!I183</f>
        <v>0</v>
      </c>
      <c r="I141" s="231">
        <f>'CALCULS Eau potable'!J183</f>
        <v>0</v>
      </c>
      <c r="J141" s="231">
        <f>'CALCULS Eau potable'!K183</f>
        <v>0</v>
      </c>
      <c r="K141" s="231">
        <f>'CALCULS Eau potable'!L183</f>
        <v>0</v>
      </c>
      <c r="L141" s="231">
        <f>'CALCULS Eau potable'!M183</f>
        <v>0</v>
      </c>
      <c r="M141" s="231">
        <f>'CALCULS Eau potable'!N183</f>
        <v>0</v>
      </c>
      <c r="N141" s="231">
        <f>'CALCULS Eau potable'!O183</f>
        <v>0</v>
      </c>
    </row>
    <row r="142" spans="2:28" x14ac:dyDescent="0.25">
      <c r="C142" s="2" t="s">
        <v>3</v>
      </c>
      <c r="D142" s="231">
        <f>'CALCULS Eau potable'!E184</f>
        <v>0</v>
      </c>
      <c r="E142" s="231">
        <f>'CALCULS Eau potable'!F184</f>
        <v>0</v>
      </c>
      <c r="F142" s="231">
        <f>'CALCULS Eau potable'!G184</f>
        <v>0</v>
      </c>
      <c r="G142" s="231">
        <f>'CALCULS Eau potable'!H184</f>
        <v>0</v>
      </c>
      <c r="H142" s="231">
        <f>'CALCULS Eau potable'!I184</f>
        <v>0</v>
      </c>
      <c r="I142" s="231">
        <f>'CALCULS Eau potable'!J184</f>
        <v>0</v>
      </c>
      <c r="J142" s="231">
        <f>'CALCULS Eau potable'!K184</f>
        <v>0</v>
      </c>
      <c r="K142" s="231">
        <f>'CALCULS Eau potable'!L184</f>
        <v>0</v>
      </c>
      <c r="L142" s="231">
        <f>'CALCULS Eau potable'!M184</f>
        <v>0</v>
      </c>
      <c r="M142" s="231">
        <f>'CALCULS Eau potable'!N184</f>
        <v>0</v>
      </c>
      <c r="N142" s="231">
        <f>'CALCULS Eau potable'!O184</f>
        <v>0</v>
      </c>
    </row>
    <row r="143" spans="2:28" x14ac:dyDescent="0.25">
      <c r="C143" s="1104" t="s">
        <v>4</v>
      </c>
      <c r="D143" s="1106">
        <f>'CALCULS Eau potable'!E185</f>
        <v>0</v>
      </c>
      <c r="E143" s="1106">
        <f>'CALCULS Eau potable'!F185</f>
        <v>0</v>
      </c>
      <c r="F143" s="1106">
        <f>'CALCULS Eau potable'!G185</f>
        <v>0</v>
      </c>
      <c r="G143" s="1106">
        <f>'CALCULS Eau potable'!H185</f>
        <v>0</v>
      </c>
      <c r="H143" s="1106">
        <f>'CALCULS Eau potable'!I185</f>
        <v>0</v>
      </c>
      <c r="I143" s="1106">
        <f>'CALCULS Eau potable'!J185</f>
        <v>0</v>
      </c>
      <c r="J143" s="1106">
        <f>'CALCULS Eau potable'!K185</f>
        <v>0</v>
      </c>
      <c r="K143" s="1106">
        <f>'CALCULS Eau potable'!L185</f>
        <v>0</v>
      </c>
      <c r="L143" s="1106">
        <f>'CALCULS Eau potable'!M185</f>
        <v>0</v>
      </c>
      <c r="M143" s="1106">
        <f>'CALCULS Eau potable'!N185</f>
        <v>0</v>
      </c>
      <c r="N143" s="1106">
        <f>'CALCULS Eau potable'!O185</f>
        <v>0</v>
      </c>
    </row>
    <row r="144" spans="2:28" ht="15" customHeight="1" x14ac:dyDescent="0.25">
      <c r="B144" s="376"/>
      <c r="C144" s="376" t="s">
        <v>1947</v>
      </c>
      <c r="D144" s="5">
        <f>D139+D140</f>
        <v>0</v>
      </c>
      <c r="E144" s="5">
        <f t="shared" ref="E144:N144" si="38">E139+E140</f>
        <v>0</v>
      </c>
      <c r="F144" s="5">
        <f t="shared" si="38"/>
        <v>0</v>
      </c>
      <c r="G144" s="5">
        <f t="shared" si="38"/>
        <v>0</v>
      </c>
      <c r="H144" s="5">
        <f t="shared" si="38"/>
        <v>0</v>
      </c>
      <c r="I144" s="5">
        <f t="shared" si="38"/>
        <v>0</v>
      </c>
      <c r="J144" s="5">
        <f t="shared" si="38"/>
        <v>0</v>
      </c>
      <c r="K144" s="5">
        <f t="shared" si="38"/>
        <v>0</v>
      </c>
      <c r="L144" s="5">
        <f t="shared" si="38"/>
        <v>0</v>
      </c>
      <c r="M144" s="5">
        <f t="shared" si="38"/>
        <v>0</v>
      </c>
      <c r="N144" s="5">
        <f t="shared" si="38"/>
        <v>0</v>
      </c>
      <c r="P144" s="415"/>
    </row>
    <row r="145" spans="2:16" ht="15" customHeight="1" x14ac:dyDescent="0.25">
      <c r="C145" s="376" t="s">
        <v>5</v>
      </c>
      <c r="D145" s="5">
        <f t="shared" ref="D145:N145" si="39">D141</f>
        <v>0</v>
      </c>
      <c r="E145" s="5">
        <f t="shared" si="39"/>
        <v>0</v>
      </c>
      <c r="F145" s="5">
        <f t="shared" si="39"/>
        <v>0</v>
      </c>
      <c r="G145" s="5">
        <f t="shared" si="39"/>
        <v>0</v>
      </c>
      <c r="H145" s="5">
        <f t="shared" si="39"/>
        <v>0</v>
      </c>
      <c r="I145" s="5">
        <f t="shared" si="39"/>
        <v>0</v>
      </c>
      <c r="J145" s="5">
        <f t="shared" si="39"/>
        <v>0</v>
      </c>
      <c r="K145" s="5">
        <f t="shared" si="39"/>
        <v>0</v>
      </c>
      <c r="L145" s="5">
        <f t="shared" si="39"/>
        <v>0</v>
      </c>
      <c r="M145" s="5">
        <f t="shared" si="39"/>
        <v>0</v>
      </c>
      <c r="N145" s="5">
        <f t="shared" si="39"/>
        <v>0</v>
      </c>
      <c r="P145" s="415"/>
    </row>
    <row r="146" spans="2:16" ht="15" customHeight="1" x14ac:dyDescent="0.25">
      <c r="C146" s="376" t="s">
        <v>1948</v>
      </c>
      <c r="D146" s="5">
        <f t="shared" ref="D146:N146" si="40">D142+D143</f>
        <v>0</v>
      </c>
      <c r="E146" s="5">
        <f t="shared" si="40"/>
        <v>0</v>
      </c>
      <c r="F146" s="5">
        <f t="shared" si="40"/>
        <v>0</v>
      </c>
      <c r="G146" s="5">
        <f t="shared" si="40"/>
        <v>0</v>
      </c>
      <c r="H146" s="5">
        <f t="shared" si="40"/>
        <v>0</v>
      </c>
      <c r="I146" s="5">
        <f t="shared" si="40"/>
        <v>0</v>
      </c>
      <c r="J146" s="5">
        <f t="shared" si="40"/>
        <v>0</v>
      </c>
      <c r="K146" s="5">
        <f t="shared" si="40"/>
        <v>0</v>
      </c>
      <c r="L146" s="5">
        <f t="shared" si="40"/>
        <v>0</v>
      </c>
      <c r="M146" s="5">
        <f t="shared" si="40"/>
        <v>0</v>
      </c>
      <c r="N146" s="5">
        <f t="shared" si="40"/>
        <v>0</v>
      </c>
      <c r="P146" s="415"/>
    </row>
    <row r="147" spans="2:16" ht="18" x14ac:dyDescent="0.25">
      <c r="C147" s="1851" t="s">
        <v>6</v>
      </c>
      <c r="D147" s="1852">
        <f t="shared" ref="D147:N147" si="41">SUM(D139:D143)</f>
        <v>0</v>
      </c>
      <c r="E147" s="1852">
        <f t="shared" si="41"/>
        <v>0</v>
      </c>
      <c r="F147" s="1852">
        <f t="shared" si="41"/>
        <v>0</v>
      </c>
      <c r="G147" s="1852">
        <f t="shared" si="41"/>
        <v>0</v>
      </c>
      <c r="H147" s="1852">
        <f t="shared" si="41"/>
        <v>0</v>
      </c>
      <c r="I147" s="1852">
        <f t="shared" si="41"/>
        <v>0</v>
      </c>
      <c r="J147" s="1852">
        <f t="shared" si="41"/>
        <v>0</v>
      </c>
      <c r="K147" s="1852">
        <f t="shared" si="41"/>
        <v>0</v>
      </c>
      <c r="L147" s="1852">
        <f t="shared" si="41"/>
        <v>0</v>
      </c>
      <c r="M147" s="1852">
        <f t="shared" si="41"/>
        <v>0</v>
      </c>
      <c r="N147" s="1853">
        <f t="shared" si="41"/>
        <v>0</v>
      </c>
      <c r="O147" s="5"/>
    </row>
    <row r="148" spans="2:16" x14ac:dyDescent="0.25">
      <c r="C148" s="376"/>
    </row>
    <row r="149" spans="2:16" ht="30.75" customHeight="1" x14ac:dyDescent="0.25">
      <c r="C149" s="1798" t="s">
        <v>1925</v>
      </c>
      <c r="N149" s="415"/>
    </row>
    <row r="150" spans="2:16" ht="19.5" customHeight="1" x14ac:dyDescent="0.25">
      <c r="C150" s="1111"/>
      <c r="D150" s="1111">
        <f t="shared" ref="D150:N150" si="42">D134</f>
        <v>0</v>
      </c>
      <c r="E150" s="1111">
        <f t="shared" si="42"/>
        <v>1</v>
      </c>
      <c r="F150" s="1111">
        <f t="shared" si="42"/>
        <v>2</v>
      </c>
      <c r="G150" s="1111">
        <f t="shared" si="42"/>
        <v>3</v>
      </c>
      <c r="H150" s="1111">
        <f t="shared" si="42"/>
        <v>4</v>
      </c>
      <c r="I150" s="1111">
        <f t="shared" si="42"/>
        <v>5</v>
      </c>
      <c r="J150" s="1111">
        <f t="shared" si="42"/>
        <v>6</v>
      </c>
      <c r="K150" s="1111">
        <f t="shared" si="42"/>
        <v>7</v>
      </c>
      <c r="L150" s="1111">
        <f t="shared" si="42"/>
        <v>8</v>
      </c>
      <c r="M150" s="1111">
        <f t="shared" si="42"/>
        <v>9</v>
      </c>
      <c r="N150" s="1111" t="str">
        <f t="shared" si="42"/>
        <v>Somme sur 10 ans</v>
      </c>
      <c r="O150" s="1568"/>
    </row>
    <row r="151" spans="2:16" ht="15" customHeight="1" x14ac:dyDescent="0.25">
      <c r="C151" s="2" t="s">
        <v>2001</v>
      </c>
      <c r="D151" s="231">
        <f>'CALCULS Eaux usées'!E180</f>
        <v>0</v>
      </c>
      <c r="E151" s="231">
        <f>'CALCULS Eaux usées'!F180</f>
        <v>0</v>
      </c>
      <c r="F151" s="231">
        <f>'CALCULS Eaux usées'!G180</f>
        <v>0</v>
      </c>
      <c r="G151" s="231">
        <f>'CALCULS Eaux usées'!H180</f>
        <v>0</v>
      </c>
      <c r="H151" s="231">
        <f>'CALCULS Eaux usées'!I180</f>
        <v>0</v>
      </c>
      <c r="I151" s="231">
        <f>'CALCULS Eaux usées'!J180</f>
        <v>0</v>
      </c>
      <c r="J151" s="231">
        <f>'CALCULS Eaux usées'!K180</f>
        <v>0</v>
      </c>
      <c r="K151" s="231">
        <f>'CALCULS Eaux usées'!L180</f>
        <v>0</v>
      </c>
      <c r="L151" s="231">
        <f>'CALCULS Eaux usées'!M180</f>
        <v>0</v>
      </c>
      <c r="M151" s="231">
        <f>'CALCULS Eaux usées'!N180</f>
        <v>0</v>
      </c>
      <c r="N151" s="231">
        <f>'CALCULS Eaux usées'!O180</f>
        <v>0</v>
      </c>
    </row>
    <row r="152" spans="2:16" x14ac:dyDescent="0.25">
      <c r="C152" s="376" t="s">
        <v>55</v>
      </c>
      <c r="D152" s="231">
        <f>'CALCULS Eaux usées'!F222+'CALCULS Eaux usées'!F223</f>
        <v>0</v>
      </c>
      <c r="E152" s="231">
        <f>D152</f>
        <v>0</v>
      </c>
      <c r="F152" s="231">
        <f t="shared" ref="F152:M153" si="43">E152</f>
        <v>0</v>
      </c>
      <c r="G152" s="231">
        <f t="shared" si="43"/>
        <v>0</v>
      </c>
      <c r="H152" s="231">
        <f t="shared" si="43"/>
        <v>0</v>
      </c>
      <c r="I152" s="231">
        <f t="shared" si="43"/>
        <v>0</v>
      </c>
      <c r="J152" s="231">
        <f t="shared" si="43"/>
        <v>0</v>
      </c>
      <c r="K152" s="231">
        <f t="shared" si="43"/>
        <v>0</v>
      </c>
      <c r="L152" s="231">
        <f t="shared" si="43"/>
        <v>0</v>
      </c>
      <c r="M152" s="231">
        <f t="shared" si="43"/>
        <v>0</v>
      </c>
      <c r="N152" s="231">
        <f>SUM(D152:M152)</f>
        <v>0</v>
      </c>
    </row>
    <row r="153" spans="2:16" x14ac:dyDescent="0.25">
      <c r="C153" s="376" t="s">
        <v>2141</v>
      </c>
      <c r="D153" s="231">
        <f>'CALCULS Eaux usées'!F224</f>
        <v>0</v>
      </c>
      <c r="E153" s="231">
        <f>D153</f>
        <v>0</v>
      </c>
      <c r="F153" s="231">
        <f t="shared" si="43"/>
        <v>0</v>
      </c>
      <c r="G153" s="231">
        <f t="shared" si="43"/>
        <v>0</v>
      </c>
      <c r="H153" s="231">
        <f t="shared" si="43"/>
        <v>0</v>
      </c>
      <c r="I153" s="231">
        <f t="shared" si="43"/>
        <v>0</v>
      </c>
      <c r="J153" s="231">
        <f t="shared" si="43"/>
        <v>0</v>
      </c>
      <c r="K153" s="231">
        <f t="shared" si="43"/>
        <v>0</v>
      </c>
      <c r="L153" s="231">
        <f t="shared" si="43"/>
        <v>0</v>
      </c>
      <c r="M153" s="231">
        <f t="shared" si="43"/>
        <v>0</v>
      </c>
      <c r="N153" s="231">
        <f>SUM(D153:M153)</f>
        <v>0</v>
      </c>
    </row>
    <row r="154" spans="2:16" x14ac:dyDescent="0.25">
      <c r="C154" s="376" t="s">
        <v>133</v>
      </c>
      <c r="D154" s="231">
        <f>'CALCULS Eaux usées'!F225+'CALCULS Eaux usées'!F226</f>
        <v>0</v>
      </c>
      <c r="E154" s="231">
        <f>D154</f>
        <v>0</v>
      </c>
      <c r="F154" s="231">
        <f t="shared" ref="F154:M154" si="44">E154</f>
        <v>0</v>
      </c>
      <c r="G154" s="231">
        <f t="shared" si="44"/>
        <v>0</v>
      </c>
      <c r="H154" s="231">
        <f t="shared" si="44"/>
        <v>0</v>
      </c>
      <c r="I154" s="231">
        <f t="shared" si="44"/>
        <v>0</v>
      </c>
      <c r="J154" s="231">
        <f t="shared" si="44"/>
        <v>0</v>
      </c>
      <c r="K154" s="231">
        <f t="shared" si="44"/>
        <v>0</v>
      </c>
      <c r="L154" s="231">
        <f t="shared" si="44"/>
        <v>0</v>
      </c>
      <c r="M154" s="231">
        <f t="shared" si="44"/>
        <v>0</v>
      </c>
      <c r="N154" s="231">
        <f>SUM(D154:M154)</f>
        <v>0</v>
      </c>
    </row>
    <row r="155" spans="2:16" ht="15" customHeight="1" x14ac:dyDescent="0.25">
      <c r="C155" s="1108" t="s">
        <v>1</v>
      </c>
      <c r="D155" s="1109">
        <f>'CALCULS Eaux usées'!E181</f>
        <v>0</v>
      </c>
      <c r="E155" s="1109">
        <f>'CALCULS Eaux usées'!F181</f>
        <v>0</v>
      </c>
      <c r="F155" s="1109">
        <f>'CALCULS Eaux usées'!G181</f>
        <v>0</v>
      </c>
      <c r="G155" s="1109">
        <f>'CALCULS Eaux usées'!H181</f>
        <v>0</v>
      </c>
      <c r="H155" s="1109">
        <f>'CALCULS Eaux usées'!I181</f>
        <v>0</v>
      </c>
      <c r="I155" s="1109">
        <f>'CALCULS Eaux usées'!J181</f>
        <v>0</v>
      </c>
      <c r="J155" s="1109">
        <f>'CALCULS Eaux usées'!K181</f>
        <v>0</v>
      </c>
      <c r="K155" s="1109">
        <f>'CALCULS Eaux usées'!L181</f>
        <v>0</v>
      </c>
      <c r="L155" s="1109">
        <f>'CALCULS Eaux usées'!M181</f>
        <v>0</v>
      </c>
      <c r="M155" s="1109">
        <f>'CALCULS Eaux usées'!N181</f>
        <v>0</v>
      </c>
      <c r="N155" s="1109">
        <f>'CALCULS Eaux usées'!O181</f>
        <v>0</v>
      </c>
    </row>
    <row r="156" spans="2:16" ht="15" customHeight="1" x14ac:dyDescent="0.25">
      <c r="C156" s="2" t="s">
        <v>2</v>
      </c>
      <c r="D156" s="231">
        <f>'CALCULS Eaux usées'!E182</f>
        <v>0</v>
      </c>
      <c r="E156" s="231">
        <f>'CALCULS Eaux usées'!F182</f>
        <v>0</v>
      </c>
      <c r="F156" s="231">
        <f>'CALCULS Eaux usées'!G182</f>
        <v>0</v>
      </c>
      <c r="G156" s="231">
        <f>'CALCULS Eaux usées'!H182</f>
        <v>0</v>
      </c>
      <c r="H156" s="231">
        <f>'CALCULS Eaux usées'!I182</f>
        <v>0</v>
      </c>
      <c r="I156" s="231">
        <f>'CALCULS Eaux usées'!J182</f>
        <v>0</v>
      </c>
      <c r="J156" s="231">
        <f>'CALCULS Eaux usées'!K182</f>
        <v>0</v>
      </c>
      <c r="K156" s="231">
        <f>'CALCULS Eaux usées'!L182</f>
        <v>0</v>
      </c>
      <c r="L156" s="231">
        <f>'CALCULS Eaux usées'!M182</f>
        <v>0</v>
      </c>
      <c r="M156" s="231">
        <f>'CALCULS Eaux usées'!N182</f>
        <v>0</v>
      </c>
      <c r="N156" s="231">
        <f>'CALCULS Eaux usées'!O182</f>
        <v>0</v>
      </c>
    </row>
    <row r="157" spans="2:16" ht="15" customHeight="1" x14ac:dyDescent="0.25">
      <c r="C157" s="2" t="s">
        <v>5</v>
      </c>
      <c r="D157" s="231">
        <f>'CALCULS Eaux usées'!E183</f>
        <v>0</v>
      </c>
      <c r="E157" s="231">
        <f>'CALCULS Eaux usées'!F183</f>
        <v>0</v>
      </c>
      <c r="F157" s="231">
        <f>'CALCULS Eaux usées'!G183</f>
        <v>0</v>
      </c>
      <c r="G157" s="231">
        <f>'CALCULS Eaux usées'!H183</f>
        <v>0</v>
      </c>
      <c r="H157" s="231">
        <f>'CALCULS Eaux usées'!I183</f>
        <v>0</v>
      </c>
      <c r="I157" s="231">
        <f>'CALCULS Eaux usées'!J183</f>
        <v>0</v>
      </c>
      <c r="J157" s="231">
        <f>'CALCULS Eaux usées'!K183</f>
        <v>0</v>
      </c>
      <c r="K157" s="231">
        <f>'CALCULS Eaux usées'!L183</f>
        <v>0</v>
      </c>
      <c r="L157" s="231">
        <f>'CALCULS Eaux usées'!M183</f>
        <v>0</v>
      </c>
      <c r="M157" s="231">
        <f>'CALCULS Eaux usées'!N183</f>
        <v>0</v>
      </c>
      <c r="N157" s="231">
        <f>'CALCULS Eaux usées'!O183</f>
        <v>0</v>
      </c>
    </row>
    <row r="158" spans="2:16" ht="15" customHeight="1" x14ac:dyDescent="0.25">
      <c r="C158" s="2" t="s">
        <v>3</v>
      </c>
      <c r="D158" s="231">
        <f>'CALCULS Eaux usées'!E184</f>
        <v>0</v>
      </c>
      <c r="E158" s="231">
        <f>'CALCULS Eaux usées'!F184</f>
        <v>0</v>
      </c>
      <c r="F158" s="231">
        <f>'CALCULS Eaux usées'!G184</f>
        <v>0</v>
      </c>
      <c r="G158" s="231">
        <f>'CALCULS Eaux usées'!H184</f>
        <v>0</v>
      </c>
      <c r="H158" s="231">
        <f>'CALCULS Eaux usées'!I184</f>
        <v>0</v>
      </c>
      <c r="I158" s="231">
        <f>'CALCULS Eaux usées'!J184</f>
        <v>0</v>
      </c>
      <c r="J158" s="231">
        <f>'CALCULS Eaux usées'!K184</f>
        <v>0</v>
      </c>
      <c r="K158" s="231">
        <f>'CALCULS Eaux usées'!L184</f>
        <v>0</v>
      </c>
      <c r="L158" s="231">
        <f>'CALCULS Eaux usées'!M184</f>
        <v>0</v>
      </c>
      <c r="M158" s="231">
        <f>'CALCULS Eaux usées'!N184</f>
        <v>0</v>
      </c>
      <c r="N158" s="231">
        <f>'CALCULS Eaux usées'!O184</f>
        <v>0</v>
      </c>
    </row>
    <row r="159" spans="2:16" ht="15" customHeight="1" x14ac:dyDescent="0.25">
      <c r="C159" s="1104" t="s">
        <v>4</v>
      </c>
      <c r="D159" s="1106">
        <f>'CALCULS Eaux usées'!E185</f>
        <v>0</v>
      </c>
      <c r="E159" s="1106">
        <f>'CALCULS Eaux usées'!F185</f>
        <v>0</v>
      </c>
      <c r="F159" s="1106">
        <f>'CALCULS Eaux usées'!G185</f>
        <v>0</v>
      </c>
      <c r="G159" s="1106">
        <f>'CALCULS Eaux usées'!H185</f>
        <v>0</v>
      </c>
      <c r="H159" s="1106">
        <f>'CALCULS Eaux usées'!I185</f>
        <v>0</v>
      </c>
      <c r="I159" s="1106">
        <f>'CALCULS Eaux usées'!J185</f>
        <v>0</v>
      </c>
      <c r="J159" s="1106">
        <f>'CALCULS Eaux usées'!K185</f>
        <v>0</v>
      </c>
      <c r="K159" s="1106">
        <f>'CALCULS Eaux usées'!L185</f>
        <v>0</v>
      </c>
      <c r="L159" s="1106">
        <f>'CALCULS Eaux usées'!M185</f>
        <v>0</v>
      </c>
      <c r="M159" s="1106">
        <f>'CALCULS Eaux usées'!N185</f>
        <v>0</v>
      </c>
      <c r="N159" s="1106">
        <f>'CALCULS Eaux usées'!O185</f>
        <v>0</v>
      </c>
      <c r="P159" s="415"/>
    </row>
    <row r="160" spans="2:16" ht="15" customHeight="1" x14ac:dyDescent="0.25">
      <c r="B160" s="376"/>
      <c r="C160" s="376" t="s">
        <v>1947</v>
      </c>
      <c r="D160" s="5">
        <f>D155+D156</f>
        <v>0</v>
      </c>
      <c r="E160" s="5">
        <f t="shared" ref="E160:M160" si="45">E155+E156</f>
        <v>0</v>
      </c>
      <c r="F160" s="5">
        <f t="shared" si="45"/>
        <v>0</v>
      </c>
      <c r="G160" s="5">
        <f t="shared" si="45"/>
        <v>0</v>
      </c>
      <c r="H160" s="5">
        <f t="shared" si="45"/>
        <v>0</v>
      </c>
      <c r="I160" s="5">
        <f t="shared" si="45"/>
        <v>0</v>
      </c>
      <c r="J160" s="5">
        <f t="shared" si="45"/>
        <v>0</v>
      </c>
      <c r="K160" s="5">
        <f t="shared" si="45"/>
        <v>0</v>
      </c>
      <c r="L160" s="5">
        <f t="shared" si="45"/>
        <v>0</v>
      </c>
      <c r="M160" s="5">
        <f t="shared" si="45"/>
        <v>0</v>
      </c>
      <c r="N160" s="5">
        <f>N155+N156</f>
        <v>0</v>
      </c>
      <c r="P160" s="415"/>
    </row>
    <row r="161" spans="2:16" ht="15" customHeight="1" x14ac:dyDescent="0.25">
      <c r="C161" s="376" t="s">
        <v>5</v>
      </c>
      <c r="D161" s="5">
        <f t="shared" ref="D161:N161" si="46">D157</f>
        <v>0</v>
      </c>
      <c r="E161" s="5">
        <f t="shared" si="46"/>
        <v>0</v>
      </c>
      <c r="F161" s="5">
        <f t="shared" si="46"/>
        <v>0</v>
      </c>
      <c r="G161" s="5">
        <f t="shared" si="46"/>
        <v>0</v>
      </c>
      <c r="H161" s="5">
        <f t="shared" si="46"/>
        <v>0</v>
      </c>
      <c r="I161" s="5">
        <f t="shared" si="46"/>
        <v>0</v>
      </c>
      <c r="J161" s="5">
        <f t="shared" si="46"/>
        <v>0</v>
      </c>
      <c r="K161" s="5">
        <f t="shared" si="46"/>
        <v>0</v>
      </c>
      <c r="L161" s="5">
        <f t="shared" si="46"/>
        <v>0</v>
      </c>
      <c r="M161" s="5">
        <f t="shared" si="46"/>
        <v>0</v>
      </c>
      <c r="N161" s="5">
        <f t="shared" si="46"/>
        <v>0</v>
      </c>
      <c r="P161" s="415"/>
    </row>
    <row r="162" spans="2:16" ht="15" customHeight="1" x14ac:dyDescent="0.25">
      <c r="C162" s="376" t="s">
        <v>1948</v>
      </c>
      <c r="D162" s="5">
        <f t="shared" ref="D162:N162" si="47">D158+D159</f>
        <v>0</v>
      </c>
      <c r="E162" s="5">
        <f t="shared" si="47"/>
        <v>0</v>
      </c>
      <c r="F162" s="5">
        <f t="shared" si="47"/>
        <v>0</v>
      </c>
      <c r="G162" s="5">
        <f t="shared" si="47"/>
        <v>0</v>
      </c>
      <c r="H162" s="5">
        <f t="shared" si="47"/>
        <v>0</v>
      </c>
      <c r="I162" s="5">
        <f t="shared" si="47"/>
        <v>0</v>
      </c>
      <c r="J162" s="5">
        <f t="shared" si="47"/>
        <v>0</v>
      </c>
      <c r="K162" s="5">
        <f t="shared" si="47"/>
        <v>0</v>
      </c>
      <c r="L162" s="5">
        <f t="shared" si="47"/>
        <v>0</v>
      </c>
      <c r="M162" s="5">
        <f t="shared" si="47"/>
        <v>0</v>
      </c>
      <c r="N162" s="5">
        <f t="shared" si="47"/>
        <v>0</v>
      </c>
      <c r="P162" s="415"/>
    </row>
    <row r="163" spans="2:16" ht="18" customHeight="1" x14ac:dyDescent="0.25">
      <c r="C163" s="1851" t="s">
        <v>6</v>
      </c>
      <c r="D163" s="1852">
        <f t="shared" ref="D163:N163" si="48">SUM(D155:D159)</f>
        <v>0</v>
      </c>
      <c r="E163" s="1852">
        <f t="shared" si="48"/>
        <v>0</v>
      </c>
      <c r="F163" s="1852">
        <f t="shared" si="48"/>
        <v>0</v>
      </c>
      <c r="G163" s="1852">
        <f t="shared" si="48"/>
        <v>0</v>
      </c>
      <c r="H163" s="1852">
        <f t="shared" si="48"/>
        <v>0</v>
      </c>
      <c r="I163" s="1852">
        <f t="shared" si="48"/>
        <v>0</v>
      </c>
      <c r="J163" s="1852">
        <f t="shared" si="48"/>
        <v>0</v>
      </c>
      <c r="K163" s="1852">
        <f t="shared" si="48"/>
        <v>0</v>
      </c>
      <c r="L163" s="1852">
        <f t="shared" si="48"/>
        <v>0</v>
      </c>
      <c r="M163" s="1852">
        <f t="shared" si="48"/>
        <v>0</v>
      </c>
      <c r="N163" s="1853">
        <f t="shared" si="48"/>
        <v>0</v>
      </c>
      <c r="P163" s="415"/>
    </row>
    <row r="164" spans="2:16" ht="15" customHeight="1" x14ac:dyDescent="0.25">
      <c r="P164" s="415"/>
    </row>
    <row r="165" spans="2:16" ht="30.75" customHeight="1" x14ac:dyDescent="0.25">
      <c r="C165" s="1798" t="s">
        <v>1929</v>
      </c>
      <c r="P165" s="1857"/>
    </row>
    <row r="166" spans="2:16" ht="19.5" customHeight="1" x14ac:dyDescent="0.25">
      <c r="C166" s="1111"/>
      <c r="D166" s="1111">
        <f t="shared" ref="D166:N166" si="49">D134</f>
        <v>0</v>
      </c>
      <c r="E166" s="1111">
        <f t="shared" si="49"/>
        <v>1</v>
      </c>
      <c r="F166" s="1111">
        <f t="shared" si="49"/>
        <v>2</v>
      </c>
      <c r="G166" s="1111">
        <f t="shared" si="49"/>
        <v>3</v>
      </c>
      <c r="H166" s="1111">
        <f t="shared" si="49"/>
        <v>4</v>
      </c>
      <c r="I166" s="1111">
        <f t="shared" si="49"/>
        <v>5</v>
      </c>
      <c r="J166" s="1111">
        <f t="shared" si="49"/>
        <v>6</v>
      </c>
      <c r="K166" s="1111">
        <f t="shared" si="49"/>
        <v>7</v>
      </c>
      <c r="L166" s="1111">
        <f t="shared" si="49"/>
        <v>8</v>
      </c>
      <c r="M166" s="1111">
        <f t="shared" si="49"/>
        <v>9</v>
      </c>
      <c r="N166" s="1111" t="str">
        <f t="shared" si="49"/>
        <v>Somme sur 10 ans</v>
      </c>
      <c r="P166" s="1857"/>
    </row>
    <row r="167" spans="2:16" ht="15" customHeight="1" x14ac:dyDescent="0.25">
      <c r="C167" s="2" t="s">
        <v>2001</v>
      </c>
      <c r="D167" s="231">
        <f>'CALCULS Eaux pluviales'!E180</f>
        <v>0</v>
      </c>
      <c r="E167" s="231">
        <f>'CALCULS Eaux pluviales'!F180</f>
        <v>0</v>
      </c>
      <c r="F167" s="231">
        <f>'CALCULS Eaux pluviales'!G180</f>
        <v>0</v>
      </c>
      <c r="G167" s="231">
        <f>'CALCULS Eaux pluviales'!H180</f>
        <v>0</v>
      </c>
      <c r="H167" s="231">
        <f>'CALCULS Eaux pluviales'!I180</f>
        <v>0</v>
      </c>
      <c r="I167" s="231">
        <f>'CALCULS Eaux pluviales'!J180</f>
        <v>0</v>
      </c>
      <c r="J167" s="231">
        <f>'CALCULS Eaux pluviales'!K180</f>
        <v>0</v>
      </c>
      <c r="K167" s="231">
        <f>'CALCULS Eaux pluviales'!L180</f>
        <v>0</v>
      </c>
      <c r="L167" s="231">
        <f>'CALCULS Eaux pluviales'!M180</f>
        <v>0</v>
      </c>
      <c r="M167" s="231">
        <f>'CALCULS Eaux pluviales'!N180</f>
        <v>0</v>
      </c>
      <c r="N167" s="231">
        <f>'CALCULS Eaux pluviales'!O180</f>
        <v>0</v>
      </c>
      <c r="P167" s="1857"/>
    </row>
    <row r="168" spans="2:16" x14ac:dyDescent="0.25">
      <c r="C168" s="376" t="s">
        <v>55</v>
      </c>
      <c r="D168" s="231">
        <f>'CALCULS Eaux pluviales'!F222+'CALCULS Eaux pluviales'!F223</f>
        <v>0</v>
      </c>
      <c r="E168" s="231">
        <f>D168</f>
        <v>0</v>
      </c>
      <c r="F168" s="231">
        <f t="shared" ref="F168:M168" si="50">E168</f>
        <v>0</v>
      </c>
      <c r="G168" s="231">
        <f t="shared" si="50"/>
        <v>0</v>
      </c>
      <c r="H168" s="231">
        <f t="shared" si="50"/>
        <v>0</v>
      </c>
      <c r="I168" s="231">
        <f t="shared" si="50"/>
        <v>0</v>
      </c>
      <c r="J168" s="231">
        <f t="shared" si="50"/>
        <v>0</v>
      </c>
      <c r="K168" s="231">
        <f t="shared" si="50"/>
        <v>0</v>
      </c>
      <c r="L168" s="231">
        <f t="shared" si="50"/>
        <v>0</v>
      </c>
      <c r="M168" s="231">
        <f t="shared" si="50"/>
        <v>0</v>
      </c>
      <c r="N168" s="231">
        <f>SUM(D168:M168)</f>
        <v>0</v>
      </c>
    </row>
    <row r="169" spans="2:16" x14ac:dyDescent="0.25">
      <c r="C169" s="376" t="s">
        <v>2141</v>
      </c>
      <c r="D169" s="231">
        <f>'CALCULS Eaux pluviales'!F224</f>
        <v>0</v>
      </c>
      <c r="E169" s="231">
        <f>D169</f>
        <v>0</v>
      </c>
      <c r="F169" s="231">
        <f t="shared" ref="F169:M169" si="51">E169</f>
        <v>0</v>
      </c>
      <c r="G169" s="231">
        <f t="shared" si="51"/>
        <v>0</v>
      </c>
      <c r="H169" s="231">
        <f t="shared" si="51"/>
        <v>0</v>
      </c>
      <c r="I169" s="231">
        <f t="shared" si="51"/>
        <v>0</v>
      </c>
      <c r="J169" s="231">
        <f t="shared" si="51"/>
        <v>0</v>
      </c>
      <c r="K169" s="231">
        <f t="shared" si="51"/>
        <v>0</v>
      </c>
      <c r="L169" s="231">
        <f t="shared" si="51"/>
        <v>0</v>
      </c>
      <c r="M169" s="231">
        <f t="shared" si="51"/>
        <v>0</v>
      </c>
      <c r="N169" s="231">
        <f>SUM(D169:M169)</f>
        <v>0</v>
      </c>
    </row>
    <row r="170" spans="2:16" x14ac:dyDescent="0.25">
      <c r="C170" s="376" t="s">
        <v>133</v>
      </c>
      <c r="D170" s="231">
        <f>'CALCULS Eaux pluviales'!F225+'CALCULS Eaux pluviales'!F226</f>
        <v>0</v>
      </c>
      <c r="E170" s="231">
        <f>D170</f>
        <v>0</v>
      </c>
      <c r="F170" s="231">
        <f t="shared" ref="F170:M170" si="52">E170</f>
        <v>0</v>
      </c>
      <c r="G170" s="231">
        <f t="shared" si="52"/>
        <v>0</v>
      </c>
      <c r="H170" s="231">
        <f t="shared" si="52"/>
        <v>0</v>
      </c>
      <c r="I170" s="231">
        <f t="shared" si="52"/>
        <v>0</v>
      </c>
      <c r="J170" s="231">
        <f t="shared" si="52"/>
        <v>0</v>
      </c>
      <c r="K170" s="231">
        <f t="shared" si="52"/>
        <v>0</v>
      </c>
      <c r="L170" s="231">
        <f t="shared" si="52"/>
        <v>0</v>
      </c>
      <c r="M170" s="231">
        <f t="shared" si="52"/>
        <v>0</v>
      </c>
      <c r="N170" s="231">
        <f>SUM(D170:M170)</f>
        <v>0</v>
      </c>
    </row>
    <row r="171" spans="2:16" ht="15" customHeight="1" x14ac:dyDescent="0.25">
      <c r="C171" s="1108" t="s">
        <v>1</v>
      </c>
      <c r="D171" s="1109">
        <f>'CALCULS Eaux pluviales'!E181</f>
        <v>0</v>
      </c>
      <c r="E171" s="1109">
        <f>'CALCULS Eaux pluviales'!F181</f>
        <v>0</v>
      </c>
      <c r="F171" s="1109">
        <f>'CALCULS Eaux pluviales'!G181</f>
        <v>0</v>
      </c>
      <c r="G171" s="1109">
        <f>'CALCULS Eaux pluviales'!H181</f>
        <v>0</v>
      </c>
      <c r="H171" s="1109">
        <f>'CALCULS Eaux pluviales'!I181</f>
        <v>0</v>
      </c>
      <c r="I171" s="1109">
        <f>'CALCULS Eaux pluviales'!J181</f>
        <v>0</v>
      </c>
      <c r="J171" s="1109">
        <f>'CALCULS Eaux pluviales'!K181</f>
        <v>0</v>
      </c>
      <c r="K171" s="1109">
        <f>'CALCULS Eaux pluviales'!L181</f>
        <v>0</v>
      </c>
      <c r="L171" s="1109">
        <f>'CALCULS Eaux pluviales'!M181</f>
        <v>0</v>
      </c>
      <c r="M171" s="1109">
        <f>'CALCULS Eaux pluviales'!N181</f>
        <v>0</v>
      </c>
      <c r="N171" s="1109">
        <f>'CALCULS Eaux pluviales'!O181</f>
        <v>0</v>
      </c>
      <c r="P171" s="1857"/>
    </row>
    <row r="172" spans="2:16" ht="15" customHeight="1" x14ac:dyDescent="0.25">
      <c r="C172" s="2" t="s">
        <v>2</v>
      </c>
      <c r="D172" s="231">
        <f>'CALCULS Eaux pluviales'!E182</f>
        <v>0</v>
      </c>
      <c r="E172" s="231">
        <f>'CALCULS Eaux pluviales'!F182</f>
        <v>0</v>
      </c>
      <c r="F172" s="231">
        <f>'CALCULS Eaux pluviales'!G182</f>
        <v>0</v>
      </c>
      <c r="G172" s="231">
        <f>'CALCULS Eaux pluviales'!H182</f>
        <v>0</v>
      </c>
      <c r="H172" s="231">
        <f>'CALCULS Eaux pluviales'!I182</f>
        <v>0</v>
      </c>
      <c r="I172" s="231">
        <f>'CALCULS Eaux pluviales'!J182</f>
        <v>0</v>
      </c>
      <c r="J172" s="231">
        <f>'CALCULS Eaux pluviales'!K182</f>
        <v>0</v>
      </c>
      <c r="K172" s="231">
        <f>'CALCULS Eaux pluviales'!L182</f>
        <v>0</v>
      </c>
      <c r="L172" s="231">
        <f>'CALCULS Eaux pluviales'!M182</f>
        <v>0</v>
      </c>
      <c r="M172" s="231">
        <f>'CALCULS Eaux pluviales'!N182</f>
        <v>0</v>
      </c>
      <c r="N172" s="231">
        <f>'CALCULS Eaux pluviales'!O182</f>
        <v>0</v>
      </c>
      <c r="P172" s="1857"/>
    </row>
    <row r="173" spans="2:16" ht="15" customHeight="1" x14ac:dyDescent="0.25">
      <c r="C173" s="2" t="s">
        <v>5</v>
      </c>
      <c r="D173" s="231">
        <f>'CALCULS Eaux pluviales'!E183</f>
        <v>0</v>
      </c>
      <c r="E173" s="231">
        <f>'CALCULS Eaux pluviales'!F183</f>
        <v>0</v>
      </c>
      <c r="F173" s="231">
        <f>'CALCULS Eaux pluviales'!G183</f>
        <v>0</v>
      </c>
      <c r="G173" s="231">
        <f>'CALCULS Eaux pluviales'!H183</f>
        <v>0</v>
      </c>
      <c r="H173" s="231">
        <f>'CALCULS Eaux pluviales'!I183</f>
        <v>0</v>
      </c>
      <c r="I173" s="231">
        <f>'CALCULS Eaux pluviales'!J183</f>
        <v>0</v>
      </c>
      <c r="J173" s="231">
        <f>'CALCULS Eaux pluviales'!K183</f>
        <v>0</v>
      </c>
      <c r="K173" s="231">
        <f>'CALCULS Eaux pluviales'!L183</f>
        <v>0</v>
      </c>
      <c r="L173" s="231">
        <f>'CALCULS Eaux pluviales'!M183</f>
        <v>0</v>
      </c>
      <c r="M173" s="231">
        <f>'CALCULS Eaux pluviales'!N183</f>
        <v>0</v>
      </c>
      <c r="N173" s="231">
        <f>'CALCULS Eaux pluviales'!O183</f>
        <v>0</v>
      </c>
      <c r="P173" s="1857"/>
    </row>
    <row r="174" spans="2:16" ht="15" customHeight="1" x14ac:dyDescent="0.25">
      <c r="C174" s="2" t="s">
        <v>3</v>
      </c>
      <c r="D174" s="231">
        <f>'CALCULS Eaux pluviales'!E184</f>
        <v>0</v>
      </c>
      <c r="E174" s="231">
        <f>'CALCULS Eaux pluviales'!F184</f>
        <v>0</v>
      </c>
      <c r="F174" s="231">
        <f>'CALCULS Eaux pluviales'!G184</f>
        <v>0</v>
      </c>
      <c r="G174" s="231">
        <f>'CALCULS Eaux pluviales'!H184</f>
        <v>0</v>
      </c>
      <c r="H174" s="231">
        <f>'CALCULS Eaux pluviales'!I184</f>
        <v>0</v>
      </c>
      <c r="I174" s="231">
        <f>'CALCULS Eaux pluviales'!J184</f>
        <v>0</v>
      </c>
      <c r="J174" s="231">
        <f>'CALCULS Eaux pluviales'!K184</f>
        <v>0</v>
      </c>
      <c r="K174" s="231">
        <f>'CALCULS Eaux pluviales'!L184</f>
        <v>0</v>
      </c>
      <c r="L174" s="231">
        <f>'CALCULS Eaux pluviales'!M184</f>
        <v>0</v>
      </c>
      <c r="M174" s="231">
        <f>'CALCULS Eaux pluviales'!N184</f>
        <v>0</v>
      </c>
      <c r="N174" s="231">
        <f>'CALCULS Eaux pluviales'!O184</f>
        <v>0</v>
      </c>
      <c r="P174" s="1857"/>
    </row>
    <row r="175" spans="2:16" ht="15" customHeight="1" x14ac:dyDescent="0.25">
      <c r="C175" s="1104" t="s">
        <v>4</v>
      </c>
      <c r="D175" s="1106">
        <f>'CALCULS Eaux pluviales'!E185</f>
        <v>0</v>
      </c>
      <c r="E175" s="1106">
        <f>'CALCULS Eaux pluviales'!F185</f>
        <v>0</v>
      </c>
      <c r="F175" s="1106">
        <f>'CALCULS Eaux pluviales'!G185</f>
        <v>0</v>
      </c>
      <c r="G175" s="1106">
        <f>'CALCULS Eaux pluviales'!H185</f>
        <v>0</v>
      </c>
      <c r="H175" s="1106">
        <f>'CALCULS Eaux pluviales'!I185</f>
        <v>0</v>
      </c>
      <c r="I175" s="1106">
        <f>'CALCULS Eaux pluviales'!J185</f>
        <v>0</v>
      </c>
      <c r="J175" s="1106">
        <f>'CALCULS Eaux pluviales'!K185</f>
        <v>0</v>
      </c>
      <c r="K175" s="1106">
        <f>'CALCULS Eaux pluviales'!L185</f>
        <v>0</v>
      </c>
      <c r="L175" s="1106">
        <f>'CALCULS Eaux pluviales'!M185</f>
        <v>0</v>
      </c>
      <c r="M175" s="1106">
        <f>'CALCULS Eaux pluviales'!N185</f>
        <v>0</v>
      </c>
      <c r="N175" s="1106">
        <f>'CALCULS Eaux pluviales'!O185</f>
        <v>0</v>
      </c>
      <c r="P175" s="1857"/>
    </row>
    <row r="176" spans="2:16" ht="15" customHeight="1" x14ac:dyDescent="0.25">
      <c r="B176" s="376"/>
      <c r="C176" s="376" t="s">
        <v>1947</v>
      </c>
      <c r="D176" s="5">
        <f>D171+D172</f>
        <v>0</v>
      </c>
      <c r="E176" s="5">
        <f t="shared" ref="E176:N176" si="53">E171+E172</f>
        <v>0</v>
      </c>
      <c r="F176" s="5">
        <f t="shared" si="53"/>
        <v>0</v>
      </c>
      <c r="G176" s="5">
        <f t="shared" si="53"/>
        <v>0</v>
      </c>
      <c r="H176" s="5">
        <f t="shared" si="53"/>
        <v>0</v>
      </c>
      <c r="I176" s="5">
        <f t="shared" si="53"/>
        <v>0</v>
      </c>
      <c r="J176" s="5">
        <f t="shared" si="53"/>
        <v>0</v>
      </c>
      <c r="K176" s="5">
        <f t="shared" si="53"/>
        <v>0</v>
      </c>
      <c r="L176" s="5">
        <f t="shared" si="53"/>
        <v>0</v>
      </c>
      <c r="M176" s="5">
        <f t="shared" si="53"/>
        <v>0</v>
      </c>
      <c r="N176" s="5">
        <f t="shared" si="53"/>
        <v>0</v>
      </c>
      <c r="P176" s="415"/>
    </row>
    <row r="177" spans="2:16" ht="15" customHeight="1" x14ac:dyDescent="0.25">
      <c r="C177" s="376" t="s">
        <v>5</v>
      </c>
      <c r="D177" s="5">
        <f t="shared" ref="D177:N177" si="54">D173</f>
        <v>0</v>
      </c>
      <c r="E177" s="5">
        <f t="shared" si="54"/>
        <v>0</v>
      </c>
      <c r="F177" s="5">
        <f t="shared" si="54"/>
        <v>0</v>
      </c>
      <c r="G177" s="5">
        <f t="shared" si="54"/>
        <v>0</v>
      </c>
      <c r="H177" s="5">
        <f t="shared" si="54"/>
        <v>0</v>
      </c>
      <c r="I177" s="5">
        <f t="shared" si="54"/>
        <v>0</v>
      </c>
      <c r="J177" s="5">
        <f t="shared" si="54"/>
        <v>0</v>
      </c>
      <c r="K177" s="5">
        <f t="shared" si="54"/>
        <v>0</v>
      </c>
      <c r="L177" s="5">
        <f t="shared" si="54"/>
        <v>0</v>
      </c>
      <c r="M177" s="5">
        <f t="shared" si="54"/>
        <v>0</v>
      </c>
      <c r="N177" s="5">
        <f t="shared" si="54"/>
        <v>0</v>
      </c>
      <c r="P177" s="415"/>
    </row>
    <row r="178" spans="2:16" ht="15" customHeight="1" x14ac:dyDescent="0.25">
      <c r="C178" s="376" t="s">
        <v>1948</v>
      </c>
      <c r="D178" s="5">
        <f t="shared" ref="D178:N178" si="55">D174+D175</f>
        <v>0</v>
      </c>
      <c r="E178" s="5">
        <f t="shared" si="55"/>
        <v>0</v>
      </c>
      <c r="F178" s="5">
        <f t="shared" si="55"/>
        <v>0</v>
      </c>
      <c r="G178" s="5">
        <f t="shared" si="55"/>
        <v>0</v>
      </c>
      <c r="H178" s="5">
        <f t="shared" si="55"/>
        <v>0</v>
      </c>
      <c r="I178" s="5">
        <f t="shared" si="55"/>
        <v>0</v>
      </c>
      <c r="J178" s="5">
        <f t="shared" si="55"/>
        <v>0</v>
      </c>
      <c r="K178" s="5">
        <f t="shared" si="55"/>
        <v>0</v>
      </c>
      <c r="L178" s="5">
        <f t="shared" si="55"/>
        <v>0</v>
      </c>
      <c r="M178" s="5">
        <f>M174+M175</f>
        <v>0</v>
      </c>
      <c r="N178" s="5">
        <f t="shared" si="55"/>
        <v>0</v>
      </c>
      <c r="P178" s="415"/>
    </row>
    <row r="179" spans="2:16" ht="18" customHeight="1" x14ac:dyDescent="0.25">
      <c r="C179" s="1851" t="s">
        <v>6</v>
      </c>
      <c r="D179" s="1852">
        <f t="shared" ref="D179:N179" si="56">SUM(D171:D175)</f>
        <v>0</v>
      </c>
      <c r="E179" s="1852">
        <f t="shared" si="56"/>
        <v>0</v>
      </c>
      <c r="F179" s="1852">
        <f t="shared" si="56"/>
        <v>0</v>
      </c>
      <c r="G179" s="1852">
        <f t="shared" si="56"/>
        <v>0</v>
      </c>
      <c r="H179" s="1852">
        <f t="shared" si="56"/>
        <v>0</v>
      </c>
      <c r="I179" s="1852">
        <f t="shared" si="56"/>
        <v>0</v>
      </c>
      <c r="J179" s="1852">
        <f t="shared" si="56"/>
        <v>0</v>
      </c>
      <c r="K179" s="1852">
        <f t="shared" si="56"/>
        <v>0</v>
      </c>
      <c r="L179" s="1852">
        <f t="shared" si="56"/>
        <v>0</v>
      </c>
      <c r="M179" s="1852">
        <f t="shared" si="56"/>
        <v>0</v>
      </c>
      <c r="N179" s="1853">
        <f t="shared" si="56"/>
        <v>0</v>
      </c>
      <c r="P179" s="1857"/>
    </row>
    <row r="180" spans="2:16" ht="15" customHeight="1" x14ac:dyDescent="0.25">
      <c r="P180" s="1857"/>
    </row>
    <row r="181" spans="2:16" ht="15" customHeight="1" x14ac:dyDescent="0.25">
      <c r="B181" s="230"/>
    </row>
    <row r="182" spans="2:16" ht="37.5" customHeight="1" x14ac:dyDescent="0.25">
      <c r="C182" s="1801" t="s">
        <v>1994</v>
      </c>
      <c r="P182" s="1857"/>
    </row>
    <row r="183" spans="2:16" ht="19.5" customHeight="1" x14ac:dyDescent="0.25">
      <c r="C183" s="1854"/>
      <c r="D183" s="1854">
        <f t="shared" ref="D183:N183" si="57">D134</f>
        <v>0</v>
      </c>
      <c r="E183" s="1854">
        <f t="shared" si="57"/>
        <v>1</v>
      </c>
      <c r="F183" s="1854">
        <f t="shared" si="57"/>
        <v>2</v>
      </c>
      <c r="G183" s="1854">
        <f t="shared" si="57"/>
        <v>3</v>
      </c>
      <c r="H183" s="1854">
        <f t="shared" si="57"/>
        <v>4</v>
      </c>
      <c r="I183" s="1854">
        <f t="shared" si="57"/>
        <v>5</v>
      </c>
      <c r="J183" s="1854">
        <f t="shared" si="57"/>
        <v>6</v>
      </c>
      <c r="K183" s="1854">
        <f t="shared" si="57"/>
        <v>7</v>
      </c>
      <c r="L183" s="1854">
        <f t="shared" si="57"/>
        <v>8</v>
      </c>
      <c r="M183" s="1854">
        <f t="shared" si="57"/>
        <v>9</v>
      </c>
      <c r="N183" s="1854" t="str">
        <f t="shared" si="57"/>
        <v>Somme sur 10 ans</v>
      </c>
      <c r="P183" s="1857"/>
    </row>
    <row r="184" spans="2:16" ht="15" customHeight="1" x14ac:dyDescent="0.25">
      <c r="C184" s="2" t="s">
        <v>129</v>
      </c>
      <c r="D184" s="5">
        <f>D135+D151+D167</f>
        <v>0</v>
      </c>
      <c r="E184" s="5">
        <f t="shared" ref="E184:M184" si="58">E135+E151+E167</f>
        <v>0</v>
      </c>
      <c r="F184" s="5">
        <f t="shared" si="58"/>
        <v>0</v>
      </c>
      <c r="G184" s="5">
        <f t="shared" si="58"/>
        <v>0</v>
      </c>
      <c r="H184" s="5">
        <f t="shared" si="58"/>
        <v>0</v>
      </c>
      <c r="I184" s="5">
        <f t="shared" si="58"/>
        <v>0</v>
      </c>
      <c r="J184" s="5">
        <f t="shared" si="58"/>
        <v>0</v>
      </c>
      <c r="K184" s="5">
        <f t="shared" si="58"/>
        <v>0</v>
      </c>
      <c r="L184" s="5">
        <f t="shared" si="58"/>
        <v>0</v>
      </c>
      <c r="M184" s="5">
        <f t="shared" si="58"/>
        <v>0</v>
      </c>
      <c r="N184" s="231">
        <f>SUM(D184:M184)</f>
        <v>0</v>
      </c>
      <c r="P184" s="415"/>
    </row>
    <row r="185" spans="2:16" x14ac:dyDescent="0.25">
      <c r="C185" s="376" t="s">
        <v>55</v>
      </c>
      <c r="D185" s="231">
        <f t="shared" ref="D185:D196" si="59">D136+D152+D168</f>
        <v>0</v>
      </c>
      <c r="E185" s="231">
        <f t="shared" ref="E185:M185" si="60">E136+E152+E168</f>
        <v>0</v>
      </c>
      <c r="F185" s="231">
        <f t="shared" si="60"/>
        <v>0</v>
      </c>
      <c r="G185" s="231">
        <f t="shared" si="60"/>
        <v>0</v>
      </c>
      <c r="H185" s="231">
        <f t="shared" si="60"/>
        <v>0</v>
      </c>
      <c r="I185" s="231">
        <f t="shared" si="60"/>
        <v>0</v>
      </c>
      <c r="J185" s="231">
        <f t="shared" si="60"/>
        <v>0</v>
      </c>
      <c r="K185" s="231">
        <f t="shared" si="60"/>
        <v>0</v>
      </c>
      <c r="L185" s="231">
        <f t="shared" si="60"/>
        <v>0</v>
      </c>
      <c r="M185" s="231">
        <f t="shared" si="60"/>
        <v>0</v>
      </c>
      <c r="N185" s="231">
        <f>SUM(D185:M185)</f>
        <v>0</v>
      </c>
    </row>
    <row r="186" spans="2:16" x14ac:dyDescent="0.25">
      <c r="C186" s="376" t="s">
        <v>2141</v>
      </c>
      <c r="D186" s="231">
        <f t="shared" si="59"/>
        <v>0</v>
      </c>
      <c r="E186" s="231">
        <f t="shared" ref="E186:M186" si="61">E137+E153+E169</f>
        <v>0</v>
      </c>
      <c r="F186" s="231">
        <f t="shared" si="61"/>
        <v>0</v>
      </c>
      <c r="G186" s="231">
        <f t="shared" si="61"/>
        <v>0</v>
      </c>
      <c r="H186" s="231">
        <f t="shared" si="61"/>
        <v>0</v>
      </c>
      <c r="I186" s="231">
        <f t="shared" si="61"/>
        <v>0</v>
      </c>
      <c r="J186" s="231">
        <f t="shared" si="61"/>
        <v>0</v>
      </c>
      <c r="K186" s="231">
        <f t="shared" si="61"/>
        <v>0</v>
      </c>
      <c r="L186" s="231">
        <f t="shared" si="61"/>
        <v>0</v>
      </c>
      <c r="M186" s="231">
        <f t="shared" si="61"/>
        <v>0</v>
      </c>
      <c r="N186" s="231">
        <f>SUM(D186:M186)</f>
        <v>0</v>
      </c>
    </row>
    <row r="187" spans="2:16" x14ac:dyDescent="0.25">
      <c r="C187" s="376" t="s">
        <v>133</v>
      </c>
      <c r="D187" s="231">
        <f t="shared" si="59"/>
        <v>0</v>
      </c>
      <c r="E187" s="231">
        <f t="shared" ref="E187:M187" si="62">E138+E154+E170</f>
        <v>0</v>
      </c>
      <c r="F187" s="231">
        <f t="shared" si="62"/>
        <v>0</v>
      </c>
      <c r="G187" s="231">
        <f t="shared" si="62"/>
        <v>0</v>
      </c>
      <c r="H187" s="231">
        <f t="shared" si="62"/>
        <v>0</v>
      </c>
      <c r="I187" s="231">
        <f t="shared" si="62"/>
        <v>0</v>
      </c>
      <c r="J187" s="231">
        <f t="shared" si="62"/>
        <v>0</v>
      </c>
      <c r="K187" s="231">
        <f t="shared" si="62"/>
        <v>0</v>
      </c>
      <c r="L187" s="231">
        <f t="shared" si="62"/>
        <v>0</v>
      </c>
      <c r="M187" s="231">
        <f t="shared" si="62"/>
        <v>0</v>
      </c>
      <c r="N187" s="231">
        <f>SUM(D187:M187)</f>
        <v>0</v>
      </c>
    </row>
    <row r="188" spans="2:16" ht="15" customHeight="1" x14ac:dyDescent="0.25">
      <c r="C188" s="1108" t="s">
        <v>1</v>
      </c>
      <c r="D188" s="1110">
        <f t="shared" si="59"/>
        <v>0</v>
      </c>
      <c r="E188" s="1110">
        <f t="shared" ref="E188:N188" si="63">E139+E155+E171</f>
        <v>0</v>
      </c>
      <c r="F188" s="1110">
        <f t="shared" si="63"/>
        <v>0</v>
      </c>
      <c r="G188" s="1110">
        <f t="shared" si="63"/>
        <v>0</v>
      </c>
      <c r="H188" s="1110">
        <f t="shared" si="63"/>
        <v>0</v>
      </c>
      <c r="I188" s="1110">
        <f t="shared" si="63"/>
        <v>0</v>
      </c>
      <c r="J188" s="1110">
        <f t="shared" si="63"/>
        <v>0</v>
      </c>
      <c r="K188" s="1110">
        <f t="shared" si="63"/>
        <v>0</v>
      </c>
      <c r="L188" s="1110">
        <f t="shared" si="63"/>
        <v>0</v>
      </c>
      <c r="M188" s="1110">
        <f t="shared" si="63"/>
        <v>0</v>
      </c>
      <c r="N188" s="1110">
        <f t="shared" si="63"/>
        <v>0</v>
      </c>
      <c r="P188" s="415"/>
    </row>
    <row r="189" spans="2:16" ht="15" customHeight="1" x14ac:dyDescent="0.25">
      <c r="C189" s="2" t="s">
        <v>2</v>
      </c>
      <c r="D189" s="5">
        <f t="shared" si="59"/>
        <v>0</v>
      </c>
      <c r="E189" s="5">
        <f t="shared" ref="E189:N189" si="64">E140+E156+E172</f>
        <v>0</v>
      </c>
      <c r="F189" s="5">
        <f t="shared" si="64"/>
        <v>0</v>
      </c>
      <c r="G189" s="5">
        <f t="shared" si="64"/>
        <v>0</v>
      </c>
      <c r="H189" s="5">
        <f t="shared" si="64"/>
        <v>0</v>
      </c>
      <c r="I189" s="5">
        <f t="shared" si="64"/>
        <v>0</v>
      </c>
      <c r="J189" s="5">
        <f t="shared" si="64"/>
        <v>0</v>
      </c>
      <c r="K189" s="5">
        <f t="shared" si="64"/>
        <v>0</v>
      </c>
      <c r="L189" s="5">
        <f t="shared" si="64"/>
        <v>0</v>
      </c>
      <c r="M189" s="5">
        <f t="shared" si="64"/>
        <v>0</v>
      </c>
      <c r="N189" s="5">
        <f t="shared" si="64"/>
        <v>0</v>
      </c>
      <c r="P189" s="415"/>
    </row>
    <row r="190" spans="2:16" ht="15" customHeight="1" x14ac:dyDescent="0.25">
      <c r="C190" s="2" t="s">
        <v>5</v>
      </c>
      <c r="D190" s="5">
        <f t="shared" si="59"/>
        <v>0</v>
      </c>
      <c r="E190" s="5">
        <f t="shared" ref="E190:N190" si="65">E141+E157+E173</f>
        <v>0</v>
      </c>
      <c r="F190" s="5">
        <f t="shared" si="65"/>
        <v>0</v>
      </c>
      <c r="G190" s="5">
        <f t="shared" si="65"/>
        <v>0</v>
      </c>
      <c r="H190" s="5">
        <f t="shared" si="65"/>
        <v>0</v>
      </c>
      <c r="I190" s="5">
        <f t="shared" si="65"/>
        <v>0</v>
      </c>
      <c r="J190" s="5">
        <f t="shared" si="65"/>
        <v>0</v>
      </c>
      <c r="K190" s="5">
        <f t="shared" si="65"/>
        <v>0</v>
      </c>
      <c r="L190" s="5">
        <f t="shared" si="65"/>
        <v>0</v>
      </c>
      <c r="M190" s="5">
        <f t="shared" si="65"/>
        <v>0</v>
      </c>
      <c r="N190" s="5">
        <f t="shared" si="65"/>
        <v>0</v>
      </c>
    </row>
    <row r="191" spans="2:16" x14ac:dyDescent="0.25">
      <c r="C191" s="2" t="s">
        <v>3</v>
      </c>
      <c r="D191" s="5">
        <f t="shared" si="59"/>
        <v>0</v>
      </c>
      <c r="E191" s="5">
        <f t="shared" ref="E191:N191" si="66">E142+E158+E174</f>
        <v>0</v>
      </c>
      <c r="F191" s="5">
        <f t="shared" si="66"/>
        <v>0</v>
      </c>
      <c r="G191" s="5">
        <f t="shared" si="66"/>
        <v>0</v>
      </c>
      <c r="H191" s="5">
        <f t="shared" si="66"/>
        <v>0</v>
      </c>
      <c r="I191" s="5">
        <f t="shared" si="66"/>
        <v>0</v>
      </c>
      <c r="J191" s="5">
        <f t="shared" si="66"/>
        <v>0</v>
      </c>
      <c r="K191" s="5">
        <f t="shared" si="66"/>
        <v>0</v>
      </c>
      <c r="L191" s="5">
        <f t="shared" si="66"/>
        <v>0</v>
      </c>
      <c r="M191" s="5">
        <f t="shared" si="66"/>
        <v>0</v>
      </c>
      <c r="N191" s="5">
        <f t="shared" si="66"/>
        <v>0</v>
      </c>
    </row>
    <row r="192" spans="2:16" ht="15" customHeight="1" x14ac:dyDescent="0.35">
      <c r="B192" s="229"/>
      <c r="C192" s="1104" t="s">
        <v>4</v>
      </c>
      <c r="D192" s="1107">
        <f t="shared" si="59"/>
        <v>0</v>
      </c>
      <c r="E192" s="1107">
        <f t="shared" ref="E192:N192" si="67">E143+E159+E175</f>
        <v>0</v>
      </c>
      <c r="F192" s="1107">
        <f t="shared" si="67"/>
        <v>0</v>
      </c>
      <c r="G192" s="1107">
        <f t="shared" si="67"/>
        <v>0</v>
      </c>
      <c r="H192" s="1107">
        <f t="shared" si="67"/>
        <v>0</v>
      </c>
      <c r="I192" s="1107">
        <f t="shared" si="67"/>
        <v>0</v>
      </c>
      <c r="J192" s="1107">
        <f t="shared" si="67"/>
        <v>0</v>
      </c>
      <c r="K192" s="1107">
        <f t="shared" si="67"/>
        <v>0</v>
      </c>
      <c r="L192" s="1107">
        <f t="shared" si="67"/>
        <v>0</v>
      </c>
      <c r="M192" s="1107">
        <f t="shared" si="67"/>
        <v>0</v>
      </c>
      <c r="N192" s="1107">
        <f t="shared" si="67"/>
        <v>0</v>
      </c>
    </row>
    <row r="193" spans="2:15" ht="19.5" customHeight="1" x14ac:dyDescent="0.35">
      <c r="B193" s="229"/>
      <c r="C193" s="376" t="s">
        <v>1949</v>
      </c>
      <c r="D193" s="5">
        <f t="shared" si="59"/>
        <v>0</v>
      </c>
      <c r="E193" s="5">
        <f t="shared" ref="E193:N193" si="68">E144+E160+E176</f>
        <v>0</v>
      </c>
      <c r="F193" s="5">
        <f t="shared" si="68"/>
        <v>0</v>
      </c>
      <c r="G193" s="5">
        <f t="shared" si="68"/>
        <v>0</v>
      </c>
      <c r="H193" s="5">
        <f t="shared" si="68"/>
        <v>0</v>
      </c>
      <c r="I193" s="5">
        <f t="shared" si="68"/>
        <v>0</v>
      </c>
      <c r="J193" s="5">
        <f t="shared" si="68"/>
        <v>0</v>
      </c>
      <c r="K193" s="5">
        <f t="shared" si="68"/>
        <v>0</v>
      </c>
      <c r="L193" s="5">
        <f t="shared" si="68"/>
        <v>0</v>
      </c>
      <c r="M193" s="5">
        <f>M144+M160+M176</f>
        <v>0</v>
      </c>
      <c r="N193" s="5">
        <f t="shared" si="68"/>
        <v>0</v>
      </c>
    </row>
    <row r="194" spans="2:15" ht="19.5" customHeight="1" x14ac:dyDescent="0.35">
      <c r="B194" s="229"/>
      <c r="C194" s="376" t="s">
        <v>5</v>
      </c>
      <c r="D194" s="5">
        <f t="shared" si="59"/>
        <v>0</v>
      </c>
      <c r="E194" s="5">
        <f t="shared" ref="E194:N194" si="69">E145+E161+E177</f>
        <v>0</v>
      </c>
      <c r="F194" s="5">
        <f t="shared" si="69"/>
        <v>0</v>
      </c>
      <c r="G194" s="5">
        <f t="shared" si="69"/>
        <v>0</v>
      </c>
      <c r="H194" s="5">
        <f t="shared" si="69"/>
        <v>0</v>
      </c>
      <c r="I194" s="5">
        <f t="shared" si="69"/>
        <v>0</v>
      </c>
      <c r="J194" s="5">
        <f t="shared" si="69"/>
        <v>0</v>
      </c>
      <c r="K194" s="5">
        <f t="shared" si="69"/>
        <v>0</v>
      </c>
      <c r="L194" s="5">
        <f t="shared" si="69"/>
        <v>0</v>
      </c>
      <c r="M194" s="5">
        <f t="shared" si="69"/>
        <v>0</v>
      </c>
      <c r="N194" s="5">
        <f t="shared" si="69"/>
        <v>0</v>
      </c>
    </row>
    <row r="195" spans="2:15" ht="19.5" customHeight="1" x14ac:dyDescent="0.35">
      <c r="B195" s="229"/>
      <c r="C195" s="376" t="s">
        <v>1950</v>
      </c>
      <c r="D195" s="1107">
        <f t="shared" si="59"/>
        <v>0</v>
      </c>
      <c r="E195" s="1107">
        <f t="shared" ref="E195:N195" si="70">E146+E162+E178</f>
        <v>0</v>
      </c>
      <c r="F195" s="1107">
        <f t="shared" si="70"/>
        <v>0</v>
      </c>
      <c r="G195" s="1107">
        <f t="shared" si="70"/>
        <v>0</v>
      </c>
      <c r="H195" s="1107">
        <f t="shared" si="70"/>
        <v>0</v>
      </c>
      <c r="I195" s="1107">
        <f t="shared" si="70"/>
        <v>0</v>
      </c>
      <c r="J195" s="1107">
        <f t="shared" si="70"/>
        <v>0</v>
      </c>
      <c r="K195" s="1107">
        <f t="shared" si="70"/>
        <v>0</v>
      </c>
      <c r="L195" s="1107">
        <f t="shared" si="70"/>
        <v>0</v>
      </c>
      <c r="M195" s="1107">
        <f t="shared" si="70"/>
        <v>0</v>
      </c>
      <c r="N195" s="1107">
        <f t="shared" si="70"/>
        <v>0</v>
      </c>
    </row>
    <row r="196" spans="2:15" ht="18.75" customHeight="1" x14ac:dyDescent="0.35">
      <c r="B196" s="229"/>
      <c r="C196" s="1855" t="s">
        <v>6</v>
      </c>
      <c r="D196" s="1107">
        <f t="shared" si="59"/>
        <v>0</v>
      </c>
      <c r="E196" s="1107">
        <f t="shared" ref="E196:N196" si="71">E147+E163+E179</f>
        <v>0</v>
      </c>
      <c r="F196" s="1107">
        <f t="shared" si="71"/>
        <v>0</v>
      </c>
      <c r="G196" s="1107">
        <f t="shared" si="71"/>
        <v>0</v>
      </c>
      <c r="H196" s="1107">
        <f t="shared" si="71"/>
        <v>0</v>
      </c>
      <c r="I196" s="1107">
        <f t="shared" si="71"/>
        <v>0</v>
      </c>
      <c r="J196" s="1107">
        <f t="shared" si="71"/>
        <v>0</v>
      </c>
      <c r="K196" s="1107">
        <f t="shared" si="71"/>
        <v>0</v>
      </c>
      <c r="L196" s="1107">
        <f t="shared" si="71"/>
        <v>0</v>
      </c>
      <c r="M196" s="1107">
        <f t="shared" si="71"/>
        <v>0</v>
      </c>
      <c r="N196" s="1107">
        <f t="shared" si="71"/>
        <v>0</v>
      </c>
    </row>
    <row r="198" spans="2:15" x14ac:dyDescent="0.25">
      <c r="D198" s="1567" t="s">
        <v>1791</v>
      </c>
      <c r="I198" t="s">
        <v>1997</v>
      </c>
      <c r="K198" t="s">
        <v>1998</v>
      </c>
    </row>
    <row r="199" spans="2:15" x14ac:dyDescent="0.25">
      <c r="C199" s="1865"/>
      <c r="D199" s="1807" t="s">
        <v>1951</v>
      </c>
      <c r="E199" s="1858" t="s">
        <v>271</v>
      </c>
      <c r="F199" s="2619">
        <f>'CALCULS Eau potable'!H201</f>
        <v>0</v>
      </c>
      <c r="G199" s="3467">
        <f>IF(E30=2,(ROUNDDOWN(AVERAGE(F199:F200),0)),(ROUNDDOWN(AVERAGE(F199:F201),0)))</f>
        <v>0</v>
      </c>
      <c r="I199" s="1868" t="s">
        <v>271</v>
      </c>
      <c r="J199" s="5">
        <f>D135</f>
        <v>0</v>
      </c>
      <c r="L199" s="1868" t="s">
        <v>1949</v>
      </c>
      <c r="M199" s="5">
        <f>D185</f>
        <v>0</v>
      </c>
    </row>
    <row r="200" spans="2:15" x14ac:dyDescent="0.25">
      <c r="C200" s="1866"/>
      <c r="D200" s="1861"/>
      <c r="E200" s="232" t="s">
        <v>272</v>
      </c>
      <c r="F200" s="1859">
        <f>'CALCULS Eaux usées'!H201</f>
        <v>0</v>
      </c>
      <c r="G200" s="3468"/>
      <c r="I200" s="1868" t="s">
        <v>272</v>
      </c>
      <c r="J200" s="5">
        <f>D151</f>
        <v>0</v>
      </c>
      <c r="L200" s="1868" t="s">
        <v>5</v>
      </c>
      <c r="M200" s="5">
        <f t="shared" ref="M200:M201" si="72">D186</f>
        <v>0</v>
      </c>
      <c r="O200" s="10"/>
    </row>
    <row r="201" spans="2:15" x14ac:dyDescent="0.25">
      <c r="C201" s="1867"/>
      <c r="D201" s="1863"/>
      <c r="E201" s="1860" t="s">
        <v>273</v>
      </c>
      <c r="F201" s="2219">
        <f>'CALCULS Eaux pluviales'!H201</f>
        <v>0</v>
      </c>
      <c r="G201" s="3469"/>
      <c r="I201" s="1868" t="s">
        <v>273</v>
      </c>
      <c r="J201" s="5">
        <f>D167</f>
        <v>0</v>
      </c>
      <c r="L201" s="1868" t="s">
        <v>1950</v>
      </c>
      <c r="M201" s="5">
        <f t="shared" si="72"/>
        <v>0</v>
      </c>
      <c r="O201" s="10"/>
    </row>
    <row r="202" spans="2:15" x14ac:dyDescent="0.25">
      <c r="C202" s="1867"/>
      <c r="D202" s="1862" t="s">
        <v>1952</v>
      </c>
      <c r="E202" s="232" t="s">
        <v>271</v>
      </c>
      <c r="F202" s="1859">
        <f>'CALCULS Eau potable'!H203</f>
        <v>0</v>
      </c>
      <c r="G202" s="3467">
        <f>IF(E33=2,(ROUNDDOWN(AVERAGE(F202:F203),0)),(ROUNDDOWN(AVERAGE(F202:F204),0)))</f>
        <v>0</v>
      </c>
      <c r="O202" s="10"/>
    </row>
    <row r="203" spans="2:15" x14ac:dyDescent="0.25">
      <c r="C203" s="1867"/>
      <c r="D203" s="1861"/>
      <c r="E203" s="232" t="s">
        <v>272</v>
      </c>
      <c r="F203" s="1859">
        <f>'CALCULS Eaux usées'!H203</f>
        <v>0</v>
      </c>
      <c r="G203" s="3468"/>
      <c r="I203" s="1"/>
      <c r="J203" s="2310" t="s">
        <v>129</v>
      </c>
      <c r="K203" s="1"/>
      <c r="O203" s="10"/>
    </row>
    <row r="204" spans="2:15" x14ac:dyDescent="0.25">
      <c r="C204" s="1867"/>
      <c r="D204" s="1863"/>
      <c r="E204" s="1860" t="s">
        <v>273</v>
      </c>
      <c r="F204" s="2219">
        <f>'CALCULS Eaux pluviales'!H203</f>
        <v>0</v>
      </c>
      <c r="G204" s="3469"/>
      <c r="I204" s="1"/>
      <c r="J204" s="2311">
        <f>SUM(J199:J201)</f>
        <v>0</v>
      </c>
      <c r="K204" s="2312"/>
    </row>
    <row r="205" spans="2:15" x14ac:dyDescent="0.25">
      <c r="C205" s="376"/>
      <c r="D205" s="378"/>
      <c r="E205" s="232"/>
      <c r="F205" s="1859"/>
      <c r="G205" s="1870"/>
      <c r="I205" s="1"/>
      <c r="K205" s="10"/>
    </row>
    <row r="206" spans="2:15" x14ac:dyDescent="0.25">
      <c r="C206" s="376"/>
      <c r="D206" s="2281" t="s">
        <v>2126</v>
      </c>
      <c r="E206" s="232"/>
      <c r="F206" s="1859"/>
      <c r="G206" s="1870"/>
      <c r="I206" s="1"/>
      <c r="K206" s="10"/>
    </row>
    <row r="207" spans="2:15" x14ac:dyDescent="0.25">
      <c r="C207" s="376"/>
      <c r="D207" s="2282" t="s">
        <v>2087</v>
      </c>
      <c r="E207" s="232"/>
      <c r="F207" s="1859"/>
      <c r="G207" s="1870"/>
      <c r="I207" s="1"/>
      <c r="K207" s="10"/>
    </row>
    <row r="208" spans="2:15" ht="6.75" customHeight="1" x14ac:dyDescent="0.25">
      <c r="C208" s="376"/>
      <c r="D208" s="2502"/>
      <c r="E208" s="2503"/>
      <c r="F208" s="2510"/>
      <c r="G208" s="2511"/>
      <c r="H208" s="1"/>
      <c r="I208" s="1"/>
      <c r="J208" s="1"/>
      <c r="K208" s="2312"/>
      <c r="L208" s="1"/>
      <c r="M208" s="1"/>
      <c r="N208" s="1"/>
    </row>
    <row r="209" spans="1:28" x14ac:dyDescent="0.25">
      <c r="C209" s="376"/>
      <c r="D209" s="2502"/>
      <c r="E209" s="2503"/>
      <c r="F209" s="2512" t="s">
        <v>1528</v>
      </c>
      <c r="G209" s="1550" t="s">
        <v>1949</v>
      </c>
      <c r="H209" s="1"/>
      <c r="I209" s="2494" t="s">
        <v>1528</v>
      </c>
      <c r="J209" s="1550" t="s">
        <v>5</v>
      </c>
      <c r="K209" s="2312"/>
      <c r="L209" s="2505" t="s">
        <v>1528</v>
      </c>
      <c r="M209" s="1550" t="s">
        <v>1950</v>
      </c>
      <c r="N209" s="1"/>
    </row>
    <row r="210" spans="1:28" x14ac:dyDescent="0.25">
      <c r="C210" s="376"/>
      <c r="D210" s="2502"/>
      <c r="E210" s="2503"/>
      <c r="F210" s="2504"/>
      <c r="G210" s="1550"/>
      <c r="H210" s="1"/>
      <c r="I210" s="2506"/>
      <c r="J210" s="1550"/>
      <c r="K210" s="2312"/>
      <c r="L210" s="2505"/>
      <c r="M210" s="1550"/>
      <c r="N210" s="1"/>
    </row>
    <row r="211" spans="1:28" x14ac:dyDescent="0.25">
      <c r="C211" s="376"/>
      <c r="D211" s="2502"/>
      <c r="E211" s="2503"/>
      <c r="F211" s="2507" t="s">
        <v>1528</v>
      </c>
      <c r="G211" s="1550" t="s">
        <v>1921</v>
      </c>
      <c r="H211" s="1"/>
      <c r="I211" s="2508" t="s">
        <v>1528</v>
      </c>
      <c r="J211" s="1550" t="s">
        <v>1925</v>
      </c>
      <c r="K211" s="2312"/>
      <c r="L211" s="2509" t="s">
        <v>1528</v>
      </c>
      <c r="M211" s="1550" t="s">
        <v>1929</v>
      </c>
      <c r="N211" s="1"/>
    </row>
    <row r="212" spans="1:28" x14ac:dyDescent="0.25">
      <c r="C212" s="376"/>
      <c r="D212" s="2502"/>
      <c r="E212" s="2503"/>
      <c r="F212" s="2510"/>
      <c r="G212" s="2511"/>
      <c r="H212" s="1"/>
      <c r="I212" s="1"/>
      <c r="J212" s="1"/>
      <c r="K212" s="2312"/>
      <c r="L212" s="1"/>
      <c r="M212" s="1"/>
      <c r="N212" s="1"/>
    </row>
    <row r="213" spans="1:28" x14ac:dyDescent="0.25">
      <c r="C213" s="376"/>
      <c r="D213" s="378"/>
      <c r="E213" s="232"/>
      <c r="F213" s="1859"/>
      <c r="G213" s="1870"/>
      <c r="K213" s="10"/>
    </row>
    <row r="214" spans="1:28" x14ac:dyDescent="0.25">
      <c r="C214" s="376"/>
      <c r="D214" s="378" t="s">
        <v>124</v>
      </c>
      <c r="E214" s="232"/>
      <c r="F214" s="1859"/>
      <c r="G214" s="1870" t="s">
        <v>124</v>
      </c>
      <c r="K214" s="10"/>
    </row>
    <row r="215" spans="1:28" x14ac:dyDescent="0.25">
      <c r="C215" s="376"/>
      <c r="D215" s="378"/>
      <c r="E215" s="232"/>
      <c r="F215" s="1859"/>
      <c r="G215" s="1870"/>
      <c r="K215" s="10"/>
    </row>
    <row r="216" spans="1:28" x14ac:dyDescent="0.25">
      <c r="C216" s="376"/>
      <c r="D216" s="378"/>
      <c r="K216" s="1569"/>
      <c r="L216" s="1570"/>
    </row>
    <row r="217" spans="1:28" ht="222" customHeight="1" x14ac:dyDescent="0.25">
      <c r="C217" s="376"/>
      <c r="D217" s="378"/>
      <c r="K217" s="10"/>
      <c r="L217" s="10"/>
    </row>
    <row r="218" spans="1:28" ht="23.25" customHeight="1" x14ac:dyDescent="0.25">
      <c r="L218" s="1869"/>
      <c r="M218" s="6"/>
      <c r="O218" s="1"/>
    </row>
    <row r="219" spans="1:28" ht="222" customHeight="1" x14ac:dyDescent="0.25">
      <c r="M219" s="6"/>
      <c r="O219" s="1"/>
    </row>
    <row r="220" spans="1:28" x14ac:dyDescent="0.25">
      <c r="C220" s="376"/>
      <c r="D220" s="10"/>
      <c r="O220" s="1"/>
    </row>
    <row r="221" spans="1:28" x14ac:dyDescent="0.25">
      <c r="C221" s="376"/>
      <c r="D221" s="10"/>
      <c r="O221" s="1"/>
    </row>
    <row r="222" spans="1:28" ht="26.25" customHeight="1" x14ac:dyDescent="0.3">
      <c r="B222" s="1762" t="s">
        <v>2003</v>
      </c>
      <c r="C222" s="853"/>
      <c r="D222" s="853"/>
      <c r="E222" s="853"/>
      <c r="F222" s="853"/>
      <c r="G222" s="853"/>
      <c r="H222" s="853"/>
      <c r="I222" s="853"/>
      <c r="J222" s="853"/>
      <c r="K222" s="853"/>
      <c r="L222" s="853"/>
      <c r="M222" s="853"/>
      <c r="N222" s="853"/>
      <c r="O222" s="853"/>
      <c r="P222" s="853"/>
      <c r="Q222" s="853"/>
      <c r="R222" s="853"/>
      <c r="S222" s="853"/>
      <c r="T222" s="853"/>
      <c r="U222" s="853"/>
      <c r="V222" s="853"/>
      <c r="W222" s="853"/>
      <c r="X222" s="853"/>
      <c r="Y222" s="853"/>
      <c r="Z222" s="853"/>
      <c r="AA222" s="853"/>
      <c r="AB222" s="853"/>
    </row>
    <row r="223" spans="1:28" ht="21" x14ac:dyDescent="0.35">
      <c r="B223" s="229"/>
    </row>
    <row r="224" spans="1:28" s="28" customFormat="1" ht="26.25" customHeight="1" x14ac:dyDescent="0.35">
      <c r="A224" s="55"/>
      <c r="B224" s="1416"/>
      <c r="C224" s="1417" t="s">
        <v>1891</v>
      </c>
      <c r="I224" s="1417"/>
    </row>
    <row r="225" spans="1:15" s="28" customFormat="1" ht="22.5" customHeight="1" x14ac:dyDescent="0.25">
      <c r="A225" s="55"/>
      <c r="B225" s="1416"/>
      <c r="C225" s="1416"/>
    </row>
    <row r="226" spans="1:15" s="28" customFormat="1" ht="15" customHeight="1" x14ac:dyDescent="0.25">
      <c r="A226" s="55"/>
      <c r="C226" s="55"/>
      <c r="D226" s="55"/>
      <c r="E226" s="55"/>
      <c r="F226" s="55"/>
      <c r="G226" s="55"/>
      <c r="H226" s="55"/>
      <c r="I226" s="55"/>
      <c r="J226" s="1084" t="s">
        <v>271</v>
      </c>
      <c r="K226" s="1084" t="s">
        <v>272</v>
      </c>
      <c r="L226" s="1084" t="s">
        <v>273</v>
      </c>
      <c r="M226" s="1127" t="s">
        <v>6</v>
      </c>
    </row>
    <row r="227" spans="1:15" s="28" customFormat="1" ht="15" customHeight="1" x14ac:dyDescent="0.25">
      <c r="A227" s="55"/>
      <c r="C227" s="1871" t="s">
        <v>1893</v>
      </c>
      <c r="D227" s="55"/>
      <c r="E227" s="55"/>
      <c r="F227" s="55"/>
      <c r="G227" s="55"/>
      <c r="H227" s="55"/>
      <c r="I227" s="55"/>
    </row>
    <row r="228" spans="1:15" s="28" customFormat="1" ht="20.25" customHeight="1" x14ac:dyDescent="0.25">
      <c r="A228" s="55"/>
      <c r="C228" s="1871" t="s">
        <v>1825</v>
      </c>
      <c r="D228" s="1474"/>
      <c r="E228" s="1474"/>
      <c r="F228" s="1475"/>
      <c r="G228" s="55"/>
      <c r="H228" s="55"/>
      <c r="I228" s="55"/>
    </row>
    <row r="229" spans="1:15" s="72" customFormat="1" ht="19.5" customHeight="1" x14ac:dyDescent="0.2">
      <c r="A229" s="82"/>
      <c r="C229" s="2523" t="s">
        <v>1528</v>
      </c>
      <c r="D229" s="1465" t="s">
        <v>1529</v>
      </c>
      <c r="E229" s="1477"/>
      <c r="F229" s="1478"/>
      <c r="G229" s="82"/>
      <c r="H229" s="82"/>
      <c r="I229" s="82"/>
      <c r="J229" s="1872">
        <f>'CALCULS Eau potable'!M282</f>
        <v>0</v>
      </c>
      <c r="K229" s="1872">
        <f>'CALCULS Eaux usées'!M282</f>
        <v>0</v>
      </c>
      <c r="L229" s="1872">
        <f>'CALCULS Eaux pluviales'!M282</f>
        <v>0</v>
      </c>
      <c r="M229" s="1479">
        <f t="shared" ref="M229:M236" si="73">SUM(J229:L229)</f>
        <v>0</v>
      </c>
      <c r="N229" s="1480" t="e">
        <f>M229/$L$240</f>
        <v>#DIV/0!</v>
      </c>
    </row>
    <row r="230" spans="1:15" s="72" customFormat="1" ht="19.5" customHeight="1" x14ac:dyDescent="0.2">
      <c r="A230" s="82"/>
      <c r="C230" s="2524" t="s">
        <v>1528</v>
      </c>
      <c r="D230" s="1465" t="s">
        <v>1883</v>
      </c>
      <c r="E230" s="1482"/>
      <c r="F230" s="1482"/>
      <c r="G230" s="82"/>
      <c r="H230" s="82"/>
      <c r="I230" s="82"/>
      <c r="J230" s="1872">
        <f>'CALCULS Eau potable'!M283</f>
        <v>0</v>
      </c>
      <c r="K230" s="1872">
        <f>'CALCULS Eaux usées'!M283</f>
        <v>0</v>
      </c>
      <c r="L230" s="1872">
        <f>'CALCULS Eaux pluviales'!M283</f>
        <v>0</v>
      </c>
      <c r="M230" s="1479">
        <f t="shared" si="73"/>
        <v>0</v>
      </c>
      <c r="N230" s="1480" t="e">
        <f>M230/$L$240</f>
        <v>#DIV/0!</v>
      </c>
    </row>
    <row r="231" spans="1:15" s="28" customFormat="1" ht="12" customHeight="1" x14ac:dyDescent="0.25">
      <c r="A231" s="55"/>
      <c r="C231" s="55"/>
      <c r="D231" s="1483"/>
      <c r="E231" s="1484"/>
      <c r="F231" s="1484"/>
      <c r="G231" s="55"/>
      <c r="H231" s="55"/>
      <c r="I231" s="55"/>
      <c r="J231" s="1873"/>
      <c r="K231" s="1873"/>
      <c r="L231" s="1873"/>
      <c r="M231" s="1479"/>
      <c r="N231" s="1480"/>
    </row>
    <row r="232" spans="1:15" s="28" customFormat="1" ht="20.25" customHeight="1" x14ac:dyDescent="0.25">
      <c r="A232" s="55"/>
      <c r="C232" s="1871" t="s">
        <v>1884</v>
      </c>
      <c r="D232" s="1483"/>
      <c r="E232" s="1484"/>
      <c r="F232" s="1484"/>
      <c r="G232" s="55"/>
      <c r="H232" s="55"/>
      <c r="I232" s="55"/>
      <c r="J232" s="1873"/>
      <c r="K232" s="1873"/>
      <c r="L232" s="1873"/>
      <c r="M232" s="1479"/>
      <c r="N232" s="1480"/>
    </row>
    <row r="233" spans="1:15" s="28" customFormat="1" ht="19.5" customHeight="1" x14ac:dyDescent="0.25">
      <c r="A233" s="55"/>
      <c r="C233" s="2525" t="s">
        <v>1528</v>
      </c>
      <c r="D233" s="1465" t="s">
        <v>2135</v>
      </c>
      <c r="E233" s="1484"/>
      <c r="F233" s="1484"/>
      <c r="G233" s="55"/>
      <c r="H233" s="55"/>
      <c r="I233" s="55"/>
      <c r="J233" s="1873">
        <f>'CALCULS Eau potable'!M286</f>
        <v>0</v>
      </c>
      <c r="K233" s="1873">
        <f>'CALCULS Eaux usées'!M286</f>
        <v>0</v>
      </c>
      <c r="L233" s="1873">
        <f>'CALCULS Eaux pluviales'!M286</f>
        <v>0</v>
      </c>
      <c r="M233" s="1479">
        <f t="shared" si="73"/>
        <v>0</v>
      </c>
      <c r="N233" s="1480" t="e">
        <f>M233/$L$240</f>
        <v>#DIV/0!</v>
      </c>
    </row>
    <row r="234" spans="1:15" s="28" customFormat="1" ht="12" customHeight="1" x14ac:dyDescent="0.25">
      <c r="A234" s="55"/>
      <c r="C234" s="55"/>
      <c r="D234" s="1483"/>
      <c r="E234" s="1484"/>
      <c r="F234" s="1484"/>
      <c r="G234" s="55"/>
      <c r="H234" s="55"/>
      <c r="I234" s="55"/>
      <c r="J234" s="1873"/>
      <c r="K234" s="1873"/>
      <c r="L234" s="1873"/>
      <c r="M234" s="1479"/>
      <c r="N234" s="1480"/>
    </row>
    <row r="235" spans="1:15" s="28" customFormat="1" ht="20.25" customHeight="1" x14ac:dyDescent="0.25">
      <c r="A235" s="55"/>
      <c r="C235" s="1871" t="s">
        <v>1824</v>
      </c>
      <c r="D235" s="1483"/>
      <c r="E235" s="1484"/>
      <c r="F235" s="1484"/>
      <c r="G235" s="55"/>
      <c r="H235" s="55"/>
      <c r="I235" s="55"/>
      <c r="J235" s="1873"/>
      <c r="K235" s="1873"/>
      <c r="L235" s="1873"/>
      <c r="M235" s="1479"/>
      <c r="N235" s="1480"/>
    </row>
    <row r="236" spans="1:15" s="28" customFormat="1" ht="19.5" customHeight="1" x14ac:dyDescent="0.25">
      <c r="A236" s="55"/>
      <c r="C236" s="2526" t="s">
        <v>1528</v>
      </c>
      <c r="D236" s="1465" t="s">
        <v>1885</v>
      </c>
      <c r="E236" s="55"/>
      <c r="F236" s="55"/>
      <c r="G236" s="55"/>
      <c r="H236" s="55"/>
      <c r="I236" s="55"/>
      <c r="J236" s="1873">
        <f>'CALCULS Eau potable'!M289</f>
        <v>0</v>
      </c>
      <c r="K236" s="1873">
        <f>'CALCULS Eaux usées'!M289</f>
        <v>0</v>
      </c>
      <c r="L236" s="1873">
        <f>'CALCULS Eaux pluviales'!M289</f>
        <v>0</v>
      </c>
      <c r="M236" s="1479">
        <f t="shared" si="73"/>
        <v>0</v>
      </c>
      <c r="N236" s="1480" t="e">
        <f>M236/$L$240</f>
        <v>#DIV/0!</v>
      </c>
    </row>
    <row r="237" spans="1:15" s="28" customFormat="1" ht="19.5" customHeight="1" x14ac:dyDescent="0.25">
      <c r="A237" s="55"/>
      <c r="C237" s="2527" t="s">
        <v>1528</v>
      </c>
      <c r="D237" s="1483" t="s">
        <v>1892</v>
      </c>
      <c r="E237" s="55"/>
      <c r="F237" s="55"/>
      <c r="G237" s="55"/>
      <c r="H237" s="55"/>
      <c r="I237" s="55"/>
      <c r="J237" s="1873">
        <f>'CALCULS Eau potable'!M290</f>
        <v>0</v>
      </c>
      <c r="K237" s="1873">
        <f>'CALCULS Eaux usées'!M290</f>
        <v>0</v>
      </c>
      <c r="L237" s="1873">
        <f>'CALCULS Eaux pluviales'!M290</f>
        <v>0</v>
      </c>
      <c r="M237" s="1479">
        <f t="shared" ref="M237" si="74">SUM(J237:L237)</f>
        <v>0</v>
      </c>
      <c r="N237" s="1480" t="e">
        <f>M237/$L$240</f>
        <v>#DIV/0!</v>
      </c>
      <c r="O237" s="1874" t="e">
        <f>SUM(N229:N237)</f>
        <v>#DIV/0!</v>
      </c>
    </row>
    <row r="238" spans="1:15" s="28" customFormat="1" ht="15" customHeight="1" x14ac:dyDescent="0.25">
      <c r="A238" s="55"/>
      <c r="C238" s="55"/>
      <c r="D238" s="1465" t="s">
        <v>1886</v>
      </c>
      <c r="E238" s="1490"/>
      <c r="F238" s="1484"/>
      <c r="G238" s="55"/>
      <c r="H238" s="55"/>
      <c r="I238" s="55"/>
    </row>
    <row r="239" spans="1:15" s="28" customFormat="1" ht="17.25" customHeight="1" x14ac:dyDescent="0.25">
      <c r="A239" s="55"/>
      <c r="C239" s="55"/>
      <c r="D239" s="55"/>
      <c r="E239" s="1490"/>
      <c r="F239" s="1484"/>
      <c r="G239" s="55"/>
      <c r="H239" s="55"/>
      <c r="I239" s="55"/>
      <c r="M239" s="1479"/>
    </row>
    <row r="240" spans="1:15" s="28" customFormat="1" ht="26.25" customHeight="1" x14ac:dyDescent="0.3">
      <c r="A240" s="55"/>
      <c r="D240" s="1876"/>
      <c r="F240" s="1491"/>
      <c r="G240" s="1492"/>
      <c r="H240" s="1442"/>
      <c r="L240" s="3266">
        <f>SUM(M229:M237)</f>
        <v>0</v>
      </c>
      <c r="M240" s="3266"/>
      <c r="N240" s="3266"/>
    </row>
    <row r="241" spans="1:29" s="28" customFormat="1" ht="12.75" customHeight="1" x14ac:dyDescent="0.3">
      <c r="A241" s="55"/>
      <c r="D241" s="1876"/>
      <c r="F241" s="1491"/>
      <c r="G241" s="1492"/>
      <c r="H241" s="1442"/>
      <c r="L241" s="1856"/>
      <c r="M241" s="1856"/>
      <c r="N241" s="1856"/>
    </row>
    <row r="242" spans="1:29" s="28" customFormat="1" ht="19.5" customHeight="1" x14ac:dyDescent="0.3">
      <c r="A242" s="55"/>
      <c r="D242" s="1876"/>
      <c r="F242" s="1491"/>
      <c r="G242" s="1492"/>
      <c r="H242" s="1442"/>
      <c r="J242" s="1877" t="s">
        <v>161</v>
      </c>
      <c r="K242" s="1436"/>
      <c r="L242" s="1878"/>
      <c r="M242" s="1879"/>
      <c r="N242" s="1875"/>
    </row>
    <row r="243" spans="1:29" s="28" customFormat="1" ht="19.5" customHeight="1" x14ac:dyDescent="0.3">
      <c r="A243" s="55"/>
      <c r="D243" s="1876"/>
      <c r="F243" s="1491"/>
      <c r="G243" s="1492"/>
      <c r="H243" s="1442"/>
      <c r="J243" s="1880" t="s">
        <v>271</v>
      </c>
      <c r="K243" s="1881" t="s">
        <v>272</v>
      </c>
      <c r="L243" s="1881" t="s">
        <v>273</v>
      </c>
      <c r="M243" s="1383" t="s">
        <v>2002</v>
      </c>
      <c r="N243" s="2464" t="s">
        <v>2126</v>
      </c>
    </row>
    <row r="244" spans="1:29" s="28" customFormat="1" ht="19.5" customHeight="1" x14ac:dyDescent="0.3">
      <c r="A244" s="55"/>
      <c r="D244" s="1876"/>
      <c r="F244" s="1491"/>
      <c r="G244" s="1492"/>
      <c r="H244" s="1442"/>
      <c r="J244" s="1884">
        <f>'CALCULS Eau potable'!D294</f>
        <v>0</v>
      </c>
      <c r="K244" s="1885">
        <f>'CALCULS Eaux usées'!D294</f>
        <v>0</v>
      </c>
      <c r="L244" s="1882">
        <f>'CALCULS Eaux pluviales'!D294</f>
        <v>0</v>
      </c>
      <c r="M244" s="1883">
        <f>IF(E30=2,(ROUNDDOWN(AVERAGE(J244:K244),0)),(ROUNDDOWN(AVERAGE(J244:L244),0)))</f>
        <v>0</v>
      </c>
      <c r="N244" s="2465" t="s">
        <v>2087</v>
      </c>
    </row>
    <row r="245" spans="1:29" s="28" customFormat="1" ht="14.25" customHeight="1" x14ac:dyDescent="0.25">
      <c r="A245" s="55"/>
      <c r="D245" s="919"/>
      <c r="E245" s="1492"/>
      <c r="F245" s="1492"/>
      <c r="G245" s="1492"/>
      <c r="H245" s="1442"/>
    </row>
    <row r="246" spans="1:29" s="28" customFormat="1" ht="234.75" customHeight="1" x14ac:dyDescent="0.25">
      <c r="A246" s="55"/>
    </row>
    <row r="247" spans="1:29" s="28" customFormat="1" ht="17.25" customHeight="1" x14ac:dyDescent="0.25">
      <c r="A247" s="55"/>
      <c r="F247" s="1491"/>
      <c r="G247" s="1492"/>
      <c r="H247" s="1442"/>
    </row>
    <row r="248" spans="1:29" s="28" customFormat="1" ht="28.5" customHeight="1" x14ac:dyDescent="0.25">
      <c r="A248" s="55"/>
      <c r="C248" s="1491"/>
      <c r="D248" s="1493"/>
      <c r="E248" s="1418"/>
      <c r="F248" s="2221"/>
      <c r="G248" s="1494" t="s">
        <v>1529</v>
      </c>
      <c r="H248" s="1495"/>
      <c r="I248" s="1418"/>
      <c r="J248" s="2221"/>
      <c r="K248" s="1494" t="s">
        <v>1829</v>
      </c>
      <c r="M248" s="2228"/>
      <c r="O248" s="1497"/>
      <c r="P248" s="1497"/>
      <c r="Q248" s="55"/>
      <c r="R248" s="1498" t="s">
        <v>1824</v>
      </c>
      <c r="S248" s="55"/>
      <c r="T248" s="55"/>
      <c r="U248" s="55"/>
      <c r="V248" s="55"/>
      <c r="W248" s="55"/>
      <c r="X248" s="55"/>
      <c r="Y248" s="55"/>
      <c r="Z248" s="55"/>
      <c r="AA248" s="55"/>
      <c r="AB248" s="55"/>
    </row>
    <row r="249" spans="1:29" s="28" customFormat="1" ht="21" customHeight="1" x14ac:dyDescent="0.25">
      <c r="A249" s="55"/>
      <c r="C249" s="517"/>
      <c r="D249" s="2244" t="s">
        <v>271</v>
      </c>
      <c r="E249" s="2245" t="s">
        <v>272</v>
      </c>
      <c r="F249" s="2245" t="s">
        <v>273</v>
      </c>
      <c r="G249" s="2246" t="s">
        <v>2083</v>
      </c>
      <c r="H249" s="2244" t="s">
        <v>271</v>
      </c>
      <c r="I249" s="2245" t="s">
        <v>272</v>
      </c>
      <c r="J249" s="2245" t="s">
        <v>273</v>
      </c>
      <c r="K249" s="2246" t="s">
        <v>2083</v>
      </c>
      <c r="Q249" s="55"/>
      <c r="R249" s="55"/>
      <c r="S249" s="55"/>
      <c r="T249" s="55"/>
      <c r="U249" s="3298" t="s">
        <v>1529</v>
      </c>
      <c r="V249" s="3298"/>
      <c r="W249" s="3298"/>
      <c r="X249" s="3305" t="s">
        <v>1829</v>
      </c>
      <c r="Y249" s="3305"/>
      <c r="Z249" s="1501"/>
      <c r="AA249" s="1502"/>
      <c r="AB249" s="55"/>
    </row>
    <row r="250" spans="1:29" s="28" customFormat="1" ht="38.25" customHeight="1" thickBot="1" x14ac:dyDescent="0.3">
      <c r="A250" s="55"/>
      <c r="B250" s="1308"/>
      <c r="C250" s="2247" t="s">
        <v>1817</v>
      </c>
      <c r="D250" s="1505">
        <f>'CALCULS Eau potable'!H299</f>
        <v>0</v>
      </c>
      <c r="E250" s="1506">
        <f>'CALCULS Eaux usées'!H299</f>
        <v>0</v>
      </c>
      <c r="F250" s="1506">
        <f>'CALCULS Eaux pluviales'!H299</f>
        <v>0</v>
      </c>
      <c r="G250" s="2237">
        <f>SUM(D250:F250)</f>
        <v>0</v>
      </c>
      <c r="H250" s="1505">
        <f>'CALCULS Eau potable'!K299</f>
        <v>0</v>
      </c>
      <c r="I250" s="1506">
        <f>'CALCULS Eaux usées'!K299</f>
        <v>0</v>
      </c>
      <c r="J250" s="1506">
        <f>'CALCULS Eaux pluviales'!K299</f>
        <v>0</v>
      </c>
      <c r="K250" s="2237">
        <f>SUM(H250:J250)</f>
        <v>0</v>
      </c>
      <c r="M250" s="1382"/>
      <c r="Q250" s="55"/>
      <c r="R250" s="1509"/>
      <c r="S250" s="3299" t="s">
        <v>1826</v>
      </c>
      <c r="T250" s="3299"/>
      <c r="U250" s="3299"/>
      <c r="V250" s="3303">
        <f>IF(ISERR(G250),0,G250)</f>
        <v>0</v>
      </c>
      <c r="W250" s="3303"/>
      <c r="X250" s="3297">
        <f>IF(ISERR(K250),0,K250)</f>
        <v>0</v>
      </c>
      <c r="Y250" s="3297"/>
      <c r="Z250" s="2253">
        <f>G259</f>
        <v>0</v>
      </c>
      <c r="AA250" s="1510"/>
      <c r="AB250" s="2222"/>
      <c r="AC250" s="1511"/>
    </row>
    <row r="251" spans="1:29" s="28" customFormat="1" ht="9" customHeight="1" thickTop="1" x14ac:dyDescent="0.25">
      <c r="A251" s="55"/>
      <c r="B251" s="1308"/>
      <c r="C251" s="2248"/>
      <c r="D251" s="1333"/>
      <c r="E251" s="517"/>
      <c r="F251" s="517"/>
      <c r="G251" s="1344"/>
      <c r="H251" s="1333"/>
      <c r="I251" s="517"/>
      <c r="J251" s="517"/>
      <c r="K251" s="1344"/>
      <c r="Q251" s="55"/>
      <c r="R251" s="55"/>
      <c r="S251" s="1513"/>
      <c r="T251" s="55"/>
      <c r="U251" s="55"/>
      <c r="V251" s="1514"/>
      <c r="W251" s="1515"/>
      <c r="X251" s="1515"/>
      <c r="Y251" s="1515"/>
      <c r="Z251" s="1516"/>
      <c r="AA251" s="1516"/>
      <c r="AB251" s="55"/>
    </row>
    <row r="252" spans="1:29" s="28" customFormat="1" ht="38.25" customHeight="1" thickBot="1" x14ac:dyDescent="0.3">
      <c r="A252" s="55"/>
      <c r="B252" s="1308"/>
      <c r="C252" s="2247" t="s">
        <v>1531</v>
      </c>
      <c r="D252" s="1505">
        <f>'CALCULS Eau potable'!H301</f>
        <v>0</v>
      </c>
      <c r="E252" s="1506">
        <f>'CALCULS Eaux usées'!H301</f>
        <v>0</v>
      </c>
      <c r="F252" s="1506">
        <f>'CALCULS Eaux pluviales'!H301</f>
        <v>0</v>
      </c>
      <c r="G252" s="2237">
        <f>SUM(D252:F252)</f>
        <v>0</v>
      </c>
      <c r="H252" s="1505">
        <f>'CALCULS Eau potable'!K301</f>
        <v>0</v>
      </c>
      <c r="I252" s="1506">
        <f>'CALCULS Eaux usées'!K301</f>
        <v>0</v>
      </c>
      <c r="J252" s="1506">
        <f>'CALCULS Eaux pluviales'!K301</f>
        <v>0</v>
      </c>
      <c r="K252" s="2237">
        <f>SUM(H252:J252)</f>
        <v>0</v>
      </c>
      <c r="M252" s="1382"/>
      <c r="Q252" s="55"/>
      <c r="R252" s="1517"/>
      <c r="S252" s="3304" t="s">
        <v>1828</v>
      </c>
      <c r="T252" s="3304"/>
      <c r="U252" s="1518"/>
      <c r="V252" s="3302">
        <f>IF(ISERR(G252),0,G252)</f>
        <v>0</v>
      </c>
      <c r="W252" s="3302"/>
      <c r="X252" s="3296">
        <f>IF(ISERR(K252),0,K252)</f>
        <v>0</v>
      </c>
      <c r="Y252" s="3296"/>
      <c r="Z252" s="2254">
        <f>G260</f>
        <v>0</v>
      </c>
      <c r="AA252" s="1519"/>
      <c r="AB252" s="55"/>
    </row>
    <row r="253" spans="1:29" s="28" customFormat="1" ht="9" customHeight="1" thickTop="1" x14ac:dyDescent="0.25">
      <c r="A253" s="55"/>
      <c r="B253" s="1308"/>
      <c r="C253" s="2248"/>
      <c r="D253" s="1520"/>
      <c r="E253" s="1521"/>
      <c r="F253" s="1521"/>
      <c r="G253" s="2238"/>
      <c r="H253" s="1520"/>
      <c r="I253" s="1521"/>
      <c r="J253" s="1521"/>
      <c r="K253" s="2238"/>
      <c r="Q253" s="55"/>
      <c r="R253" s="55"/>
      <c r="S253" s="1513"/>
      <c r="T253" s="55"/>
      <c r="U253" s="55"/>
      <c r="V253" s="1514"/>
      <c r="W253" s="1515"/>
      <c r="X253" s="1515"/>
      <c r="Y253" s="1515"/>
      <c r="Z253" s="1516"/>
      <c r="AA253" s="1516"/>
      <c r="AB253" s="55"/>
    </row>
    <row r="254" spans="1:29" s="28" customFormat="1" ht="38.25" customHeight="1" thickBot="1" x14ac:dyDescent="0.3">
      <c r="A254" s="55"/>
      <c r="B254" s="1308"/>
      <c r="C254" s="2247" t="s">
        <v>1530</v>
      </c>
      <c r="D254" s="1505">
        <f>'CALCULS Eau potable'!H303</f>
        <v>0</v>
      </c>
      <c r="E254" s="1506">
        <f>'CALCULS Eaux usées'!H303</f>
        <v>0</v>
      </c>
      <c r="F254" s="1506">
        <f>'CALCULS Eaux pluviales'!H303</f>
        <v>0</v>
      </c>
      <c r="G254" s="2237">
        <f>SUM(D254:F254)</f>
        <v>0</v>
      </c>
      <c r="H254" s="1505">
        <f>'CALCULS Eau potable'!K303</f>
        <v>0</v>
      </c>
      <c r="I254" s="1506">
        <f>'CALCULS Eaux usées'!K303</f>
        <v>0</v>
      </c>
      <c r="J254" s="1506">
        <f>'CALCULS Eaux pluviales'!K303</f>
        <v>0</v>
      </c>
      <c r="K254" s="2237">
        <f>SUM(H254:J254)</f>
        <v>0</v>
      </c>
      <c r="M254" s="1382"/>
      <c r="Q254" s="55"/>
      <c r="R254" s="2571"/>
      <c r="S254" s="3300" t="s">
        <v>1827</v>
      </c>
      <c r="T254" s="3300"/>
      <c r="U254" s="3300"/>
      <c r="V254" s="3301">
        <f>IF(ISERR(G254),0,G254)</f>
        <v>0</v>
      </c>
      <c r="W254" s="3301"/>
      <c r="X254" s="3295">
        <f>IF(ISERR(K254),0,K254)</f>
        <v>0</v>
      </c>
      <c r="Y254" s="3295"/>
      <c r="Z254" s="2573">
        <f>G261</f>
        <v>0</v>
      </c>
      <c r="AA254" s="2572"/>
      <c r="AB254" s="2222"/>
      <c r="AC254" s="1511"/>
    </row>
    <row r="255" spans="1:29" s="28" customFormat="1" ht="9" customHeight="1" thickTop="1" x14ac:dyDescent="0.25">
      <c r="A255" s="55"/>
      <c r="B255" s="1308"/>
      <c r="C255" s="2248"/>
      <c r="D255" s="1523"/>
      <c r="E255" s="1524"/>
      <c r="F255" s="1524"/>
      <c r="G255" s="2239"/>
      <c r="H255" s="1520"/>
      <c r="I255" s="1524"/>
      <c r="J255" s="1521"/>
      <c r="K255" s="2238"/>
      <c r="Q255" s="55"/>
      <c r="R255" s="55"/>
      <c r="S255" s="55"/>
      <c r="T255" s="55"/>
      <c r="U255" s="55"/>
      <c r="V255" s="55"/>
      <c r="W255" s="55"/>
      <c r="X255" s="55"/>
      <c r="Y255" s="55"/>
      <c r="Z255" s="55"/>
      <c r="AA255" s="55"/>
      <c r="AB255" s="55"/>
    </row>
    <row r="256" spans="1:29" s="28" customFormat="1" ht="17.25" customHeight="1" x14ac:dyDescent="0.25">
      <c r="A256" s="55"/>
      <c r="F256" s="1492"/>
      <c r="G256" s="1492"/>
      <c r="H256" s="1442"/>
    </row>
    <row r="257" spans="1:28" s="28" customFormat="1" ht="23.25" customHeight="1" x14ac:dyDescent="0.25">
      <c r="A257" s="55"/>
      <c r="C257" s="1308"/>
      <c r="D257" s="1503"/>
      <c r="E257" s="1418"/>
      <c r="F257" s="2227"/>
      <c r="G257" s="2240" t="s">
        <v>161</v>
      </c>
      <c r="H257" s="1442"/>
    </row>
    <row r="258" spans="1:28" s="28" customFormat="1" ht="23.25" customHeight="1" x14ac:dyDescent="0.25">
      <c r="A258" s="55"/>
      <c r="C258" s="1385"/>
      <c r="D258" s="2251" t="s">
        <v>271</v>
      </c>
      <c r="E258" s="2249" t="s">
        <v>272</v>
      </c>
      <c r="F258" s="2249" t="s">
        <v>273</v>
      </c>
      <c r="G258" s="2252" t="s">
        <v>163</v>
      </c>
      <c r="H258" s="1442"/>
    </row>
    <row r="259" spans="1:28" s="28" customFormat="1" ht="23.25" customHeight="1" x14ac:dyDescent="0.25">
      <c r="A259" s="55"/>
      <c r="B259" s="1308"/>
      <c r="C259" s="2249" t="s">
        <v>1817</v>
      </c>
      <c r="D259" s="2229">
        <f>'CALCULS Eau potable'!M299</f>
        <v>0</v>
      </c>
      <c r="E259" s="2230">
        <f>'CALCULS Eaux usées'!M299</f>
        <v>0</v>
      </c>
      <c r="F259" s="2231">
        <f>'CALCULS Eaux pluviales'!M299</f>
        <v>0</v>
      </c>
      <c r="G259" s="2241">
        <f>IF(E30=2,(ROUNDDOWN(AVERAGE(D259:E259),0)),(ROUNDDOWN(AVERAGE(D259:F259),0)))</f>
        <v>0</v>
      </c>
      <c r="H259" s="1442"/>
      <c r="I259" s="2464" t="s">
        <v>2126</v>
      </c>
    </row>
    <row r="260" spans="1:28" s="28" customFormat="1" ht="23.25" customHeight="1" x14ac:dyDescent="0.25">
      <c r="A260" s="55"/>
      <c r="B260" s="1308"/>
      <c r="C260" s="2247" t="s">
        <v>1531</v>
      </c>
      <c r="D260" s="2232">
        <f>'CALCULS Eau potable'!M301</f>
        <v>0</v>
      </c>
      <c r="E260" s="2233">
        <f>'CALCULS Eaux usées'!M301</f>
        <v>0</v>
      </c>
      <c r="F260" s="2234">
        <f>'CALCULS Eaux pluviales'!M301</f>
        <v>0</v>
      </c>
      <c r="G260" s="2242">
        <f>IF(E30=2,(ROUNDDOWN(AVERAGE(D260:E260),0)),(ROUNDDOWN(AVERAGE(D260:F260),0)))</f>
        <v>0</v>
      </c>
      <c r="H260" s="1442"/>
      <c r="I260" s="2465" t="s">
        <v>2087</v>
      </c>
    </row>
    <row r="261" spans="1:28" s="28" customFormat="1" ht="23.25" customHeight="1" x14ac:dyDescent="0.25">
      <c r="A261" s="55"/>
      <c r="B261" s="1308"/>
      <c r="C261" s="2250" t="s">
        <v>1530</v>
      </c>
      <c r="D261" s="2235">
        <f>'CALCULS Eau potable'!M303</f>
        <v>0</v>
      </c>
      <c r="E261" s="2236">
        <f>'CALCULS Eaux usées'!M303</f>
        <v>0</v>
      </c>
      <c r="F261" s="2236">
        <f>'CALCULS Eaux pluviales'!M303</f>
        <v>0</v>
      </c>
      <c r="G261" s="2243">
        <f>IF(E30=2,(ROUNDDOWN(AVERAGE(D261:E261),0)),(ROUNDDOWN(AVERAGE(D261:F261),0)))</f>
        <v>0</v>
      </c>
    </row>
    <row r="262" spans="1:28" ht="23.25" customHeight="1" x14ac:dyDescent="0.25">
      <c r="C262" s="376"/>
      <c r="D262" s="10"/>
    </row>
    <row r="263" spans="1:28" x14ac:dyDescent="0.25">
      <c r="C263" s="376"/>
      <c r="D263" s="10"/>
    </row>
    <row r="264" spans="1:28" ht="26.25" customHeight="1" x14ac:dyDescent="0.3">
      <c r="B264" s="1762" t="s">
        <v>2004</v>
      </c>
      <c r="C264" s="853"/>
      <c r="D264" s="853"/>
      <c r="E264" s="853"/>
      <c r="F264" s="853"/>
      <c r="G264" s="853"/>
      <c r="H264" s="853"/>
      <c r="I264" s="853"/>
      <c r="J264" s="853"/>
      <c r="K264" s="853"/>
      <c r="L264" s="853"/>
      <c r="M264" s="853"/>
      <c r="N264" s="853"/>
      <c r="O264" s="853"/>
      <c r="P264" s="853"/>
      <c r="Q264" s="853"/>
      <c r="R264" s="853"/>
      <c r="S264" s="853"/>
      <c r="T264" s="853"/>
      <c r="U264" s="853"/>
      <c r="V264" s="853"/>
      <c r="W264" s="853"/>
      <c r="X264" s="853"/>
      <c r="Y264" s="853"/>
      <c r="Z264" s="853"/>
      <c r="AA264" s="853"/>
      <c r="AB264" s="853"/>
    </row>
    <row r="265" spans="1:28" ht="21" x14ac:dyDescent="0.25">
      <c r="B265" s="230"/>
      <c r="C265" s="1567"/>
    </row>
    <row r="266" spans="1:28" ht="22.5" customHeight="1" x14ac:dyDescent="0.25">
      <c r="C266" s="230" t="s">
        <v>2085</v>
      </c>
    </row>
    <row r="267" spans="1:28" ht="17.25" customHeight="1" x14ac:dyDescent="0.25">
      <c r="C267" s="230"/>
    </row>
    <row r="268" spans="1:28" ht="24" customHeight="1" x14ac:dyDescent="0.25">
      <c r="B268" s="230"/>
      <c r="C268" s="1153"/>
      <c r="D268" s="1153"/>
      <c r="E268" s="1153"/>
      <c r="F268" s="1153"/>
      <c r="G268" s="2453" t="s">
        <v>2117</v>
      </c>
      <c r="J268" s="1153"/>
      <c r="K268" s="1153"/>
      <c r="L268" s="1153"/>
      <c r="M268" s="1153"/>
      <c r="N268" s="2453" t="s">
        <v>2121</v>
      </c>
    </row>
    <row r="269" spans="1:28" ht="9.75" customHeight="1" x14ac:dyDescent="0.25">
      <c r="I269" s="223"/>
    </row>
    <row r="270" spans="1:28" ht="18" customHeight="1" x14ac:dyDescent="0.25">
      <c r="C270" s="2454"/>
      <c r="D270" s="10"/>
      <c r="E270" s="2455" t="s">
        <v>40</v>
      </c>
      <c r="F270" s="2455" t="s">
        <v>0</v>
      </c>
      <c r="G270" s="2455" t="s">
        <v>163</v>
      </c>
      <c r="H270" s="10"/>
      <c r="I270" s="2456"/>
      <c r="J270" s="2454"/>
      <c r="K270" s="10"/>
      <c r="L270" s="2455" t="s">
        <v>40</v>
      </c>
      <c r="M270" s="2455" t="s">
        <v>0</v>
      </c>
      <c r="N270" s="2455" t="s">
        <v>163</v>
      </c>
      <c r="O270" s="2464"/>
    </row>
    <row r="271" spans="1:28" ht="18" customHeight="1" x14ac:dyDescent="0.25">
      <c r="C271" s="2457" t="s">
        <v>2118</v>
      </c>
      <c r="D271" s="2457" t="s">
        <v>1953</v>
      </c>
      <c r="E271" s="2458">
        <f>'CALCULS Eau potable'!L402</f>
        <v>0</v>
      </c>
      <c r="F271" s="2458">
        <f>'CALCULS Eau potable'!L404</f>
        <v>0</v>
      </c>
      <c r="G271" s="2458">
        <f>'CALCULS Eau potable'!N406</f>
        <v>0</v>
      </c>
      <c r="H271" s="10"/>
      <c r="I271" s="10"/>
      <c r="J271" s="2457" t="s">
        <v>2118</v>
      </c>
      <c r="K271" s="2457" t="s">
        <v>1953</v>
      </c>
      <c r="L271" s="2458">
        <f>'CALCULS Eau potable'!L390</f>
        <v>0</v>
      </c>
      <c r="M271" s="2458">
        <f>'CALCULS Eau potable'!L392</f>
        <v>0</v>
      </c>
      <c r="N271" s="2458">
        <f>'CALCULS Eau potable'!N394</f>
        <v>0</v>
      </c>
      <c r="O271" s="2466"/>
    </row>
    <row r="272" spans="1:28" ht="18" customHeight="1" x14ac:dyDescent="0.25">
      <c r="C272" s="2279"/>
      <c r="D272" s="2279" t="s">
        <v>122</v>
      </c>
      <c r="E272" s="2459" t="str">
        <f>'CALCULS Eau potable'!E406</f>
        <v/>
      </c>
      <c r="F272" s="2459" t="str">
        <f>'CALCULS Eau potable'!E407</f>
        <v/>
      </c>
      <c r="G272" s="2623" t="e">
        <f>'CALCULS Eau potable'!N407</f>
        <v>#DIV/0!</v>
      </c>
      <c r="H272" s="10"/>
      <c r="I272" s="10"/>
      <c r="J272" s="2279"/>
      <c r="K272" s="2279" t="s">
        <v>122</v>
      </c>
      <c r="L272" s="2459" t="str">
        <f>'CALCULS Eau potable'!E394</f>
        <v/>
      </c>
      <c r="M272" s="2459" t="str">
        <f>'CALCULS Eau potable'!E395</f>
        <v/>
      </c>
      <c r="N272" s="2623" t="e">
        <f>'CALCULS Eau potable'!N395</f>
        <v>#DIV/0!</v>
      </c>
    </row>
    <row r="273" spans="3:14" ht="10.5" customHeight="1" x14ac:dyDescent="0.25">
      <c r="C273" s="2455"/>
      <c r="D273" s="2455"/>
      <c r="E273" s="2460"/>
      <c r="F273" s="2460"/>
      <c r="G273" s="2454"/>
      <c r="H273" s="10"/>
      <c r="I273" s="2461"/>
      <c r="J273" s="2455"/>
      <c r="K273" s="2455"/>
      <c r="L273" s="2460"/>
      <c r="M273" s="2460"/>
      <c r="N273" s="2454"/>
    </row>
    <row r="274" spans="3:14" ht="18" customHeight="1" x14ac:dyDescent="0.25">
      <c r="C274" s="376"/>
      <c r="D274" s="376"/>
      <c r="E274" s="2455" t="s">
        <v>2022</v>
      </c>
      <c r="F274" s="2455" t="s">
        <v>2023</v>
      </c>
      <c r="G274" s="2455" t="s">
        <v>163</v>
      </c>
      <c r="H274" s="10"/>
      <c r="I274" s="2456"/>
      <c r="J274" s="376"/>
      <c r="K274" s="376"/>
      <c r="L274" s="2455" t="s">
        <v>2022</v>
      </c>
      <c r="M274" s="2455" t="s">
        <v>2023</v>
      </c>
      <c r="N274" s="2455" t="s">
        <v>163</v>
      </c>
    </row>
    <row r="275" spans="3:14" ht="18" customHeight="1" x14ac:dyDescent="0.25">
      <c r="C275" s="2457" t="s">
        <v>2119</v>
      </c>
      <c r="D275" s="2457" t="s">
        <v>1953</v>
      </c>
      <c r="E275" s="2458">
        <f>'CALCULS Eaux usées'!L402</f>
        <v>0</v>
      </c>
      <c r="F275" s="2458">
        <f>'CALCULS Eaux usées'!L404</f>
        <v>0</v>
      </c>
      <c r="G275" s="2458">
        <f>'CALCULS Eaux usées'!N406</f>
        <v>0</v>
      </c>
      <c r="H275" s="2455"/>
      <c r="I275" s="10"/>
      <c r="J275" s="2457" t="s">
        <v>2119</v>
      </c>
      <c r="K275" s="2457" t="s">
        <v>1953</v>
      </c>
      <c r="L275" s="2458">
        <f>'CALCULS Eaux usées'!L390</f>
        <v>0</v>
      </c>
      <c r="M275" s="2458">
        <f>'CALCULS Eaux usées'!L392</f>
        <v>0</v>
      </c>
      <c r="N275" s="2458">
        <f>'CALCULS Eaux usées'!N394</f>
        <v>0</v>
      </c>
    </row>
    <row r="276" spans="3:14" ht="18" customHeight="1" x14ac:dyDescent="0.25">
      <c r="C276" s="2279"/>
      <c r="D276" s="2279" t="s">
        <v>122</v>
      </c>
      <c r="E276" s="2459" t="str">
        <f>'CALCULS Eaux usées'!E406</f>
        <v/>
      </c>
      <c r="F276" s="2459" t="str">
        <f>'CALCULS Eaux usées'!E407</f>
        <v/>
      </c>
      <c r="G276" s="2623" t="e">
        <f>'CALCULS Eaux usées'!N407</f>
        <v>#DIV/0!</v>
      </c>
      <c r="H276" s="2455"/>
      <c r="I276" s="10"/>
      <c r="J276" s="2279"/>
      <c r="K276" s="2279" t="s">
        <v>122</v>
      </c>
      <c r="L276" s="2459" t="str">
        <f>'CALCULS Eaux usées'!E394</f>
        <v/>
      </c>
      <c r="M276" s="2459" t="str">
        <f>'CALCULS Eaux usées'!E395</f>
        <v/>
      </c>
      <c r="N276" s="2623" t="e">
        <f>'CALCULS Eaux usées'!N395</f>
        <v>#DIV/0!</v>
      </c>
    </row>
    <row r="277" spans="3:14" ht="18" customHeight="1" x14ac:dyDescent="0.25">
      <c r="C277" s="2455" t="s">
        <v>2120</v>
      </c>
      <c r="D277" s="2455" t="s">
        <v>1953</v>
      </c>
      <c r="E277" s="2454">
        <f>'CALCULS Eaux pluviales'!L402</f>
        <v>0</v>
      </c>
      <c r="F277" s="2454">
        <f>'CALCULS Eaux pluviales'!L404</f>
        <v>0</v>
      </c>
      <c r="G277" s="2458">
        <f>'CALCULS Eaux pluviales'!N406</f>
        <v>0</v>
      </c>
      <c r="H277" s="2455"/>
      <c r="I277" s="2461"/>
      <c r="J277" s="2455" t="s">
        <v>2120</v>
      </c>
      <c r="K277" s="2455" t="s">
        <v>1953</v>
      </c>
      <c r="L277" s="2454">
        <f>'CALCULS Eaux pluviales'!L390</f>
        <v>0</v>
      </c>
      <c r="M277" s="2454">
        <f>'CALCULS Eaux pluviales'!L392</f>
        <v>0</v>
      </c>
      <c r="N277" s="2458">
        <f>'CALCULS Eaux pluviales'!N394</f>
        <v>0</v>
      </c>
    </row>
    <row r="278" spans="3:14" ht="18" customHeight="1" x14ac:dyDescent="0.25">
      <c r="C278" s="2279"/>
      <c r="D278" s="2279" t="s">
        <v>122</v>
      </c>
      <c r="E278" s="2459" t="str">
        <f>'CALCULS Eaux pluviales'!E406</f>
        <v/>
      </c>
      <c r="F278" s="2459" t="str">
        <f>'CALCULS Eaux pluviales'!E407</f>
        <v/>
      </c>
      <c r="G278" s="2623" t="e">
        <f>'CALCULS Eaux pluviales'!N407</f>
        <v>#DIV/0!</v>
      </c>
      <c r="H278" s="2455"/>
      <c r="I278" s="2456"/>
      <c r="J278" s="2279"/>
      <c r="K278" s="2279" t="s">
        <v>122</v>
      </c>
      <c r="L278" s="2459" t="str">
        <f>'CALCULS Eaux pluviales'!E394</f>
        <v/>
      </c>
      <c r="M278" s="2459" t="str">
        <f>'CALCULS Eaux pluviales'!E395</f>
        <v/>
      </c>
      <c r="N278" s="2623" t="e">
        <f>'CALCULS Eaux pluviales'!N395</f>
        <v>#DIV/0!</v>
      </c>
    </row>
    <row r="279" spans="3:14" x14ac:dyDescent="0.25">
      <c r="C279" s="1571"/>
      <c r="D279" s="4"/>
      <c r="E279" s="4"/>
      <c r="F279" s="4"/>
      <c r="G279" s="4"/>
      <c r="H279" s="4"/>
      <c r="I279" s="4"/>
      <c r="J279" s="4"/>
      <c r="K279" s="4"/>
      <c r="L279" s="4"/>
      <c r="M279" s="4"/>
      <c r="N279" s="4"/>
    </row>
    <row r="280" spans="3:14" x14ac:dyDescent="0.25">
      <c r="C280" s="1571"/>
      <c r="D280" s="4"/>
      <c r="E280" s="4"/>
      <c r="F280" s="4"/>
      <c r="G280" s="4"/>
      <c r="H280" s="4"/>
      <c r="I280" s="4"/>
      <c r="J280" s="4"/>
      <c r="K280" s="4"/>
      <c r="L280" s="4"/>
      <c r="M280" s="4"/>
      <c r="N280" s="4"/>
    </row>
    <row r="281" spans="3:14" ht="24.75" customHeight="1" x14ac:dyDescent="0.25">
      <c r="C281" s="1153"/>
      <c r="D281" s="1153"/>
      <c r="E281" s="1153"/>
      <c r="F281" s="1153"/>
      <c r="G281" s="2453" t="s">
        <v>2123</v>
      </c>
      <c r="H281" s="4"/>
      <c r="I281" s="4"/>
      <c r="J281" s="4"/>
      <c r="K281" s="4"/>
      <c r="L281" s="4"/>
      <c r="M281" s="4"/>
      <c r="N281" s="4"/>
    </row>
    <row r="282" spans="3:14" ht="11.25" customHeight="1" x14ac:dyDescent="0.25">
      <c r="C282" s="1571"/>
      <c r="D282" s="4"/>
      <c r="E282" s="4"/>
      <c r="F282" s="4"/>
      <c r="G282" s="4"/>
      <c r="H282" s="4"/>
      <c r="I282" s="4"/>
      <c r="J282" s="4"/>
      <c r="K282" s="4"/>
      <c r="L282" s="4"/>
      <c r="M282" s="4"/>
      <c r="N282" s="4"/>
    </row>
    <row r="283" spans="3:14" x14ac:dyDescent="0.25">
      <c r="C283" s="1571"/>
      <c r="D283" s="2462" t="s">
        <v>1791</v>
      </c>
      <c r="E283" s="2463"/>
      <c r="F283" s="2462" t="s">
        <v>2122</v>
      </c>
      <c r="G283" s="2463"/>
      <c r="H283" s="4"/>
      <c r="I283" s="4"/>
      <c r="J283" s="4"/>
      <c r="K283" s="4"/>
      <c r="L283" s="4"/>
      <c r="M283" s="4"/>
      <c r="N283" s="4"/>
    </row>
    <row r="284" spans="3:14" x14ac:dyDescent="0.25">
      <c r="C284" s="2257"/>
      <c r="D284" s="2258" t="s">
        <v>1953</v>
      </c>
      <c r="E284" s="2259" t="s">
        <v>122</v>
      </c>
      <c r="F284" s="2258" t="s">
        <v>1953</v>
      </c>
      <c r="G284" s="2259" t="s">
        <v>122</v>
      </c>
      <c r="H284" s="4"/>
      <c r="I284" s="4"/>
      <c r="J284" s="4"/>
      <c r="K284" s="4"/>
      <c r="L284" s="4"/>
      <c r="M284" s="4"/>
      <c r="N284" s="4"/>
    </row>
    <row r="285" spans="3:14" x14ac:dyDescent="0.25">
      <c r="C285" s="2448" t="s">
        <v>271</v>
      </c>
      <c r="D285" s="2451">
        <f>G271</f>
        <v>0</v>
      </c>
      <c r="E285" s="2444" t="e">
        <f>G272</f>
        <v>#DIV/0!</v>
      </c>
      <c r="F285" s="2451">
        <f>N271</f>
        <v>0</v>
      </c>
      <c r="G285" s="2444" t="e">
        <f>N272</f>
        <v>#DIV/0!</v>
      </c>
      <c r="H285" s="4"/>
      <c r="I285" s="4"/>
      <c r="J285" s="4"/>
      <c r="K285" s="4"/>
      <c r="L285" s="4"/>
      <c r="M285" s="4"/>
      <c r="N285" s="4"/>
    </row>
    <row r="286" spans="3:14" x14ac:dyDescent="0.25">
      <c r="C286" s="2449" t="s">
        <v>272</v>
      </c>
      <c r="D286" s="2451">
        <f>G275</f>
        <v>0</v>
      </c>
      <c r="E286" s="2444" t="e">
        <f>G276</f>
        <v>#DIV/0!</v>
      </c>
      <c r="F286" s="2451">
        <f>N275</f>
        <v>0</v>
      </c>
      <c r="G286" s="2444" t="e">
        <f>N276</f>
        <v>#DIV/0!</v>
      </c>
      <c r="H286" s="4"/>
      <c r="I286" s="4"/>
      <c r="J286" s="4"/>
      <c r="K286" s="4"/>
      <c r="L286" s="4"/>
      <c r="M286" s="4"/>
      <c r="N286" s="4"/>
    </row>
    <row r="287" spans="3:14" x14ac:dyDescent="0.25">
      <c r="C287" s="2450" t="s">
        <v>273</v>
      </c>
      <c r="D287" s="2452">
        <f>G277</f>
        <v>0</v>
      </c>
      <c r="E287" s="2443" t="e">
        <f>G278</f>
        <v>#DIV/0!</v>
      </c>
      <c r="F287" s="2452">
        <f>N277</f>
        <v>0</v>
      </c>
      <c r="G287" s="2443" t="e">
        <f>N278</f>
        <v>#DIV/0!</v>
      </c>
      <c r="H287" s="4"/>
      <c r="I287" s="4"/>
      <c r="J287" s="4"/>
      <c r="K287" s="4"/>
      <c r="L287" s="4"/>
      <c r="M287" s="4"/>
      <c r="N287" s="4"/>
    </row>
    <row r="288" spans="3:14" x14ac:dyDescent="0.25">
      <c r="C288" s="1868"/>
      <c r="D288" s="232"/>
      <c r="E288" s="232"/>
      <c r="F288" s="232"/>
      <c r="G288" s="232"/>
      <c r="H288" s="4"/>
      <c r="I288" s="4"/>
      <c r="J288" s="4"/>
      <c r="K288" s="4"/>
      <c r="L288" s="4"/>
      <c r="M288" s="4"/>
      <c r="N288" s="4"/>
    </row>
    <row r="289" spans="1:28" x14ac:dyDescent="0.25">
      <c r="C289" s="1868"/>
      <c r="D289" s="232"/>
      <c r="E289" s="232"/>
      <c r="F289" s="232"/>
      <c r="G289" s="232"/>
      <c r="H289" s="4"/>
      <c r="I289" s="4"/>
      <c r="J289" s="4"/>
      <c r="K289" s="4"/>
      <c r="L289" s="4"/>
      <c r="M289" s="4"/>
      <c r="N289" s="4"/>
    </row>
    <row r="290" spans="1:28" s="3" customFormat="1" ht="21" customHeight="1" x14ac:dyDescent="0.25">
      <c r="A290" s="601"/>
      <c r="C290" s="2261"/>
      <c r="D290" s="2262"/>
      <c r="E290" s="2262"/>
      <c r="F290" s="2266" t="s">
        <v>2124</v>
      </c>
      <c r="G290" s="2260"/>
      <c r="H290" s="2262"/>
      <c r="I290" s="2262"/>
      <c r="J290" s="2262"/>
      <c r="K290" s="2262"/>
      <c r="L290" s="2266" t="s">
        <v>2125</v>
      </c>
      <c r="M290" s="2260"/>
      <c r="N290" s="2260"/>
    </row>
    <row r="291" spans="1:28" x14ac:dyDescent="0.25">
      <c r="D291" s="2264" t="s">
        <v>271</v>
      </c>
      <c r="E291" s="2264" t="s">
        <v>272</v>
      </c>
      <c r="F291" s="2264" t="s">
        <v>273</v>
      </c>
      <c r="G291" s="2264"/>
      <c r="H291" s="2264"/>
      <c r="I291" s="2265"/>
      <c r="J291" s="2264" t="s">
        <v>271</v>
      </c>
      <c r="K291" s="2264" t="s">
        <v>272</v>
      </c>
      <c r="L291" s="2264" t="s">
        <v>273</v>
      </c>
      <c r="M291" s="4"/>
      <c r="N291" s="4"/>
    </row>
    <row r="292" spans="1:28" x14ac:dyDescent="0.25">
      <c r="B292">
        <v>5</v>
      </c>
      <c r="C292" s="414" t="s">
        <v>21</v>
      </c>
      <c r="D292" s="2263" t="str">
        <f>IF($D$285=$B292,"P","")</f>
        <v/>
      </c>
      <c r="E292" s="2263" t="str">
        <f>IF($D$286=$B292,"P","")</f>
        <v/>
      </c>
      <c r="F292" s="2263" t="str">
        <f>IF($D$287=$B292,"P","")</f>
        <v/>
      </c>
      <c r="G292" s="4"/>
      <c r="I292" s="414" t="s">
        <v>22</v>
      </c>
      <c r="J292" s="2263" t="str">
        <f>IF($F$285=$B292,"P","")</f>
        <v/>
      </c>
      <c r="K292" s="2263" t="str">
        <f>IF($F$286=$B292,"P","")</f>
        <v/>
      </c>
      <c r="L292" s="2263" t="str">
        <f>IF($F$287=$B292,"P","")</f>
        <v/>
      </c>
      <c r="M292" s="4"/>
      <c r="N292" s="4"/>
    </row>
    <row r="293" spans="1:28" x14ac:dyDescent="0.25">
      <c r="B293">
        <v>4</v>
      </c>
      <c r="C293" s="414" t="s">
        <v>14</v>
      </c>
      <c r="D293" s="2263" t="str">
        <f>IF($D$285=$B293,"P","")</f>
        <v/>
      </c>
      <c r="E293" s="2263" t="str">
        <f>IF($D$286=$B293,"P","")</f>
        <v/>
      </c>
      <c r="F293" s="2263" t="str">
        <f>IF($D$287=$B293,"P","")</f>
        <v/>
      </c>
      <c r="G293" s="4"/>
      <c r="I293" s="414" t="s">
        <v>20</v>
      </c>
      <c r="J293" s="2263" t="str">
        <f>IF($F$285=$B293,"P","")</f>
        <v/>
      </c>
      <c r="K293" s="2263" t="str">
        <f>IF($F$286=$B293,"P","")</f>
        <v/>
      </c>
      <c r="L293" s="2263" t="str">
        <f>IF($F$287=$B293,"P","")</f>
        <v/>
      </c>
      <c r="M293" s="4"/>
      <c r="N293" s="4"/>
    </row>
    <row r="294" spans="1:28" x14ac:dyDescent="0.25">
      <c r="B294">
        <v>3</v>
      </c>
      <c r="C294" s="414" t="s">
        <v>17</v>
      </c>
      <c r="D294" s="2263" t="str">
        <f>IF($D$285=$B294,"P","")</f>
        <v/>
      </c>
      <c r="E294" s="2263" t="str">
        <f>IF($D$286=$B294,"P","")</f>
        <v/>
      </c>
      <c r="F294" s="2263" t="str">
        <f>IF($D$287=$B294,"P","")</f>
        <v/>
      </c>
      <c r="G294" s="4"/>
      <c r="I294" s="414" t="s">
        <v>18</v>
      </c>
      <c r="J294" s="2263" t="str">
        <f>IF($F$285=$B294,"P","")</f>
        <v/>
      </c>
      <c r="K294" s="2263" t="str">
        <f>IF($F$286=$B294,"P","")</f>
        <v/>
      </c>
      <c r="L294" s="2263" t="str">
        <f>IF($F$287=$B294,"P","")</f>
        <v/>
      </c>
      <c r="M294" s="4"/>
      <c r="N294" s="4"/>
    </row>
    <row r="295" spans="1:28" x14ac:dyDescent="0.25">
      <c r="B295">
        <v>2</v>
      </c>
      <c r="C295" s="414" t="s">
        <v>19</v>
      </c>
      <c r="D295" s="2263" t="str">
        <f>IF($D$285=$B295,"P","")</f>
        <v/>
      </c>
      <c r="E295" s="2263" t="str">
        <f>IF($D$286=$B295,"P","")</f>
        <v/>
      </c>
      <c r="F295" s="2263" t="str">
        <f>IF($D$287=$B295,"P","")</f>
        <v/>
      </c>
      <c r="G295" s="4"/>
      <c r="I295" s="414" t="s">
        <v>15</v>
      </c>
      <c r="J295" s="2263" t="str">
        <f>IF($F$285=$B295,"P","")</f>
        <v/>
      </c>
      <c r="K295" s="2263" t="str">
        <f>IF($F$286=$B295,"P","")</f>
        <v/>
      </c>
      <c r="L295" s="2263" t="str">
        <f>IF($F$287=$B295,"P","")</f>
        <v/>
      </c>
      <c r="M295" s="4"/>
      <c r="N295" s="4"/>
    </row>
    <row r="296" spans="1:28" x14ac:dyDescent="0.25">
      <c r="B296">
        <v>1</v>
      </c>
      <c r="C296" s="414" t="s">
        <v>13</v>
      </c>
      <c r="D296" s="2263" t="str">
        <f>IF($D$285=$B296,"P","")</f>
        <v/>
      </c>
      <c r="E296" s="2263" t="str">
        <f>IF($D$286=$B296,"P","")</f>
        <v/>
      </c>
      <c r="F296" s="2263" t="str">
        <f>IF($D$287=$B296,"P","")</f>
        <v/>
      </c>
      <c r="G296" s="4"/>
      <c r="I296" s="414" t="s">
        <v>16</v>
      </c>
      <c r="J296" s="2263" t="str">
        <f>IF($F$285=$B296,"P","")</f>
        <v/>
      </c>
      <c r="K296" s="2263" t="str">
        <f>IF($F$286=$B296,"P","")</f>
        <v/>
      </c>
      <c r="L296" s="2263" t="str">
        <f>IF($F$287=$B296,"P","")</f>
        <v/>
      </c>
      <c r="M296" s="4"/>
      <c r="N296" s="4"/>
    </row>
    <row r="297" spans="1:28" x14ac:dyDescent="0.25">
      <c r="C297" s="1571"/>
      <c r="D297" s="4"/>
      <c r="E297" s="4"/>
      <c r="F297" s="4"/>
      <c r="G297" s="4"/>
      <c r="H297" s="4"/>
      <c r="I297" s="4"/>
      <c r="J297" s="4"/>
      <c r="K297" s="4"/>
      <c r="L297" s="4"/>
      <c r="M297" s="4"/>
      <c r="N297" s="4"/>
    </row>
    <row r="298" spans="1:28" x14ac:dyDescent="0.25">
      <c r="C298" s="1571"/>
      <c r="D298" s="4"/>
      <c r="E298" s="4"/>
      <c r="F298" s="4"/>
      <c r="G298" s="4"/>
      <c r="H298" s="4"/>
      <c r="I298" s="4"/>
      <c r="J298" s="4"/>
      <c r="K298" s="4"/>
      <c r="L298" s="4"/>
      <c r="M298" s="4"/>
      <c r="N298" s="4"/>
    </row>
    <row r="299" spans="1:28" x14ac:dyDescent="0.25">
      <c r="C299" s="1571"/>
      <c r="D299" s="4"/>
      <c r="E299" s="4"/>
      <c r="F299" s="4"/>
      <c r="G299" s="4"/>
      <c r="H299" s="4"/>
      <c r="I299" s="4"/>
      <c r="J299" s="4"/>
      <c r="K299" s="4"/>
      <c r="L299" s="4"/>
      <c r="M299" s="4"/>
      <c r="N299" s="4"/>
    </row>
    <row r="300" spans="1:28" ht="26.25" customHeight="1" x14ac:dyDescent="0.3">
      <c r="B300" s="1762" t="s">
        <v>2095</v>
      </c>
      <c r="C300" s="853"/>
      <c r="D300" s="853"/>
      <c r="E300" s="853"/>
      <c r="F300" s="853"/>
      <c r="G300" s="853"/>
      <c r="H300" s="853"/>
      <c r="I300" s="853"/>
      <c r="J300" s="853"/>
      <c r="K300" s="853"/>
      <c r="L300" s="853"/>
      <c r="M300" s="853"/>
      <c r="N300" s="853"/>
      <c r="O300" s="853"/>
      <c r="P300" s="853"/>
      <c r="Q300" s="853"/>
      <c r="R300" s="853"/>
      <c r="S300" s="853"/>
      <c r="T300" s="853"/>
      <c r="U300" s="853"/>
      <c r="V300" s="853"/>
      <c r="W300" s="853"/>
      <c r="X300" s="853"/>
      <c r="Y300" s="853"/>
      <c r="Z300" s="853"/>
      <c r="AA300" s="853"/>
      <c r="AB300" s="853"/>
    </row>
    <row r="301" spans="1:28" ht="21" x14ac:dyDescent="0.25">
      <c r="B301" s="230"/>
      <c r="C301" s="1567"/>
    </row>
    <row r="302" spans="1:28" ht="13.5" customHeight="1" x14ac:dyDescent="0.25">
      <c r="B302" s="230"/>
      <c r="C302" s="1382"/>
    </row>
    <row r="303" spans="1:28" ht="22.5" customHeight="1" x14ac:dyDescent="0.25">
      <c r="C303" s="230" t="s">
        <v>2102</v>
      </c>
    </row>
    <row r="304" spans="1:28" ht="15.75" customHeight="1" x14ac:dyDescent="0.25">
      <c r="B304" s="230"/>
    </row>
    <row r="305" spans="2:15" ht="21" x14ac:dyDescent="0.25">
      <c r="B305" s="230"/>
      <c r="C305" s="1386"/>
      <c r="D305" s="1153"/>
      <c r="E305" s="2223"/>
      <c r="F305" s="2223"/>
      <c r="G305" s="2256" t="s">
        <v>2084</v>
      </c>
      <c r="I305" s="1153"/>
      <c r="J305" s="1156"/>
      <c r="K305" s="1105"/>
      <c r="L305" s="1105"/>
      <c r="M305" s="2256"/>
      <c r="N305" s="2256" t="s">
        <v>2088</v>
      </c>
      <c r="O305" s="1153"/>
    </row>
    <row r="306" spans="2:15" ht="12" customHeight="1" x14ac:dyDescent="0.25">
      <c r="B306" s="230"/>
      <c r="C306" s="2272"/>
      <c r="D306" s="223"/>
      <c r="E306" s="2273"/>
      <c r="F306" s="2273"/>
      <c r="G306" s="2274"/>
      <c r="K306" s="3476" t="s">
        <v>132</v>
      </c>
      <c r="N306" s="1"/>
      <c r="O306" s="1"/>
    </row>
    <row r="307" spans="2:15" ht="15.75" customHeight="1" x14ac:dyDescent="0.25">
      <c r="B307" s="1571"/>
      <c r="C307" s="2255"/>
      <c r="D307" s="2280" t="s">
        <v>271</v>
      </c>
      <c r="E307" s="2280" t="s">
        <v>272</v>
      </c>
      <c r="F307" s="2280" t="s">
        <v>273</v>
      </c>
      <c r="G307" s="2280" t="s">
        <v>6</v>
      </c>
      <c r="I307" s="1571"/>
      <c r="J307" s="4"/>
      <c r="K307" s="3477"/>
      <c r="L307" s="1572"/>
      <c r="M307" s="233"/>
      <c r="N307" s="2296" t="s">
        <v>1899</v>
      </c>
      <c r="O307" s="2285"/>
    </row>
    <row r="308" spans="2:15" x14ac:dyDescent="0.25">
      <c r="C308" s="376" t="s">
        <v>1497</v>
      </c>
      <c r="D308" s="233">
        <f>'CALCULS Eau potable'!E314+'CALCULS Eau potable'!F314</f>
        <v>0</v>
      </c>
      <c r="E308" s="233">
        <f>'CALCULS Eaux usées'!E314+'CALCULS Eaux usées'!F314</f>
        <v>0</v>
      </c>
      <c r="F308" s="233">
        <f>'CALCULS Eaux pluviales'!E314+'CALCULS Eaux pluviales'!F314</f>
        <v>0</v>
      </c>
      <c r="G308" s="2440">
        <f>SUM(D308:F308)</f>
        <v>0</v>
      </c>
      <c r="I308" s="376" t="s">
        <v>42</v>
      </c>
      <c r="J308" s="233">
        <f>G308</f>
        <v>0</v>
      </c>
      <c r="K308" s="233">
        <v>0</v>
      </c>
      <c r="L308" s="5"/>
      <c r="M308" s="5">
        <f>D311</f>
        <v>0</v>
      </c>
      <c r="N308" s="1553" t="s">
        <v>1528</v>
      </c>
      <c r="O308" s="2285" t="s">
        <v>271</v>
      </c>
    </row>
    <row r="309" spans="2:15" x14ac:dyDescent="0.25">
      <c r="C309" s="376" t="s">
        <v>276</v>
      </c>
      <c r="D309" s="233">
        <f>'CALCULS Eau potable'!E315+'CALCULS Eau potable'!F315</f>
        <v>0</v>
      </c>
      <c r="E309" s="233">
        <f>'CALCULS Eaux usées'!E315+'CALCULS Eaux usées'!F315</f>
        <v>0</v>
      </c>
      <c r="F309" s="233">
        <f>'CALCULS Eaux pluviales'!E315+'CALCULS Eaux pluviales'!F315</f>
        <v>0</v>
      </c>
      <c r="G309" s="233">
        <f t="shared" ref="G309:G312" si="75">SUM(D309:F309)</f>
        <v>0</v>
      </c>
      <c r="I309" s="376" t="s">
        <v>1899</v>
      </c>
      <c r="J309" s="233">
        <f>G311</f>
        <v>0</v>
      </c>
      <c r="K309" s="233">
        <f>G312</f>
        <v>0</v>
      </c>
      <c r="L309" s="5"/>
      <c r="M309" s="5">
        <f>E311</f>
        <v>0</v>
      </c>
      <c r="N309" s="1556" t="s">
        <v>1528</v>
      </c>
      <c r="O309" s="2285" t="s">
        <v>272</v>
      </c>
    </row>
    <row r="310" spans="2:15" x14ac:dyDescent="0.25">
      <c r="C310" s="376" t="s">
        <v>1545</v>
      </c>
      <c r="D310" s="233">
        <f>'CALCULS Eau potable'!E316+'CALCULS Eau potable'!F316</f>
        <v>0</v>
      </c>
      <c r="E310" s="233">
        <f>'CALCULS Eaux usées'!E316+'CALCULS Eaux usées'!F316</f>
        <v>0</v>
      </c>
      <c r="F310" s="233">
        <f>'CALCULS Eaux pluviales'!E316+'CALCULS Eaux pluviales'!F316</f>
        <v>0</v>
      </c>
      <c r="G310" s="233">
        <f t="shared" si="75"/>
        <v>0</v>
      </c>
      <c r="L310" s="5"/>
      <c r="M310" s="5">
        <f>F311</f>
        <v>0</v>
      </c>
      <c r="N310" s="2297" t="s">
        <v>1528</v>
      </c>
      <c r="O310" s="2285" t="s">
        <v>273</v>
      </c>
    </row>
    <row r="311" spans="2:15" x14ac:dyDescent="0.25">
      <c r="C311" s="376" t="s">
        <v>1546</v>
      </c>
      <c r="D311" s="233">
        <f>'CALCULS Eau potable'!E317+'CALCULS Eau potable'!F317</f>
        <v>0</v>
      </c>
      <c r="E311" s="233">
        <f>'CALCULS Eaux usées'!E317+'CALCULS Eaux usées'!F317</f>
        <v>0</v>
      </c>
      <c r="F311" s="233">
        <f>'CALCULS Eaux pluviales'!E317+'CALCULS Eaux pluviales'!F317</f>
        <v>0</v>
      </c>
      <c r="G311" s="233">
        <f t="shared" si="75"/>
        <v>0</v>
      </c>
      <c r="L311" s="5"/>
      <c r="M311" s="5"/>
      <c r="N311" s="1"/>
      <c r="O311" s="1"/>
    </row>
    <row r="312" spans="2:15" ht="15.75" x14ac:dyDescent="0.25">
      <c r="C312" s="2255" t="s">
        <v>132</v>
      </c>
      <c r="D312" s="1156">
        <f>'CALCULS Eau potable'!E318+'CALCULS Eau potable'!F318</f>
        <v>0</v>
      </c>
      <c r="E312" s="1156">
        <f>'CALCULS Eaux usées'!E318+'CALCULS Eaux usées'!F318</f>
        <v>0</v>
      </c>
      <c r="F312" s="1156">
        <f>'CALCULS Eaux pluviales'!E318+'CALCULS Eaux pluviales'!F318</f>
        <v>0</v>
      </c>
      <c r="G312" s="1156">
        <f t="shared" si="75"/>
        <v>0</v>
      </c>
      <c r="L312" s="5"/>
      <c r="M312" s="5"/>
      <c r="N312" s="2296" t="s">
        <v>132</v>
      </c>
      <c r="O312" s="2285"/>
    </row>
    <row r="313" spans="2:15" x14ac:dyDescent="0.25">
      <c r="C313" s="376"/>
      <c r="D313" s="233"/>
      <c r="G313" s="5"/>
      <c r="L313" s="5"/>
      <c r="M313" s="5">
        <f>D312</f>
        <v>0</v>
      </c>
      <c r="N313" s="2495" t="s">
        <v>1528</v>
      </c>
      <c r="O313" s="2285" t="s">
        <v>271</v>
      </c>
    </row>
    <row r="314" spans="2:15" x14ac:dyDescent="0.25">
      <c r="C314" s="376"/>
      <c r="D314" s="233"/>
      <c r="G314" s="5"/>
      <c r="L314" s="5"/>
      <c r="M314" s="5">
        <f>E312</f>
        <v>0</v>
      </c>
      <c r="N314" s="1557" t="s">
        <v>1528</v>
      </c>
      <c r="O314" s="2285" t="s">
        <v>272</v>
      </c>
    </row>
    <row r="315" spans="2:15" x14ac:dyDescent="0.25">
      <c r="C315" s="376"/>
      <c r="D315" s="233"/>
      <c r="G315" s="5"/>
      <c r="L315" s="5"/>
      <c r="M315" s="5">
        <f>F312</f>
        <v>0</v>
      </c>
      <c r="N315" s="2287" t="s">
        <v>1528</v>
      </c>
      <c r="O315" s="2285" t="s">
        <v>273</v>
      </c>
    </row>
    <row r="316" spans="2:15" ht="15.75" x14ac:dyDescent="0.25">
      <c r="C316" s="376"/>
      <c r="D316" s="233"/>
      <c r="G316" s="5"/>
      <c r="N316" s="2286"/>
      <c r="O316" s="2285"/>
    </row>
    <row r="317" spans="2:15" ht="21.75" customHeight="1" x14ac:dyDescent="0.25">
      <c r="C317" s="2267"/>
      <c r="D317" s="2267"/>
      <c r="E317" s="2268"/>
      <c r="F317" s="2269"/>
      <c r="G317" s="2256" t="s">
        <v>1900</v>
      </c>
      <c r="H317" s="4"/>
      <c r="J317" s="2267"/>
      <c r="K317" s="2267"/>
      <c r="L317" s="2268"/>
      <c r="M317" s="2269"/>
      <c r="N317" s="2256" t="s">
        <v>161</v>
      </c>
    </row>
    <row r="318" spans="2:15" ht="14.25" customHeight="1" x14ac:dyDescent="0.25">
      <c r="C318" s="2270"/>
      <c r="D318" s="2270"/>
      <c r="E318" s="627"/>
      <c r="F318" s="627"/>
      <c r="G318" s="627"/>
    </row>
    <row r="319" spans="2:15" ht="18.75" x14ac:dyDescent="0.3">
      <c r="B319" s="1571"/>
      <c r="C319" s="2270"/>
      <c r="D319" s="2270"/>
      <c r="E319" s="2275" t="s">
        <v>45</v>
      </c>
      <c r="F319" s="2276" t="e">
        <f>G311/G308</f>
        <v>#DIV/0!</v>
      </c>
      <c r="G319" s="2277" t="str">
        <f>IF(ISERR(F319)=TRUE,"",F319)</f>
        <v/>
      </c>
      <c r="H319" s="1864">
        <f>N320</f>
        <v>0</v>
      </c>
      <c r="I319" s="4"/>
      <c r="J319" s="4"/>
      <c r="K319" s="2279" t="s">
        <v>271</v>
      </c>
      <c r="L319" s="2279" t="s">
        <v>272</v>
      </c>
      <c r="M319" s="2279" t="s">
        <v>273</v>
      </c>
      <c r="N319" s="2279" t="s">
        <v>2002</v>
      </c>
    </row>
    <row r="320" spans="2:15" ht="18.75" x14ac:dyDescent="0.3">
      <c r="C320" s="2271"/>
      <c r="D320" s="2271"/>
      <c r="E320" s="2275" t="s">
        <v>2091</v>
      </c>
      <c r="F320" s="2276" t="e">
        <f>G310/G311</f>
        <v>#DIV/0!</v>
      </c>
      <c r="G320" s="2278" t="str">
        <f>IF(ISERR(F320)=TRUE,"",F320)</f>
        <v/>
      </c>
      <c r="H320" s="1864">
        <f>N321</f>
        <v>0</v>
      </c>
      <c r="I320" s="4"/>
      <c r="J320" s="233" t="s">
        <v>1906</v>
      </c>
      <c r="K320" s="232">
        <f>'CALCULS Eau potable'!N322</f>
        <v>0</v>
      </c>
      <c r="L320" s="232">
        <f>'CALCULS Eaux usées'!N322</f>
        <v>0</v>
      </c>
      <c r="M320" s="232">
        <f>'CALCULS Eaux pluviales'!N322</f>
        <v>0</v>
      </c>
      <c r="N320" s="2283">
        <f>IF($E$30=2,(ROUNDDOWN(AVERAGE(K320:L320),0)),(ROUNDDOWN(AVERAGE(K320:M320),0)))</f>
        <v>0</v>
      </c>
      <c r="O320" s="2464" t="s">
        <v>2126</v>
      </c>
    </row>
    <row r="321" spans="1:15" x14ac:dyDescent="0.25">
      <c r="H321" s="4"/>
      <c r="I321" s="4"/>
      <c r="J321" s="233" t="s">
        <v>1907</v>
      </c>
      <c r="K321" s="232">
        <f>'CALCULS Eau potable'!O322</f>
        <v>0</v>
      </c>
      <c r="L321" s="232">
        <f>'CALCULS Eaux usées'!O322</f>
        <v>0</v>
      </c>
      <c r="M321" s="232">
        <f>'CALCULS Eaux pluviales'!O322</f>
        <v>0</v>
      </c>
      <c r="N321" s="2284">
        <f>IF($E$30=2,(ROUNDDOWN(AVERAGE(K321:L321),0)),(ROUNDDOWN(AVERAGE(K321:M321),0)))</f>
        <v>0</v>
      </c>
      <c r="O321" s="2465" t="s">
        <v>2087</v>
      </c>
    </row>
    <row r="322" spans="1:15" x14ac:dyDescent="0.25">
      <c r="C322" s="1571"/>
      <c r="D322" s="2290"/>
      <c r="E322" s="1574"/>
      <c r="F322" s="4"/>
      <c r="G322" s="4"/>
      <c r="H322" s="4"/>
      <c r="I322" s="4"/>
      <c r="J322" s="4"/>
      <c r="K322" s="4"/>
      <c r="L322" s="4"/>
      <c r="M322" s="4"/>
      <c r="N322" s="4"/>
    </row>
    <row r="323" spans="1:15" s="28" customFormat="1" x14ac:dyDescent="0.25">
      <c r="A323" s="55"/>
      <c r="B323" s="2224"/>
      <c r="C323" s="2224"/>
      <c r="D323" s="2288" t="s">
        <v>2089</v>
      </c>
      <c r="E323" s="2289"/>
      <c r="F323" s="2225"/>
      <c r="G323" s="373"/>
      <c r="H323" s="2226"/>
      <c r="I323" s="2226"/>
      <c r="J323" s="2226"/>
      <c r="K323" s="2226"/>
      <c r="L323" s="2226"/>
      <c r="M323" s="2226"/>
      <c r="N323" s="2226"/>
      <c r="O323" s="2226"/>
    </row>
    <row r="324" spans="1:15" s="28" customFormat="1" ht="16.5" thickBot="1" x14ac:dyDescent="0.3">
      <c r="A324" s="55"/>
      <c r="B324" s="2224"/>
      <c r="C324" s="2224"/>
      <c r="D324" s="2291"/>
      <c r="E324" s="2292"/>
      <c r="F324" s="2225"/>
      <c r="G324" s="373"/>
      <c r="H324" s="2226"/>
      <c r="I324" s="3475" t="s">
        <v>1905</v>
      </c>
      <c r="J324" s="3475"/>
      <c r="K324" s="3475"/>
      <c r="L324" s="3475"/>
      <c r="M324" s="3475"/>
      <c r="N324" s="3475"/>
      <c r="O324" s="2226"/>
    </row>
    <row r="325" spans="1:15" s="28" customFormat="1" ht="170.25" customHeight="1" x14ac:dyDescent="0.25">
      <c r="A325" s="55"/>
      <c r="B325" s="373"/>
      <c r="C325" s="373"/>
      <c r="D325" s="373"/>
      <c r="E325" s="373"/>
      <c r="F325" s="373"/>
      <c r="G325" s="373"/>
      <c r="H325" s="2226"/>
      <c r="I325" s="2226"/>
      <c r="J325" s="2226"/>
      <c r="K325" s="2226"/>
      <c r="L325" s="2226"/>
      <c r="M325" s="2226"/>
      <c r="N325" s="2226"/>
      <c r="O325" s="373"/>
    </row>
    <row r="326" spans="1:15" s="28" customFormat="1" ht="12.75" customHeight="1" x14ac:dyDescent="0.25">
      <c r="A326" s="55"/>
      <c r="B326" s="373"/>
      <c r="C326" s="373"/>
      <c r="G326" s="373"/>
      <c r="H326" s="2226"/>
      <c r="I326" s="55"/>
      <c r="J326" s="55"/>
      <c r="K326" s="55"/>
      <c r="L326" s="2293"/>
      <c r="M326" s="2226"/>
      <c r="N326" s="2226"/>
      <c r="O326" s="2226"/>
    </row>
    <row r="327" spans="1:15" s="28" customFormat="1" ht="16.5" thickBot="1" x14ac:dyDescent="0.3">
      <c r="A327" s="55"/>
      <c r="H327" s="55"/>
      <c r="I327" s="3475" t="s">
        <v>2090</v>
      </c>
      <c r="J327" s="3475"/>
      <c r="K327" s="3475"/>
      <c r="L327" s="3475"/>
      <c r="M327" s="3475"/>
      <c r="N327" s="3475"/>
      <c r="O327" s="55"/>
    </row>
    <row r="328" spans="1:15" ht="9" customHeight="1" x14ac:dyDescent="0.25">
      <c r="C328" s="1571"/>
      <c r="D328" s="4"/>
      <c r="E328" s="4"/>
      <c r="F328" s="4"/>
      <c r="G328" s="4"/>
      <c r="H328" s="1574"/>
      <c r="I328" s="1574"/>
      <c r="J328" s="1574"/>
      <c r="K328" s="1574"/>
      <c r="L328" s="1574"/>
      <c r="M328" s="1574"/>
      <c r="N328" s="1574"/>
      <c r="O328" s="1"/>
    </row>
    <row r="329" spans="1:15" ht="16.5" customHeight="1" x14ac:dyDescent="0.25">
      <c r="C329" s="1571"/>
      <c r="D329" s="4"/>
      <c r="E329" s="4"/>
      <c r="F329" s="4"/>
      <c r="G329" s="4"/>
      <c r="H329" s="1574"/>
      <c r="I329" s="1574"/>
      <c r="J329" s="1574"/>
      <c r="K329" s="1574"/>
      <c r="L329" s="1574"/>
      <c r="M329" s="2294" t="str">
        <f>E319</f>
        <v>Ratio de financement du fonctionnement</v>
      </c>
      <c r="N329" s="2295" t="str">
        <f>G319</f>
        <v/>
      </c>
      <c r="O329" s="1"/>
    </row>
    <row r="330" spans="1:15" ht="16.5" customHeight="1" x14ac:dyDescent="0.25">
      <c r="C330" s="1571"/>
      <c r="D330" s="4"/>
      <c r="E330" s="4"/>
      <c r="F330" s="4"/>
      <c r="G330" s="4"/>
      <c r="H330" s="1574"/>
      <c r="I330" s="1574"/>
      <c r="J330" s="1574"/>
      <c r="K330" s="1574"/>
      <c r="L330" s="1574"/>
      <c r="M330" s="2294" t="str">
        <f>E320</f>
        <v>Ratio d'autofinancement du fonctionnement</v>
      </c>
      <c r="N330" s="2295" t="str">
        <f>G320</f>
        <v/>
      </c>
      <c r="O330" s="1"/>
    </row>
    <row r="331" spans="1:15" ht="20.25" customHeight="1" x14ac:dyDescent="0.25">
      <c r="C331" s="1571"/>
      <c r="D331" s="4"/>
      <c r="E331" s="4"/>
      <c r="F331" s="4"/>
      <c r="G331" s="4"/>
      <c r="H331" s="1574"/>
      <c r="I331" s="1574"/>
      <c r="J331" s="1574"/>
      <c r="K331" s="1574"/>
      <c r="L331" s="1574"/>
      <c r="M331" s="1574"/>
      <c r="N331" s="1574"/>
      <c r="O331" s="1"/>
    </row>
    <row r="332" spans="1:15" x14ac:dyDescent="0.25">
      <c r="C332" s="1571"/>
      <c r="D332" s="4"/>
      <c r="E332" s="4"/>
      <c r="F332" s="4"/>
      <c r="G332" s="4"/>
      <c r="H332" s="4"/>
      <c r="I332" s="4"/>
      <c r="J332" s="4"/>
      <c r="K332" s="4"/>
      <c r="L332" s="4"/>
      <c r="M332" s="4"/>
      <c r="N332" s="4"/>
    </row>
    <row r="333" spans="1:15" ht="21" x14ac:dyDescent="0.25">
      <c r="B333" s="230"/>
      <c r="C333" s="1567"/>
    </row>
    <row r="334" spans="1:15" ht="13.5" customHeight="1" x14ac:dyDescent="0.25">
      <c r="B334" s="230"/>
      <c r="C334" s="1382"/>
    </row>
    <row r="335" spans="1:15" ht="22.5" customHeight="1" x14ac:dyDescent="0.25">
      <c r="C335" s="230" t="s">
        <v>2103</v>
      </c>
    </row>
    <row r="336" spans="1:15" ht="15.75" customHeight="1" x14ac:dyDescent="0.25">
      <c r="B336" s="230"/>
    </row>
    <row r="337" spans="2:15" ht="21" x14ac:dyDescent="0.25">
      <c r="B337" s="230"/>
      <c r="C337" s="1386"/>
      <c r="D337" s="1153"/>
      <c r="E337" s="2223"/>
      <c r="F337" s="2223"/>
      <c r="G337" s="2256" t="s">
        <v>2084</v>
      </c>
      <c r="I337" s="1153"/>
      <c r="J337" s="1156"/>
      <c r="K337" s="1105"/>
      <c r="L337" s="1105"/>
      <c r="M337" s="2256"/>
      <c r="N337" s="2256" t="s">
        <v>2088</v>
      </c>
      <c r="O337" s="1153"/>
    </row>
    <row r="338" spans="2:15" ht="12" customHeight="1" x14ac:dyDescent="0.25">
      <c r="B338" s="230"/>
      <c r="C338" s="2272"/>
      <c r="D338" s="223"/>
      <c r="E338" s="2273"/>
      <c r="F338" s="2273"/>
      <c r="G338" s="2274"/>
      <c r="K338" s="3476" t="s">
        <v>132</v>
      </c>
      <c r="N338" s="1"/>
      <c r="O338" s="1"/>
    </row>
    <row r="339" spans="2:15" ht="15.75" customHeight="1" x14ac:dyDescent="0.25">
      <c r="B339" s="1571"/>
      <c r="C339" s="2255"/>
      <c r="D339" s="2439" t="s">
        <v>271</v>
      </c>
      <c r="E339" s="2280" t="s">
        <v>272</v>
      </c>
      <c r="F339" s="2280" t="s">
        <v>273</v>
      </c>
      <c r="G339" s="2280" t="s">
        <v>6</v>
      </c>
      <c r="I339" s="1571"/>
      <c r="J339" s="4"/>
      <c r="K339" s="3477"/>
      <c r="L339" s="1572"/>
      <c r="M339" s="233"/>
      <c r="N339" s="2296" t="s">
        <v>1899</v>
      </c>
      <c r="O339" s="2285"/>
    </row>
    <row r="340" spans="2:15" x14ac:dyDescent="0.25">
      <c r="C340" s="376" t="s">
        <v>1497</v>
      </c>
      <c r="D340" s="2440">
        <f>'CALCULS Eau potable'!E337+'CALCULS Eau potable'!F337</f>
        <v>0</v>
      </c>
      <c r="E340" s="2440">
        <f>'CALCULS Eaux usées'!E337+'CALCULS Eaux usées'!F337</f>
        <v>0</v>
      </c>
      <c r="F340" s="2440">
        <f>'CALCULS Eaux pluviales'!E337+'CALCULS Eaux pluviales'!F337</f>
        <v>0</v>
      </c>
      <c r="G340" s="2440">
        <f>SUM(D340:F340)</f>
        <v>0</v>
      </c>
      <c r="I340" s="376" t="s">
        <v>42</v>
      </c>
      <c r="J340" s="233">
        <f>G340</f>
        <v>0</v>
      </c>
      <c r="K340" s="233">
        <v>0</v>
      </c>
      <c r="L340" s="5"/>
      <c r="M340" s="5">
        <f>D344</f>
        <v>0</v>
      </c>
      <c r="N340" s="1553" t="s">
        <v>1528</v>
      </c>
      <c r="O340" s="2285" t="s">
        <v>271</v>
      </c>
    </row>
    <row r="341" spans="2:15" x14ac:dyDescent="0.25">
      <c r="C341" s="1379" t="s">
        <v>144</v>
      </c>
      <c r="D341" s="233">
        <f>'CALCULS Eau potable'!E338+'CALCULS Eau potable'!F338</f>
        <v>0</v>
      </c>
      <c r="E341" s="233">
        <f>'CALCULS Eaux usées'!E338+'CALCULS Eaux usées'!F338</f>
        <v>0</v>
      </c>
      <c r="F341" s="233">
        <f>'CALCULS Eaux pluviales'!E338+'CALCULS Eaux pluviales'!F338</f>
        <v>0</v>
      </c>
      <c r="G341" s="233">
        <f t="shared" ref="G341:G345" si="76">SUM(D341:F341)</f>
        <v>0</v>
      </c>
      <c r="I341" s="376" t="s">
        <v>1899</v>
      </c>
      <c r="J341" s="233">
        <f>G344</f>
        <v>0</v>
      </c>
      <c r="K341" s="233">
        <f>G345</f>
        <v>0</v>
      </c>
      <c r="L341" s="5"/>
      <c r="M341" s="5">
        <f>E344</f>
        <v>0</v>
      </c>
      <c r="N341" s="1556" t="s">
        <v>1528</v>
      </c>
      <c r="O341" s="2285" t="s">
        <v>272</v>
      </c>
    </row>
    <row r="342" spans="2:15" x14ac:dyDescent="0.25">
      <c r="C342" s="1379" t="s">
        <v>145</v>
      </c>
      <c r="D342" s="233">
        <f>'CALCULS Eau potable'!E339+'CALCULS Eau potable'!F339</f>
        <v>0</v>
      </c>
      <c r="E342" s="233">
        <f>'CALCULS Eaux usées'!E339+'CALCULS Eaux usées'!F339</f>
        <v>0</v>
      </c>
      <c r="F342" s="233">
        <f>'CALCULS Eaux pluviales'!E339+'CALCULS Eaux pluviales'!F339</f>
        <v>0</v>
      </c>
      <c r="G342" s="233">
        <f t="shared" si="76"/>
        <v>0</v>
      </c>
      <c r="L342" s="5"/>
      <c r="M342" s="5">
        <f>F344</f>
        <v>0</v>
      </c>
      <c r="N342" s="2297" t="s">
        <v>1528</v>
      </c>
      <c r="O342" s="2285" t="s">
        <v>273</v>
      </c>
    </row>
    <row r="343" spans="2:15" x14ac:dyDescent="0.25">
      <c r="C343" s="1379" t="s">
        <v>292</v>
      </c>
      <c r="D343" s="233">
        <f>'CALCULS Eau potable'!E340+'CALCULS Eau potable'!F340</f>
        <v>0</v>
      </c>
      <c r="E343" s="233">
        <f>'CALCULS Eaux usées'!E340+'CALCULS Eaux usées'!F340</f>
        <v>0</v>
      </c>
      <c r="F343" s="233">
        <f>'CALCULS Eaux pluviales'!E340+'CALCULS Eaux pluviales'!F340</f>
        <v>0</v>
      </c>
      <c r="G343" s="233">
        <f t="shared" si="76"/>
        <v>0</v>
      </c>
      <c r="L343" s="5"/>
      <c r="M343" s="5"/>
      <c r="N343" s="1"/>
      <c r="O343" s="1"/>
    </row>
    <row r="344" spans="2:15" ht="15.75" x14ac:dyDescent="0.25">
      <c r="C344" s="376" t="s">
        <v>1546</v>
      </c>
      <c r="D344" s="233">
        <f>'CALCULS Eau potable'!E341+'CALCULS Eau potable'!F341</f>
        <v>0</v>
      </c>
      <c r="E344" s="233">
        <f>'CALCULS Eaux usées'!E341+'CALCULS Eaux usées'!F341</f>
        <v>0</v>
      </c>
      <c r="F344" s="233">
        <f>'CALCULS Eaux pluviales'!E341+'CALCULS Eaux pluviales'!F341</f>
        <v>0</v>
      </c>
      <c r="G344" s="233">
        <f t="shared" si="76"/>
        <v>0</v>
      </c>
      <c r="L344" s="5"/>
      <c r="M344" s="5"/>
      <c r="N344" s="2296" t="s">
        <v>132</v>
      </c>
      <c r="O344" s="2285"/>
    </row>
    <row r="345" spans="2:15" x14ac:dyDescent="0.25">
      <c r="C345" s="2255" t="s">
        <v>132</v>
      </c>
      <c r="D345" s="1156">
        <f>'CALCULS Eau potable'!E342+'CALCULS Eau potable'!F342</f>
        <v>0</v>
      </c>
      <c r="E345" s="1156">
        <f>'CALCULS Eaux usées'!E342+'CALCULS Eaux usées'!F342</f>
        <v>0</v>
      </c>
      <c r="F345" s="1156">
        <f>'CALCULS Eaux pluviales'!E342+'CALCULS Eaux pluviales'!F342</f>
        <v>0</v>
      </c>
      <c r="G345" s="1156">
        <f t="shared" si="76"/>
        <v>0</v>
      </c>
      <c r="L345" s="5"/>
      <c r="M345" s="5">
        <f>D345</f>
        <v>0</v>
      </c>
      <c r="N345" s="1555" t="s">
        <v>1528</v>
      </c>
      <c r="O345" s="2285" t="s">
        <v>271</v>
      </c>
    </row>
    <row r="346" spans="2:15" x14ac:dyDescent="0.25">
      <c r="C346" s="376"/>
      <c r="D346" s="233"/>
      <c r="G346" s="5"/>
      <c r="L346" s="5"/>
      <c r="M346" s="5">
        <f>E345</f>
        <v>0</v>
      </c>
      <c r="N346" s="1557" t="s">
        <v>1528</v>
      </c>
      <c r="O346" s="2285" t="s">
        <v>272</v>
      </c>
    </row>
    <row r="347" spans="2:15" x14ac:dyDescent="0.25">
      <c r="C347" s="376"/>
      <c r="D347" s="233"/>
      <c r="G347" s="5"/>
      <c r="L347" s="5"/>
      <c r="M347" s="5">
        <f>F345</f>
        <v>0</v>
      </c>
      <c r="N347" s="2287" t="s">
        <v>1528</v>
      </c>
      <c r="O347" s="2285" t="s">
        <v>273</v>
      </c>
    </row>
    <row r="348" spans="2:15" x14ac:dyDescent="0.25">
      <c r="C348" s="376"/>
      <c r="D348" s="233"/>
      <c r="G348" s="5"/>
      <c r="N348" s="1"/>
      <c r="O348" s="1"/>
    </row>
    <row r="349" spans="2:15" ht="21.75" customHeight="1" x14ac:dyDescent="0.25">
      <c r="C349" s="2267"/>
      <c r="D349" s="2267"/>
      <c r="E349" s="2268"/>
      <c r="F349" s="2269"/>
      <c r="G349" s="2256" t="s">
        <v>1900</v>
      </c>
      <c r="H349" s="4"/>
      <c r="J349" s="2267"/>
      <c r="K349" s="2267"/>
      <c r="L349" s="2268"/>
      <c r="M349" s="2269"/>
      <c r="N349" s="2256" t="s">
        <v>161</v>
      </c>
    </row>
    <row r="350" spans="2:15" ht="14.25" customHeight="1" x14ac:dyDescent="0.25">
      <c r="C350" s="2270"/>
      <c r="D350" s="2270"/>
      <c r="E350" s="627"/>
      <c r="F350" s="627"/>
      <c r="G350" s="627"/>
    </row>
    <row r="351" spans="2:15" ht="18.75" x14ac:dyDescent="0.3">
      <c r="B351" s="1571"/>
      <c r="C351" s="2270"/>
      <c r="D351" s="2270"/>
      <c r="E351" s="2275" t="s">
        <v>54</v>
      </c>
      <c r="F351" s="2276" t="e">
        <f>G344/G340</f>
        <v>#DIV/0!</v>
      </c>
      <c r="G351" s="2277" t="str">
        <f>IF(ISERR(F351)=TRUE,"",F351)</f>
        <v/>
      </c>
      <c r="H351" s="1864">
        <f>N352</f>
        <v>0</v>
      </c>
      <c r="I351" s="4"/>
      <c r="J351" s="4"/>
      <c r="K351" s="2279" t="s">
        <v>271</v>
      </c>
      <c r="L351" s="2279" t="s">
        <v>272</v>
      </c>
      <c r="M351" s="2279" t="s">
        <v>273</v>
      </c>
      <c r="N351" s="2279" t="s">
        <v>2002</v>
      </c>
    </row>
    <row r="352" spans="2:15" ht="18.75" x14ac:dyDescent="0.3">
      <c r="C352" s="2271"/>
      <c r="D352" s="2271"/>
      <c r="E352" s="2275" t="s">
        <v>2093</v>
      </c>
      <c r="F352" s="2276" t="e">
        <f>G343/G344</f>
        <v>#DIV/0!</v>
      </c>
      <c r="G352" s="2278" t="str">
        <f>IF(ISERR(F352)=TRUE,"",F352)</f>
        <v/>
      </c>
      <c r="H352" s="1864">
        <f>N353</f>
        <v>0</v>
      </c>
      <c r="I352" s="4"/>
      <c r="J352" s="233" t="s">
        <v>1906</v>
      </c>
      <c r="K352" s="232">
        <f>'CALCULS Eau potable'!N346</f>
        <v>0</v>
      </c>
      <c r="L352" s="232">
        <f>'CALCULS Eaux usées'!N346</f>
        <v>0</v>
      </c>
      <c r="M352" s="232">
        <f>'CALCULS Eaux pluviales'!N346</f>
        <v>0</v>
      </c>
      <c r="N352" s="2283">
        <f>IF($E$30=2,(ROUNDDOWN(AVERAGE(K352:L352),0)),(ROUNDDOWN(AVERAGE(K352:M352),0)))</f>
        <v>0</v>
      </c>
      <c r="O352" s="2464" t="s">
        <v>2126</v>
      </c>
    </row>
    <row r="353" spans="1:15" x14ac:dyDescent="0.25">
      <c r="H353" s="4"/>
      <c r="I353" s="4"/>
      <c r="J353" s="233" t="s">
        <v>1907</v>
      </c>
      <c r="K353" s="232">
        <f>'CALCULS Eau potable'!O346</f>
        <v>0</v>
      </c>
      <c r="L353" s="232">
        <f>'CALCULS Eaux usées'!O346</f>
        <v>0</v>
      </c>
      <c r="M353" s="232">
        <f>'CALCULS Eaux pluviales'!O346</f>
        <v>0</v>
      </c>
      <c r="N353" s="2284">
        <f>IF($E$30=2,(ROUNDDOWN(AVERAGE(K353:L353),0)),(ROUNDDOWN(AVERAGE(K353:M353),0)))</f>
        <v>0</v>
      </c>
      <c r="O353" s="2465" t="s">
        <v>2087</v>
      </c>
    </row>
    <row r="354" spans="1:15" x14ac:dyDescent="0.25">
      <c r="C354" s="1571"/>
      <c r="D354" s="2290"/>
      <c r="E354" s="1574"/>
      <c r="F354" s="4"/>
      <c r="G354" s="4"/>
      <c r="H354" s="4"/>
      <c r="I354" s="4"/>
      <c r="J354" s="4"/>
      <c r="K354" s="4"/>
      <c r="L354" s="4"/>
      <c r="M354" s="4"/>
      <c r="N354" s="4"/>
    </row>
    <row r="355" spans="1:15" s="28" customFormat="1" x14ac:dyDescent="0.25">
      <c r="A355" s="55"/>
      <c r="B355" s="2224"/>
      <c r="C355" s="2224"/>
      <c r="D355" s="2288" t="s">
        <v>2089</v>
      </c>
      <c r="E355" s="2289"/>
      <c r="F355" s="2225"/>
      <c r="G355" s="373"/>
      <c r="H355" s="2226"/>
      <c r="I355" s="2226"/>
      <c r="J355" s="2226"/>
      <c r="K355" s="2226"/>
      <c r="L355" s="2226"/>
      <c r="M355" s="2226"/>
      <c r="N355" s="2226"/>
      <c r="O355" s="2226"/>
    </row>
    <row r="356" spans="1:15" s="28" customFormat="1" ht="16.5" thickBot="1" x14ac:dyDescent="0.3">
      <c r="A356" s="55"/>
      <c r="B356" s="2224"/>
      <c r="C356" s="2224"/>
      <c r="D356" s="2291"/>
      <c r="E356" s="2292"/>
      <c r="F356" s="2225"/>
      <c r="G356" s="373"/>
      <c r="H356" s="2226"/>
      <c r="I356" s="3475" t="s">
        <v>1905</v>
      </c>
      <c r="J356" s="3475"/>
      <c r="K356" s="3475"/>
      <c r="L356" s="3475"/>
      <c r="M356" s="3475"/>
      <c r="N356" s="3475"/>
      <c r="O356" s="2226"/>
    </row>
    <row r="357" spans="1:15" s="28" customFormat="1" ht="170.25" customHeight="1" x14ac:dyDescent="0.25">
      <c r="A357" s="55"/>
      <c r="B357" s="373"/>
      <c r="C357" s="373"/>
      <c r="D357" s="373"/>
      <c r="E357" s="373"/>
      <c r="F357" s="373"/>
      <c r="G357" s="373"/>
      <c r="H357" s="2226"/>
      <c r="I357" s="2226"/>
      <c r="J357" s="2226"/>
      <c r="K357" s="2226"/>
      <c r="L357" s="2226"/>
      <c r="M357" s="2226"/>
      <c r="N357" s="2226"/>
      <c r="O357" s="373"/>
    </row>
    <row r="358" spans="1:15" s="28" customFormat="1" ht="12.75" customHeight="1" x14ac:dyDescent="0.25">
      <c r="A358" s="55"/>
      <c r="B358" s="373"/>
      <c r="C358" s="373"/>
      <c r="G358" s="373"/>
      <c r="H358" s="2226"/>
      <c r="I358" s="55"/>
      <c r="J358" s="55"/>
      <c r="K358" s="55"/>
      <c r="L358" s="2293"/>
      <c r="M358" s="2226"/>
      <c r="N358" s="2226"/>
      <c r="O358" s="2226"/>
    </row>
    <row r="359" spans="1:15" s="28" customFormat="1" ht="16.5" thickBot="1" x14ac:dyDescent="0.3">
      <c r="A359" s="55"/>
      <c r="H359" s="55"/>
      <c r="I359" s="3475" t="s">
        <v>2100</v>
      </c>
      <c r="J359" s="3475"/>
      <c r="K359" s="3475"/>
      <c r="L359" s="3475"/>
      <c r="M359" s="3475"/>
      <c r="N359" s="3475"/>
      <c r="O359" s="55"/>
    </row>
    <row r="360" spans="1:15" ht="9" customHeight="1" x14ac:dyDescent="0.25">
      <c r="C360" s="1571"/>
      <c r="D360" s="4"/>
      <c r="E360" s="4"/>
      <c r="F360" s="4"/>
      <c r="G360" s="4"/>
      <c r="H360" s="1574"/>
      <c r="I360" s="1574"/>
      <c r="J360" s="1574"/>
      <c r="K360" s="1574"/>
      <c r="L360" s="1574"/>
      <c r="M360" s="1574"/>
      <c r="N360" s="1574"/>
      <c r="O360" s="1"/>
    </row>
    <row r="361" spans="1:15" ht="16.5" customHeight="1" x14ac:dyDescent="0.25">
      <c r="C361" s="1571"/>
      <c r="D361" s="4"/>
      <c r="E361" s="4"/>
      <c r="F361" s="4"/>
      <c r="G361" s="4"/>
      <c r="H361" s="1574"/>
      <c r="I361" s="1574"/>
      <c r="J361" s="1574"/>
      <c r="K361" s="1574"/>
      <c r="L361" s="1574"/>
      <c r="M361" s="2294" t="str">
        <f>E351</f>
        <v>Ratio de financement du renouvellement</v>
      </c>
      <c r="N361" s="2295" t="str">
        <f>G351</f>
        <v/>
      </c>
      <c r="O361" s="1"/>
    </row>
    <row r="362" spans="1:15" ht="16.5" customHeight="1" x14ac:dyDescent="0.25">
      <c r="C362" s="1571"/>
      <c r="D362" s="4"/>
      <c r="E362" s="4"/>
      <c r="F362" s="4"/>
      <c r="G362" s="4"/>
      <c r="H362" s="1574"/>
      <c r="I362" s="1574"/>
      <c r="J362" s="1574"/>
      <c r="K362" s="1574"/>
      <c r="L362" s="1574"/>
      <c r="M362" s="2294" t="str">
        <f>E352</f>
        <v>Ratio d'autofinancement du renouvellement</v>
      </c>
      <c r="N362" s="2295" t="str">
        <f>G352</f>
        <v/>
      </c>
      <c r="O362" s="1"/>
    </row>
    <row r="363" spans="1:15" ht="20.25" customHeight="1" x14ac:dyDescent="0.25">
      <c r="C363" s="1571"/>
      <c r="D363" s="4"/>
      <c r="E363" s="4"/>
      <c r="F363" s="4"/>
      <c r="G363" s="4"/>
      <c r="H363" s="1574"/>
      <c r="I363" s="1574"/>
      <c r="J363" s="1574"/>
      <c r="K363" s="1574"/>
      <c r="L363" s="1574"/>
      <c r="M363" s="1574"/>
      <c r="N363" s="1574"/>
      <c r="O363" s="1"/>
    </row>
    <row r="364" spans="1:15" x14ac:dyDescent="0.25">
      <c r="C364" s="1571"/>
      <c r="D364" s="4"/>
      <c r="E364" s="4"/>
      <c r="F364" s="4"/>
      <c r="G364" s="4"/>
      <c r="H364" s="4"/>
      <c r="I364" s="4"/>
      <c r="J364" s="4"/>
      <c r="K364" s="4"/>
      <c r="L364" s="4"/>
      <c r="M364" s="4"/>
      <c r="N364" s="4"/>
    </row>
    <row r="365" spans="1:15" ht="13.5" customHeight="1" x14ac:dyDescent="0.25">
      <c r="B365" s="230"/>
      <c r="C365" s="1382"/>
    </row>
    <row r="366" spans="1:15" ht="22.5" customHeight="1" x14ac:dyDescent="0.25">
      <c r="C366" s="230" t="s">
        <v>2101</v>
      </c>
    </row>
    <row r="367" spans="1:15" ht="15.75" customHeight="1" x14ac:dyDescent="0.25">
      <c r="B367" s="230"/>
    </row>
    <row r="368" spans="1:15" ht="21" x14ac:dyDescent="0.25">
      <c r="B368" s="230"/>
      <c r="C368" s="1386"/>
      <c r="D368" s="1153"/>
      <c r="E368" s="2223"/>
      <c r="F368" s="2223"/>
      <c r="G368" s="2256" t="s">
        <v>2084</v>
      </c>
      <c r="I368" s="1153"/>
      <c r="J368" s="1156"/>
      <c r="K368" s="1105"/>
      <c r="L368" s="1105"/>
      <c r="M368" s="2256"/>
      <c r="N368" s="2256" t="s">
        <v>2088</v>
      </c>
      <c r="O368" s="1153"/>
    </row>
    <row r="369" spans="2:15" ht="12" customHeight="1" x14ac:dyDescent="0.25">
      <c r="B369" s="230"/>
      <c r="C369" s="2272"/>
      <c r="D369" s="223"/>
      <c r="E369" s="2273"/>
      <c r="F369" s="2273"/>
      <c r="G369" s="2274"/>
      <c r="K369" s="3476" t="s">
        <v>132</v>
      </c>
      <c r="N369" s="1"/>
      <c r="O369" s="1"/>
    </row>
    <row r="370" spans="2:15" ht="15.75" customHeight="1" x14ac:dyDescent="0.25">
      <c r="B370" s="1571"/>
      <c r="C370" s="2255"/>
      <c r="D370" s="2280" t="s">
        <v>271</v>
      </c>
      <c r="E370" s="2280" t="s">
        <v>272</v>
      </c>
      <c r="F370" s="2280" t="s">
        <v>273</v>
      </c>
      <c r="G370" s="2280" t="s">
        <v>6</v>
      </c>
      <c r="I370" s="1571"/>
      <c r="J370" s="4"/>
      <c r="K370" s="3477"/>
      <c r="L370" s="1572"/>
      <c r="M370" s="233"/>
      <c r="N370" s="2296" t="s">
        <v>1899</v>
      </c>
      <c r="O370" s="2285"/>
    </row>
    <row r="371" spans="2:15" x14ac:dyDescent="0.25">
      <c r="C371" s="376" t="s">
        <v>1497</v>
      </c>
      <c r="D371" s="2440">
        <f>'CALCULS Eau potable'!E362+'CALCULS Eau potable'!F362</f>
        <v>0</v>
      </c>
      <c r="E371" s="2440">
        <f>'CALCULS Eaux usées'!E362+'CALCULS Eaux usées'!F362</f>
        <v>0</v>
      </c>
      <c r="F371" s="2440">
        <f>'CALCULS Eaux pluviales'!E362+'CALCULS Eaux pluviales'!F362</f>
        <v>0</v>
      </c>
      <c r="G371" s="2440">
        <f>SUM(D371:F371)</f>
        <v>0</v>
      </c>
      <c r="I371" s="376" t="s">
        <v>42</v>
      </c>
      <c r="J371" s="233">
        <f>G371</f>
        <v>0</v>
      </c>
      <c r="K371" s="233">
        <v>0</v>
      </c>
      <c r="L371" s="5"/>
      <c r="M371" s="5">
        <f>D374</f>
        <v>0</v>
      </c>
      <c r="N371" s="1553" t="s">
        <v>1528</v>
      </c>
      <c r="O371" s="2285" t="s">
        <v>271</v>
      </c>
    </row>
    <row r="372" spans="2:15" x14ac:dyDescent="0.25">
      <c r="C372" s="1379" t="s">
        <v>145</v>
      </c>
      <c r="D372" s="233">
        <f>'CALCULS Eau potable'!E363+'CALCULS Eau potable'!F363</f>
        <v>0</v>
      </c>
      <c r="E372" s="233">
        <f>'CALCULS Eaux usées'!E363+'CALCULS Eaux usées'!F363</f>
        <v>0</v>
      </c>
      <c r="F372" s="233">
        <f>'CALCULS Eaux pluviales'!E363+'CALCULS Eaux pluviales'!F363</f>
        <v>0</v>
      </c>
      <c r="G372" s="233">
        <f t="shared" ref="G372:G375" si="77">SUM(D372:F372)</f>
        <v>0</v>
      </c>
      <c r="I372" s="376" t="s">
        <v>1899</v>
      </c>
      <c r="J372" s="233">
        <f>G374</f>
        <v>0</v>
      </c>
      <c r="K372" s="233">
        <f>G375</f>
        <v>0</v>
      </c>
      <c r="L372" s="5"/>
      <c r="M372" s="5">
        <f>E374</f>
        <v>0</v>
      </c>
      <c r="N372" s="1556" t="s">
        <v>1528</v>
      </c>
      <c r="O372" s="2285" t="s">
        <v>272</v>
      </c>
    </row>
    <row r="373" spans="2:15" x14ac:dyDescent="0.25">
      <c r="C373" s="1379" t="s">
        <v>292</v>
      </c>
      <c r="D373" s="233">
        <f>'CALCULS Eau potable'!E364+'CALCULS Eau potable'!F364</f>
        <v>0</v>
      </c>
      <c r="E373" s="233">
        <f>'CALCULS Eaux usées'!E364+'CALCULS Eaux usées'!F364</f>
        <v>0</v>
      </c>
      <c r="F373" s="233">
        <f>'CALCULS Eaux pluviales'!E364+'CALCULS Eaux pluviales'!F364</f>
        <v>0</v>
      </c>
      <c r="G373" s="233">
        <f t="shared" si="77"/>
        <v>0</v>
      </c>
      <c r="L373" s="5"/>
      <c r="M373" s="5">
        <f>F374</f>
        <v>0</v>
      </c>
      <c r="N373" s="2297" t="s">
        <v>1528</v>
      </c>
      <c r="O373" s="2285" t="s">
        <v>273</v>
      </c>
    </row>
    <row r="374" spans="2:15" x14ac:dyDescent="0.25">
      <c r="C374" s="376" t="s">
        <v>1546</v>
      </c>
      <c r="D374" s="233">
        <f>'CALCULS Eau potable'!E365+'CALCULS Eau potable'!F365</f>
        <v>0</v>
      </c>
      <c r="E374" s="233">
        <f>'CALCULS Eaux usées'!E365+'CALCULS Eaux usées'!F365</f>
        <v>0</v>
      </c>
      <c r="F374" s="233">
        <f>'CALCULS Eaux pluviales'!E365+'CALCULS Eaux pluviales'!F365</f>
        <v>0</v>
      </c>
      <c r="G374" s="233">
        <f t="shared" si="77"/>
        <v>0</v>
      </c>
      <c r="L374" s="5"/>
      <c r="M374" s="5"/>
      <c r="N374" s="1"/>
      <c r="O374" s="1"/>
    </row>
    <row r="375" spans="2:15" ht="15.75" x14ac:dyDescent="0.25">
      <c r="C375" s="2255" t="s">
        <v>132</v>
      </c>
      <c r="D375" s="1156">
        <f>'CALCULS Eau potable'!E366+'CALCULS Eau potable'!F366</f>
        <v>0</v>
      </c>
      <c r="E375" s="1156">
        <f>'CALCULS Eaux usées'!E366+'CALCULS Eaux usées'!F366</f>
        <v>0</v>
      </c>
      <c r="F375" s="1156">
        <f>'CALCULS Eaux pluviales'!E366+'CALCULS Eaux pluviales'!F366</f>
        <v>0</v>
      </c>
      <c r="G375" s="1156">
        <f t="shared" si="77"/>
        <v>0</v>
      </c>
      <c r="L375" s="5"/>
      <c r="M375" s="5"/>
      <c r="N375" s="2296" t="s">
        <v>132</v>
      </c>
      <c r="O375" s="2285"/>
    </row>
    <row r="376" spans="2:15" x14ac:dyDescent="0.25">
      <c r="C376" s="376"/>
      <c r="D376" s="233"/>
      <c r="G376" s="5"/>
      <c r="L376" s="5"/>
      <c r="M376" s="5">
        <f>D375</f>
        <v>0</v>
      </c>
      <c r="N376" s="1555" t="s">
        <v>1528</v>
      </c>
      <c r="O376" s="2285" t="s">
        <v>271</v>
      </c>
    </row>
    <row r="377" spans="2:15" x14ac:dyDescent="0.25">
      <c r="C377" s="376"/>
      <c r="D377" s="233"/>
      <c r="G377" s="5"/>
      <c r="L377" s="5"/>
      <c r="M377" s="5">
        <f>E375</f>
        <v>0</v>
      </c>
      <c r="N377" s="1557" t="s">
        <v>1528</v>
      </c>
      <c r="O377" s="2285" t="s">
        <v>272</v>
      </c>
    </row>
    <row r="378" spans="2:15" x14ac:dyDescent="0.25">
      <c r="C378" s="376"/>
      <c r="D378" s="233"/>
      <c r="G378" s="5"/>
      <c r="L378" s="5"/>
      <c r="M378" s="5">
        <f>F375</f>
        <v>0</v>
      </c>
      <c r="N378" s="2287" t="s">
        <v>1528</v>
      </c>
      <c r="O378" s="2285" t="s">
        <v>273</v>
      </c>
    </row>
    <row r="379" spans="2:15" x14ac:dyDescent="0.25">
      <c r="C379" s="376"/>
      <c r="D379" s="233"/>
      <c r="G379" s="5"/>
      <c r="N379" s="1"/>
      <c r="O379" s="1"/>
    </row>
    <row r="380" spans="2:15" ht="21.75" customHeight="1" x14ac:dyDescent="0.25">
      <c r="C380" s="2267"/>
      <c r="D380" s="2267"/>
      <c r="E380" s="2268"/>
      <c r="F380" s="2269"/>
      <c r="G380" s="2256" t="s">
        <v>1900</v>
      </c>
      <c r="H380" s="4"/>
      <c r="J380" s="2267"/>
      <c r="K380" s="2267"/>
      <c r="L380" s="2268"/>
      <c r="M380" s="2269"/>
      <c r="N380" s="2256" t="s">
        <v>161</v>
      </c>
    </row>
    <row r="381" spans="2:15" ht="14.25" customHeight="1" x14ac:dyDescent="0.25">
      <c r="C381" s="2270"/>
      <c r="D381" s="2270"/>
      <c r="E381" s="627"/>
      <c r="F381" s="627"/>
      <c r="G381" s="627"/>
    </row>
    <row r="382" spans="2:15" ht="18.75" x14ac:dyDescent="0.3">
      <c r="B382" s="1571"/>
      <c r="C382" s="2270"/>
      <c r="D382" s="2270"/>
      <c r="E382" s="2275" t="s">
        <v>53</v>
      </c>
      <c r="F382" s="2276" t="e">
        <f>G374/G371</f>
        <v>#DIV/0!</v>
      </c>
      <c r="G382" s="2277" t="str">
        <f>IF(ISERR(F382)=TRUE,"",F382)</f>
        <v/>
      </c>
      <c r="H382" s="1864">
        <f>N383</f>
        <v>0</v>
      </c>
      <c r="I382" s="4"/>
      <c r="J382" s="4"/>
      <c r="K382" s="2279" t="s">
        <v>271</v>
      </c>
      <c r="L382" s="2279" t="s">
        <v>272</v>
      </c>
      <c r="M382" s="2279" t="s">
        <v>273</v>
      </c>
      <c r="N382" s="2279" t="s">
        <v>2002</v>
      </c>
    </row>
    <row r="383" spans="2:15" ht="18.75" x14ac:dyDescent="0.3">
      <c r="C383" s="2271"/>
      <c r="D383" s="2271"/>
      <c r="E383" s="2275" t="s">
        <v>2092</v>
      </c>
      <c r="F383" s="2276" t="e">
        <f>G373/G374</f>
        <v>#DIV/0!</v>
      </c>
      <c r="G383" s="2278" t="str">
        <f>IF(ISERR(F383)=TRUE,"",F383)</f>
        <v/>
      </c>
      <c r="H383" s="1864">
        <f>N384</f>
        <v>0</v>
      </c>
      <c r="I383" s="4"/>
      <c r="J383" s="233" t="s">
        <v>1906</v>
      </c>
      <c r="K383" s="232">
        <f>'CALCULS Eau potable'!N370</f>
        <v>0</v>
      </c>
      <c r="L383" s="232">
        <f>'CALCULS Eaux usées'!N370</f>
        <v>0</v>
      </c>
      <c r="M383" s="232">
        <f>'CALCULS Eaux pluviales'!N370</f>
        <v>0</v>
      </c>
      <c r="N383" s="2283">
        <f>IF($E$30=2,(ROUNDDOWN(AVERAGE(K383:L383),0)),(ROUNDDOWN(AVERAGE(K383:M383),0)))</f>
        <v>0</v>
      </c>
      <c r="O383" s="2464" t="s">
        <v>2126</v>
      </c>
    </row>
    <row r="384" spans="2:15" x14ac:dyDescent="0.25">
      <c r="H384" s="4"/>
      <c r="I384" s="4"/>
      <c r="J384" s="233" t="s">
        <v>1907</v>
      </c>
      <c r="K384" s="232">
        <f>'CALCULS Eau potable'!O370</f>
        <v>0</v>
      </c>
      <c r="L384" s="232">
        <f>'CALCULS Eaux usées'!O370</f>
        <v>0</v>
      </c>
      <c r="M384" s="232">
        <f>'CALCULS Eaux pluviales'!O370</f>
        <v>0</v>
      </c>
      <c r="N384" s="2284">
        <f>IF($E$30=2,(ROUNDDOWN(AVERAGE(K384:L384),0)),(ROUNDDOWN(AVERAGE(K384:M384),0)))</f>
        <v>0</v>
      </c>
      <c r="O384" s="2465" t="s">
        <v>2087</v>
      </c>
    </row>
    <row r="385" spans="1:28" x14ac:dyDescent="0.25">
      <c r="C385" s="1571"/>
      <c r="D385" s="2290"/>
      <c r="E385" s="1574"/>
      <c r="F385" s="4"/>
      <c r="G385" s="4"/>
      <c r="H385" s="4"/>
      <c r="I385" s="4"/>
      <c r="J385" s="4"/>
      <c r="K385" s="4"/>
      <c r="L385" s="4"/>
      <c r="M385" s="4"/>
      <c r="N385" s="4"/>
    </row>
    <row r="386" spans="1:28" s="28" customFormat="1" x14ac:dyDescent="0.25">
      <c r="A386" s="55"/>
      <c r="B386" s="2224"/>
      <c r="C386" s="2224"/>
      <c r="D386" s="2288" t="s">
        <v>2089</v>
      </c>
      <c r="E386" s="2289"/>
      <c r="F386" s="2225"/>
      <c r="G386" s="373"/>
      <c r="H386" s="2226"/>
      <c r="I386" s="2226"/>
      <c r="J386" s="2226"/>
      <c r="K386" s="2226"/>
      <c r="L386" s="2226"/>
      <c r="M386" s="2226"/>
      <c r="N386" s="2226"/>
      <c r="O386" s="2226"/>
    </row>
    <row r="387" spans="1:28" s="28" customFormat="1" ht="16.5" thickBot="1" x14ac:dyDescent="0.3">
      <c r="A387" s="55"/>
      <c r="B387" s="2224"/>
      <c r="C387" s="2224"/>
      <c r="D387" s="2291"/>
      <c r="E387" s="2292"/>
      <c r="F387" s="2225"/>
      <c r="G387" s="373"/>
      <c r="H387" s="2226"/>
      <c r="I387" s="3475" t="s">
        <v>1905</v>
      </c>
      <c r="J387" s="3475"/>
      <c r="K387" s="3475"/>
      <c r="L387" s="3475"/>
      <c r="M387" s="3475"/>
      <c r="N387" s="3475"/>
      <c r="O387" s="2226"/>
    </row>
    <row r="388" spans="1:28" s="28" customFormat="1" ht="170.25" customHeight="1" x14ac:dyDescent="0.25">
      <c r="A388" s="55"/>
      <c r="B388" s="373"/>
      <c r="C388" s="373"/>
      <c r="D388" s="373"/>
      <c r="E388" s="373"/>
      <c r="F388" s="373"/>
      <c r="G388" s="373"/>
      <c r="H388" s="2226"/>
      <c r="I388" s="2226"/>
      <c r="J388" s="2226"/>
      <c r="K388" s="2226"/>
      <c r="L388" s="2226"/>
      <c r="M388" s="2226"/>
      <c r="N388" s="2226"/>
      <c r="O388" s="373"/>
    </row>
    <row r="389" spans="1:28" s="28" customFormat="1" ht="12.75" customHeight="1" x14ac:dyDescent="0.25">
      <c r="A389" s="55"/>
      <c r="B389" s="373"/>
      <c r="C389" s="373"/>
      <c r="G389" s="373"/>
      <c r="H389" s="2226"/>
      <c r="I389" s="55"/>
      <c r="J389" s="55"/>
      <c r="K389" s="55"/>
      <c r="L389" s="2293"/>
      <c r="M389" s="2226"/>
      <c r="N389" s="2226"/>
      <c r="O389" s="2226"/>
    </row>
    <row r="390" spans="1:28" s="28" customFormat="1" ht="16.5" thickBot="1" x14ac:dyDescent="0.3">
      <c r="A390" s="55"/>
      <c r="H390" s="55"/>
      <c r="I390" s="3475" t="s">
        <v>2134</v>
      </c>
      <c r="J390" s="3475"/>
      <c r="K390" s="3475"/>
      <c r="L390" s="3475"/>
      <c r="M390" s="3475"/>
      <c r="N390" s="3475"/>
      <c r="O390" s="55"/>
    </row>
    <row r="391" spans="1:28" ht="9" customHeight="1" x14ac:dyDescent="0.25">
      <c r="C391" s="1571"/>
      <c r="D391" s="4"/>
      <c r="E391" s="4"/>
      <c r="F391" s="4"/>
      <c r="G391" s="4"/>
      <c r="H391" s="1574"/>
      <c r="I391" s="1574"/>
      <c r="J391" s="1574"/>
      <c r="K391" s="1574"/>
      <c r="L391" s="1574"/>
      <c r="M391" s="1574"/>
      <c r="N391" s="1574"/>
      <c r="O391" s="1"/>
    </row>
    <row r="392" spans="1:28" ht="16.5" customHeight="1" x14ac:dyDescent="0.25">
      <c r="C392" s="1571"/>
      <c r="D392" s="4"/>
      <c r="E392" s="4"/>
      <c r="F392" s="4"/>
      <c r="G392" s="4"/>
      <c r="H392" s="1574"/>
      <c r="I392" s="1574"/>
      <c r="J392" s="1574"/>
      <c r="K392" s="1574"/>
      <c r="L392" s="1574"/>
      <c r="M392" s="2294" t="str">
        <f>E382</f>
        <v>Ratio de financement des acquisitions/dispositions</v>
      </c>
      <c r="N392" s="2295" t="str">
        <f>G382</f>
        <v/>
      </c>
      <c r="O392" s="1"/>
    </row>
    <row r="393" spans="1:28" ht="16.5" customHeight="1" x14ac:dyDescent="0.25">
      <c r="C393" s="1571"/>
      <c r="D393" s="4"/>
      <c r="E393" s="4"/>
      <c r="F393" s="4"/>
      <c r="G393" s="4"/>
      <c r="H393" s="1574"/>
      <c r="I393" s="1574"/>
      <c r="J393" s="1574"/>
      <c r="K393" s="1574"/>
      <c r="L393" s="1574"/>
      <c r="M393" s="2294" t="str">
        <f>E383</f>
        <v>Ratio d'autofinancement des acquisitions/dispositions</v>
      </c>
      <c r="N393" s="2295" t="str">
        <f>G383</f>
        <v/>
      </c>
      <c r="O393" s="1"/>
    </row>
    <row r="394" spans="1:28" ht="20.25" customHeight="1" x14ac:dyDescent="0.25">
      <c r="C394" s="1571"/>
      <c r="D394" s="4"/>
      <c r="E394" s="4"/>
      <c r="F394" s="4"/>
      <c r="G394" s="4"/>
      <c r="H394" s="1574"/>
      <c r="I394" s="1574"/>
      <c r="J394" s="1574"/>
      <c r="K394" s="1574"/>
      <c r="L394" s="1574"/>
      <c r="M394" s="1574"/>
      <c r="N394" s="1574"/>
      <c r="O394" s="1"/>
    </row>
    <row r="395" spans="1:28" x14ac:dyDescent="0.25">
      <c r="C395" s="1571"/>
      <c r="D395" s="4"/>
      <c r="E395" s="4"/>
      <c r="F395" s="4"/>
      <c r="G395" s="4"/>
      <c r="H395" s="4"/>
      <c r="I395" s="4"/>
      <c r="J395" s="4"/>
      <c r="K395" s="4"/>
      <c r="L395" s="4"/>
      <c r="M395" s="4"/>
      <c r="N395" s="4"/>
    </row>
    <row r="396" spans="1:28" x14ac:dyDescent="0.25">
      <c r="C396" s="376"/>
      <c r="D396" s="10"/>
    </row>
    <row r="397" spans="1:28" ht="26.25" customHeight="1" x14ac:dyDescent="0.3">
      <c r="B397" s="1762" t="s">
        <v>2086</v>
      </c>
      <c r="C397" s="853"/>
      <c r="D397" s="853"/>
      <c r="E397" s="853"/>
      <c r="F397" s="853"/>
      <c r="G397" s="853"/>
      <c r="H397" s="853"/>
      <c r="I397" s="853"/>
      <c r="J397" s="853"/>
      <c r="K397" s="853"/>
      <c r="L397" s="853"/>
      <c r="M397" s="853"/>
      <c r="N397" s="853"/>
      <c r="O397" s="853"/>
      <c r="P397" s="853"/>
      <c r="Q397" s="853"/>
      <c r="R397" s="853"/>
      <c r="S397" s="853"/>
      <c r="T397" s="853"/>
      <c r="U397" s="853"/>
      <c r="V397" s="853"/>
      <c r="W397" s="853"/>
      <c r="X397" s="853"/>
      <c r="Y397" s="853"/>
      <c r="Z397" s="853"/>
      <c r="AA397" s="853"/>
      <c r="AB397" s="853"/>
    </row>
    <row r="398" spans="1:28" ht="21" x14ac:dyDescent="0.25">
      <c r="B398" s="230"/>
      <c r="C398" s="1567"/>
    </row>
    <row r="399" spans="1:28" ht="22.5" customHeight="1" x14ac:dyDescent="0.25">
      <c r="C399" s="230" t="s">
        <v>2114</v>
      </c>
    </row>
    <row r="400" spans="1:28" ht="15.75" customHeight="1" x14ac:dyDescent="0.25">
      <c r="B400" s="230"/>
    </row>
    <row r="401" spans="2:15" ht="21" x14ac:dyDescent="0.25">
      <c r="B401" s="230"/>
      <c r="C401" s="1386"/>
      <c r="D401" s="1153"/>
      <c r="E401" s="2223"/>
      <c r="F401" s="2223"/>
      <c r="G401" s="2256" t="s">
        <v>2084</v>
      </c>
      <c r="I401" s="1153"/>
      <c r="J401" s="1156"/>
      <c r="K401" s="1105"/>
      <c r="L401" s="1105"/>
      <c r="M401" s="2256"/>
      <c r="N401" s="2256" t="s">
        <v>161</v>
      </c>
      <c r="O401" s="1153"/>
    </row>
    <row r="402" spans="2:15" ht="9" customHeight="1" x14ac:dyDescent="0.25">
      <c r="B402" s="230"/>
      <c r="H402" s="1573"/>
    </row>
    <row r="403" spans="2:15" x14ac:dyDescent="0.25">
      <c r="C403" s="1153"/>
      <c r="D403" s="2280" t="s">
        <v>271</v>
      </c>
      <c r="E403" s="2280" t="s">
        <v>272</v>
      </c>
      <c r="F403" s="2280" t="s">
        <v>273</v>
      </c>
      <c r="G403" s="2280" t="s">
        <v>2116</v>
      </c>
      <c r="H403" s="4"/>
      <c r="I403" s="1105"/>
      <c r="J403" s="1105"/>
      <c r="K403" s="2279" t="s">
        <v>1529</v>
      </c>
      <c r="L403" s="2279" t="s">
        <v>5</v>
      </c>
      <c r="M403" s="2279" t="s">
        <v>1948</v>
      </c>
      <c r="N403" s="2279" t="s">
        <v>2002</v>
      </c>
    </row>
    <row r="404" spans="2:15" x14ac:dyDescent="0.25">
      <c r="C404" s="376" t="s">
        <v>1497</v>
      </c>
      <c r="D404" s="2440">
        <f>D308+D340+D371</f>
        <v>0</v>
      </c>
      <c r="E404" s="2440">
        <f t="shared" ref="E404:G404" si="78">E308+E340+E371</f>
        <v>0</v>
      </c>
      <c r="F404" s="2440">
        <f t="shared" si="78"/>
        <v>0</v>
      </c>
      <c r="G404" s="2440">
        <f t="shared" si="78"/>
        <v>0</v>
      </c>
      <c r="H404" s="4"/>
      <c r="I404" s="4" t="s">
        <v>271</v>
      </c>
      <c r="J404" s="233" t="s">
        <v>1906</v>
      </c>
      <c r="K404" s="232">
        <f>K320</f>
        <v>0</v>
      </c>
      <c r="L404" s="232">
        <f>K352</f>
        <v>0</v>
      </c>
      <c r="M404" s="232">
        <f>K383</f>
        <v>0</v>
      </c>
      <c r="N404" s="2283">
        <f>ROUNDDOWN(AVERAGE(K404:M404),0)</f>
        <v>0</v>
      </c>
    </row>
    <row r="405" spans="2:15" x14ac:dyDescent="0.25">
      <c r="C405" s="1379" t="s">
        <v>145</v>
      </c>
      <c r="D405" s="233">
        <f>D309+D342+D372</f>
        <v>0</v>
      </c>
      <c r="E405" s="233">
        <f t="shared" ref="E405:F405" si="79">E309+E342+E372</f>
        <v>0</v>
      </c>
      <c r="F405" s="233">
        <f t="shared" si="79"/>
        <v>0</v>
      </c>
      <c r="G405" s="233">
        <f>G309+G342+G372</f>
        <v>0</v>
      </c>
      <c r="H405" s="4"/>
      <c r="I405" s="1105"/>
      <c r="J405" s="1156" t="s">
        <v>1907</v>
      </c>
      <c r="K405" s="1860">
        <f>K321</f>
        <v>0</v>
      </c>
      <c r="L405" s="1860">
        <f>K353</f>
        <v>0</v>
      </c>
      <c r="M405" s="2443">
        <f>K384</f>
        <v>0</v>
      </c>
      <c r="N405" s="2284">
        <f>ROUNDDOWN(AVERAGE(K405:M405),0)</f>
        <v>0</v>
      </c>
    </row>
    <row r="406" spans="2:15" x14ac:dyDescent="0.25">
      <c r="C406" s="1379" t="s">
        <v>292</v>
      </c>
      <c r="D406" s="233">
        <f t="shared" ref="D406:F406" si="80">D310+D343+D373</f>
        <v>0</v>
      </c>
      <c r="E406" s="233">
        <f t="shared" si="80"/>
        <v>0</v>
      </c>
      <c r="F406" s="233">
        <f t="shared" si="80"/>
        <v>0</v>
      </c>
      <c r="G406" s="233">
        <f t="shared" ref="G406" si="81">G310+G343+G373</f>
        <v>0</v>
      </c>
      <c r="H406" s="4"/>
      <c r="I406" s="4" t="s">
        <v>272</v>
      </c>
      <c r="J406" s="233" t="s">
        <v>1906</v>
      </c>
      <c r="K406" s="232">
        <f>L320</f>
        <v>0</v>
      </c>
      <c r="L406" s="232">
        <f>L352</f>
        <v>0</v>
      </c>
      <c r="M406" s="2444">
        <f>L383</f>
        <v>0</v>
      </c>
      <c r="N406" s="2442">
        <f t="shared" ref="N406:N409" si="82">ROUNDDOWN(AVERAGE(K406:M406),0)</f>
        <v>0</v>
      </c>
    </row>
    <row r="407" spans="2:15" x14ac:dyDescent="0.25">
      <c r="C407" s="376" t="s">
        <v>1546</v>
      </c>
      <c r="D407" s="233">
        <f t="shared" ref="D407:F407" si="83">D311+D344+D374</f>
        <v>0</v>
      </c>
      <c r="E407" s="233">
        <f t="shared" si="83"/>
        <v>0</v>
      </c>
      <c r="F407" s="233">
        <f t="shared" si="83"/>
        <v>0</v>
      </c>
      <c r="G407" s="233">
        <f t="shared" ref="G407" si="84">G311+G344+G374</f>
        <v>0</v>
      </c>
      <c r="H407" s="4"/>
      <c r="I407" s="1105"/>
      <c r="J407" s="1156" t="s">
        <v>1907</v>
      </c>
      <c r="K407" s="1860">
        <f>L321</f>
        <v>0</v>
      </c>
      <c r="L407" s="1860">
        <f>L353</f>
        <v>0</v>
      </c>
      <c r="M407" s="2443">
        <f>L384</f>
        <v>0</v>
      </c>
      <c r="N407" s="2284">
        <f t="shared" si="82"/>
        <v>0</v>
      </c>
    </row>
    <row r="408" spans="2:15" x14ac:dyDescent="0.25">
      <c r="C408" s="1379" t="s">
        <v>1955</v>
      </c>
      <c r="D408" s="233">
        <f t="shared" ref="D408:F408" si="85">D312+D345+D375</f>
        <v>0</v>
      </c>
      <c r="E408" s="233">
        <f t="shared" si="85"/>
        <v>0</v>
      </c>
      <c r="F408" s="233">
        <f t="shared" si="85"/>
        <v>0</v>
      </c>
      <c r="G408" s="233">
        <f t="shared" ref="G408" si="86">G312+G345+G375</f>
        <v>0</v>
      </c>
      <c r="H408" s="4"/>
      <c r="I408" s="4" t="s">
        <v>273</v>
      </c>
      <c r="J408" s="233" t="s">
        <v>1906</v>
      </c>
      <c r="K408" s="232">
        <f>M320</f>
        <v>0</v>
      </c>
      <c r="L408" s="232">
        <f>M352</f>
        <v>0</v>
      </c>
      <c r="M408" s="232">
        <f>M383</f>
        <v>0</v>
      </c>
      <c r="N408" s="2442">
        <f t="shared" si="82"/>
        <v>0</v>
      </c>
    </row>
    <row r="409" spans="2:15" x14ac:dyDescent="0.25">
      <c r="C409" s="2441" t="s">
        <v>2115</v>
      </c>
      <c r="D409" s="233"/>
      <c r="E409" s="233"/>
      <c r="F409" s="233"/>
      <c r="G409" s="4"/>
      <c r="H409" s="4"/>
      <c r="I409" s="1105"/>
      <c r="J409" s="1156" t="s">
        <v>1907</v>
      </c>
      <c r="K409" s="1860">
        <f>M321</f>
        <v>0</v>
      </c>
      <c r="L409" s="1860">
        <f t="shared" ref="L409" si="87">M353</f>
        <v>0</v>
      </c>
      <c r="M409" s="2443">
        <f>M384</f>
        <v>0</v>
      </c>
      <c r="N409" s="2284">
        <f t="shared" si="82"/>
        <v>0</v>
      </c>
    </row>
    <row r="410" spans="2:15" x14ac:dyDescent="0.25">
      <c r="F410" s="414"/>
      <c r="G410" s="4"/>
      <c r="H410" s="4"/>
      <c r="I410" s="4"/>
      <c r="J410" s="4"/>
      <c r="K410" s="4"/>
      <c r="L410" s="232"/>
      <c r="M410" s="4"/>
      <c r="N410" s="4"/>
    </row>
    <row r="411" spans="2:15" x14ac:dyDescent="0.25">
      <c r="F411" s="414"/>
      <c r="G411" s="4"/>
      <c r="H411" s="4"/>
      <c r="I411" s="4"/>
      <c r="J411" s="4"/>
      <c r="K411" s="4"/>
      <c r="L411" s="232"/>
      <c r="M411" s="4"/>
      <c r="N411" s="4"/>
    </row>
    <row r="412" spans="2:15" ht="15.75" x14ac:dyDescent="0.25">
      <c r="F412" s="2471"/>
      <c r="G412" s="1105"/>
      <c r="H412" s="1105"/>
      <c r="I412" s="1153"/>
      <c r="J412" s="1156"/>
      <c r="K412" s="1105"/>
      <c r="L412" s="1105"/>
      <c r="M412" s="2256"/>
      <c r="N412" s="2256" t="s">
        <v>2088</v>
      </c>
      <c r="O412" s="1153"/>
    </row>
    <row r="413" spans="2:15" ht="15.75" x14ac:dyDescent="0.25">
      <c r="F413" s="414"/>
      <c r="G413" s="4"/>
      <c r="H413" s="4"/>
      <c r="J413" s="233"/>
      <c r="K413" s="4"/>
      <c r="L413" s="4"/>
      <c r="M413" s="2445"/>
      <c r="N413" s="2446"/>
      <c r="O413" s="1"/>
    </row>
    <row r="414" spans="2:15" ht="15.75" x14ac:dyDescent="0.25">
      <c r="F414" s="2467"/>
      <c r="G414" s="1574"/>
      <c r="H414" s="1574"/>
      <c r="I414" s="1"/>
      <c r="J414" s="2472"/>
      <c r="K414" s="1574"/>
      <c r="L414" s="1574"/>
      <c r="M414" s="2446"/>
      <c r="N414" s="2446"/>
      <c r="O414" s="1"/>
    </row>
    <row r="415" spans="2:15" ht="39" customHeight="1" x14ac:dyDescent="0.25">
      <c r="F415" s="2481"/>
      <c r="G415" s="2468"/>
      <c r="H415" s="2482"/>
      <c r="I415" s="2490" t="s">
        <v>2127</v>
      </c>
      <c r="J415" s="2475" t="s">
        <v>2130</v>
      </c>
      <c r="K415" s="2476" t="s">
        <v>2131</v>
      </c>
      <c r="L415" s="3478" t="s">
        <v>2133</v>
      </c>
      <c r="M415" s="3479"/>
      <c r="N415" s="2446"/>
      <c r="O415" s="1"/>
    </row>
    <row r="416" spans="2:15" ht="23.25" customHeight="1" x14ac:dyDescent="0.25">
      <c r="F416" s="1"/>
      <c r="G416" s="1"/>
      <c r="H416" s="2485" t="s">
        <v>2128</v>
      </c>
      <c r="I416" s="2491" t="str">
        <f>IF(ISERR(D407/D404)=TRUE,"",(D407/D404))</f>
        <v/>
      </c>
      <c r="J416" s="2477" t="str">
        <f>IF(ISERR(E407/E404)=TRUE,"",(E407/E404))</f>
        <v/>
      </c>
      <c r="K416" s="2478" t="str">
        <f>IF(ISERR(F407/F404)=TRUE,"",(F407/F404))</f>
        <v/>
      </c>
      <c r="L416" s="2483" t="str">
        <f>IF(ISERR(G407/G404)=TRUE,"",(G407/G404))</f>
        <v/>
      </c>
      <c r="M416" s="2473">
        <f>IF($E$30=2,(ROUNDDOWN(AVERAGE(N405,N407),0)),(ROUNDDOWN(AVERAGE(N405,N407,N409),0)))</f>
        <v>0</v>
      </c>
      <c r="N416" s="2528" t="s">
        <v>1528</v>
      </c>
      <c r="O416" s="2310" t="s">
        <v>1955</v>
      </c>
    </row>
    <row r="417" spans="2:28" ht="22.5" customHeight="1" x14ac:dyDescent="0.25">
      <c r="F417" s="2469"/>
      <c r="G417" s="2468"/>
      <c r="H417" s="2486" t="s">
        <v>2129</v>
      </c>
      <c r="I417" s="2492" t="str">
        <f>IF(ISERR(D406/D407)=TRUE,"",(D406/D407))</f>
        <v/>
      </c>
      <c r="J417" s="2479" t="str">
        <f>IF(ISERR(E406/E407)=TRUE,"",(E406/E407))</f>
        <v/>
      </c>
      <c r="K417" s="2480" t="str">
        <f>IF(ISERR(F406/F407)=TRUE,"",(F406/F407))</f>
        <v/>
      </c>
      <c r="L417" s="2484" t="str">
        <f>IF(ISERR(G406/G407)=TRUE,"",(G406/G407))</f>
        <v/>
      </c>
      <c r="M417" s="2474">
        <f>IF($E$30=2,(ROUNDDOWN(AVERAGE(N404,N406),0)),(ROUNDDOWN(AVERAGE(N404,N406,N408),0)))</f>
        <v>0</v>
      </c>
      <c r="N417" s="1"/>
      <c r="O417" s="2447">
        <f>G408</f>
        <v>0</v>
      </c>
    </row>
    <row r="418" spans="2:28" ht="18" customHeight="1" x14ac:dyDescent="0.25">
      <c r="F418" s="1"/>
      <c r="G418" s="1574"/>
      <c r="H418" s="1574"/>
      <c r="I418" s="1574"/>
      <c r="J418" s="2470"/>
      <c r="K418" s="2470"/>
      <c r="L418" s="1574"/>
      <c r="M418" s="1574"/>
      <c r="N418" s="2529" t="s">
        <v>1528</v>
      </c>
      <c r="O418" s="2310" t="s">
        <v>1954</v>
      </c>
    </row>
    <row r="419" spans="2:28" ht="22.5" customHeight="1" x14ac:dyDescent="0.25">
      <c r="G419" s="4"/>
      <c r="H419" s="4"/>
      <c r="L419" s="4"/>
      <c r="M419" s="4"/>
      <c r="N419" s="1"/>
      <c r="O419" s="2447">
        <f>G407</f>
        <v>0</v>
      </c>
    </row>
    <row r="420" spans="2:28" ht="18" customHeight="1" x14ac:dyDescent="0.25">
      <c r="G420" s="4"/>
      <c r="H420" s="4"/>
      <c r="L420" s="4"/>
      <c r="M420" s="4"/>
      <c r="N420" s="2530" t="s">
        <v>1528</v>
      </c>
      <c r="O420" s="2310" t="s">
        <v>2132</v>
      </c>
    </row>
    <row r="421" spans="2:28" ht="22.5" customHeight="1" x14ac:dyDescent="0.25">
      <c r="G421" s="4"/>
      <c r="H421" s="4"/>
      <c r="L421" s="4"/>
      <c r="M421" s="4"/>
      <c r="N421" s="1"/>
      <c r="O421" s="2447">
        <f>G405</f>
        <v>0</v>
      </c>
    </row>
    <row r="422" spans="2:28" ht="247.5" customHeight="1" x14ac:dyDescent="0.25">
      <c r="C422" s="1571"/>
      <c r="D422" s="4"/>
      <c r="E422" s="4"/>
      <c r="F422" s="4"/>
      <c r="G422" s="4"/>
      <c r="H422" s="4"/>
      <c r="I422" s="4"/>
      <c r="J422" s="4"/>
      <c r="K422" s="4"/>
      <c r="L422" s="4"/>
      <c r="M422" s="4"/>
      <c r="N422" s="4"/>
    </row>
    <row r="423" spans="2:28" x14ac:dyDescent="0.25">
      <c r="C423" s="1571"/>
      <c r="D423" s="4"/>
      <c r="E423" s="4"/>
      <c r="F423" s="4"/>
      <c r="G423" s="4"/>
      <c r="H423" s="4"/>
      <c r="I423" s="4"/>
      <c r="J423" s="4"/>
      <c r="K423" s="4"/>
      <c r="L423" s="4"/>
      <c r="M423" s="4"/>
      <c r="N423" s="4"/>
    </row>
    <row r="424" spans="2:28" x14ac:dyDescent="0.25">
      <c r="C424" s="1571"/>
      <c r="D424" s="4"/>
      <c r="E424" s="4"/>
      <c r="F424" s="4"/>
      <c r="G424" s="4"/>
      <c r="H424" s="4"/>
      <c r="I424" s="4"/>
      <c r="J424" s="4"/>
      <c r="K424" s="4"/>
      <c r="L424" s="4"/>
      <c r="M424" s="4"/>
      <c r="N424" s="4"/>
    </row>
    <row r="425" spans="2:28" x14ac:dyDescent="0.25">
      <c r="C425" s="1571"/>
      <c r="D425" s="4"/>
      <c r="E425" s="4"/>
      <c r="F425" s="4"/>
      <c r="G425" s="4"/>
      <c r="H425" s="4"/>
      <c r="I425" s="4"/>
      <c r="J425" s="4"/>
      <c r="K425" s="4"/>
      <c r="L425" s="4"/>
      <c r="M425" s="4"/>
      <c r="N425" s="4"/>
    </row>
    <row r="426" spans="2:28" ht="26.25" customHeight="1" x14ac:dyDescent="0.3">
      <c r="B426" s="1762" t="s">
        <v>2005</v>
      </c>
      <c r="C426" s="853"/>
      <c r="D426" s="853"/>
      <c r="E426" s="853"/>
      <c r="F426" s="853"/>
      <c r="G426" s="853"/>
      <c r="H426" s="853"/>
      <c r="I426" s="853"/>
      <c r="J426" s="853"/>
      <c r="K426" s="853"/>
      <c r="L426" s="853"/>
      <c r="M426" s="853"/>
      <c r="N426" s="853"/>
      <c r="O426" s="853"/>
      <c r="P426" s="853"/>
      <c r="Q426" s="853"/>
      <c r="R426" s="853"/>
      <c r="S426" s="853"/>
      <c r="T426" s="853"/>
      <c r="U426" s="853"/>
      <c r="V426" s="853"/>
      <c r="W426" s="853"/>
      <c r="X426" s="853"/>
      <c r="Y426" s="853"/>
      <c r="Z426" s="853"/>
      <c r="AA426" s="853"/>
      <c r="AB426" s="853"/>
    </row>
    <row r="427" spans="2:28" ht="21" x14ac:dyDescent="0.25">
      <c r="B427" s="230"/>
      <c r="C427" s="1567"/>
    </row>
    <row r="428" spans="2:28" ht="21" x14ac:dyDescent="0.25">
      <c r="B428" s="230"/>
      <c r="C428" s="1886" t="s">
        <v>1805</v>
      </c>
      <c r="O428" s="1"/>
    </row>
    <row r="429" spans="2:28" ht="63.75" customHeight="1" x14ac:dyDescent="0.25">
      <c r="B429" s="230"/>
      <c r="C429" s="1889" t="s">
        <v>2006</v>
      </c>
      <c r="D429" s="3474">
        <f>'FORMULAIRE PGA Eau potable'!C728</f>
        <v>0</v>
      </c>
      <c r="E429" s="3474"/>
      <c r="F429" s="3474"/>
      <c r="G429" s="3474"/>
      <c r="H429" s="3474"/>
      <c r="I429" s="3474"/>
      <c r="J429" s="3474"/>
      <c r="K429" s="3474"/>
      <c r="L429" s="3474"/>
      <c r="M429" s="3474"/>
      <c r="O429" s="2305" t="str">
        <f>IF(D429=0,"",CONCATENATE(C429," ",D429))</f>
        <v/>
      </c>
    </row>
    <row r="430" spans="2:28" ht="63.75" customHeight="1" x14ac:dyDescent="0.25">
      <c r="B430" s="230"/>
      <c r="C430" s="1889" t="s">
        <v>2007</v>
      </c>
      <c r="D430" s="3474">
        <f>'FORMULAIRE PGA Eaux usées'!C728</f>
        <v>0</v>
      </c>
      <c r="E430" s="3474"/>
      <c r="F430" s="3474"/>
      <c r="G430" s="3474"/>
      <c r="H430" s="3474"/>
      <c r="I430" s="3474"/>
      <c r="J430" s="3474"/>
      <c r="K430" s="3474"/>
      <c r="L430" s="3474"/>
      <c r="M430" s="3474"/>
      <c r="O430" s="2305" t="str">
        <f>IF(D430=0,"",CONCATENATE(C430," ",D430))</f>
        <v/>
      </c>
    </row>
    <row r="431" spans="2:28" ht="63.75" customHeight="1" x14ac:dyDescent="0.25">
      <c r="C431" s="1889" t="s">
        <v>2008</v>
      </c>
      <c r="D431" s="3474">
        <f>'FORMULAIRE PGA Eaux pluviales '!C728</f>
        <v>0</v>
      </c>
      <c r="E431" s="3474"/>
      <c r="F431" s="3474"/>
      <c r="G431" s="3474"/>
      <c r="H431" s="3474"/>
      <c r="I431" s="3474"/>
      <c r="J431" s="3474"/>
      <c r="K431" s="3474"/>
      <c r="L431" s="3474"/>
      <c r="M431" s="3474"/>
      <c r="N431" s="4"/>
      <c r="O431" s="2305" t="str">
        <f>IF(D432="",IF(D431=0,"",CONCATENATE(C431," ",D431)),D432)</f>
        <v/>
      </c>
    </row>
    <row r="432" spans="2:28" ht="31.5" customHeight="1" x14ac:dyDescent="0.25">
      <c r="C432" s="1889" t="s">
        <v>2079</v>
      </c>
      <c r="D432" s="3472" t="str">
        <f>K30</f>
        <v/>
      </c>
      <c r="E432" s="3473"/>
      <c r="F432" s="3473"/>
      <c r="G432" s="3473"/>
      <c r="H432" s="3473"/>
      <c r="I432" s="3473"/>
      <c r="J432" s="3473"/>
      <c r="K432" s="3473"/>
      <c r="L432" s="3473"/>
      <c r="M432" s="3473"/>
      <c r="N432" s="4"/>
      <c r="O432" s="1"/>
    </row>
    <row r="433" spans="2:28" ht="24.75" customHeight="1" x14ac:dyDescent="0.25">
      <c r="C433" s="1889"/>
      <c r="D433" s="1888"/>
      <c r="E433" s="1888"/>
      <c r="F433" s="1888"/>
      <c r="G433" s="1888"/>
      <c r="H433" s="1888"/>
      <c r="I433" s="1888"/>
      <c r="J433" s="1888"/>
      <c r="K433" s="1888"/>
      <c r="L433" s="1888"/>
      <c r="M433" s="1888"/>
      <c r="N433" s="4"/>
    </row>
    <row r="434" spans="2:28" ht="70.5" customHeight="1" x14ac:dyDescent="0.25">
      <c r="C434" s="1887"/>
      <c r="D434" s="1888"/>
      <c r="E434" s="1888"/>
      <c r="F434" s="1888"/>
      <c r="G434" s="1888"/>
      <c r="H434" s="1888"/>
      <c r="I434" s="1888"/>
      <c r="J434" s="1888"/>
      <c r="K434" s="1888"/>
      <c r="L434" s="1888"/>
      <c r="M434" s="1888"/>
      <c r="N434" s="4"/>
    </row>
    <row r="435" spans="2:28" x14ac:dyDescent="0.25">
      <c r="C435" s="2"/>
      <c r="D435" s="4"/>
      <c r="E435" s="4"/>
      <c r="F435" s="4"/>
      <c r="G435" s="4"/>
      <c r="H435" s="4"/>
      <c r="I435" s="4"/>
      <c r="J435" s="4"/>
      <c r="K435" s="4"/>
      <c r="L435" s="4"/>
      <c r="M435" s="4"/>
      <c r="N435" s="4"/>
    </row>
    <row r="436" spans="2:28" ht="26.25" customHeight="1" x14ac:dyDescent="0.3">
      <c r="B436" s="1762" t="s">
        <v>2099</v>
      </c>
      <c r="C436" s="853"/>
      <c r="D436" s="853"/>
      <c r="E436" s="853"/>
      <c r="F436" s="853"/>
      <c r="G436" s="853"/>
      <c r="H436" s="853"/>
      <c r="I436" s="853"/>
      <c r="J436" s="853"/>
      <c r="K436" s="853"/>
      <c r="L436" s="853"/>
      <c r="M436" s="853"/>
      <c r="N436" s="853"/>
      <c r="O436" s="853"/>
      <c r="P436" s="853"/>
      <c r="Q436" s="853"/>
      <c r="R436" s="853"/>
      <c r="S436" s="853"/>
      <c r="T436" s="853"/>
      <c r="U436" s="853"/>
      <c r="V436" s="853"/>
      <c r="W436" s="853"/>
      <c r="X436" s="853"/>
      <c r="Y436" s="853"/>
      <c r="Z436" s="853"/>
      <c r="AA436" s="853"/>
      <c r="AB436" s="853"/>
    </row>
    <row r="437" spans="2:28" ht="21" x14ac:dyDescent="0.25">
      <c r="B437" s="230"/>
      <c r="C437" s="1567"/>
    </row>
    <row r="438" spans="2:28" ht="28.5" customHeight="1" x14ac:dyDescent="0.25">
      <c r="B438" s="1"/>
      <c r="C438" s="1575" t="s">
        <v>1956</v>
      </c>
      <c r="D438" s="1574"/>
      <c r="E438" s="1576" t="s">
        <v>1957</v>
      </c>
      <c r="F438" s="1574"/>
      <c r="G438" s="1574"/>
      <c r="H438" s="1574"/>
      <c r="I438" s="1575" t="s">
        <v>1958</v>
      </c>
      <c r="J438" s="1574"/>
      <c r="K438" s="1574"/>
      <c r="L438" s="1576" t="s">
        <v>1959</v>
      </c>
      <c r="M438" s="1574"/>
      <c r="N438" s="1574"/>
      <c r="O438" s="1575" t="s">
        <v>1960</v>
      </c>
    </row>
    <row r="439" spans="2:28" ht="12.75" customHeight="1" x14ac:dyDescent="0.25">
      <c r="B439" s="1"/>
      <c r="C439" s="1577" t="s">
        <v>1961</v>
      </c>
      <c r="D439" s="1574"/>
      <c r="E439" s="1578" t="s">
        <v>1962</v>
      </c>
      <c r="F439" s="1574"/>
      <c r="G439" s="1574"/>
      <c r="H439" s="1574"/>
      <c r="I439" s="1579" t="s">
        <v>1963</v>
      </c>
      <c r="J439" s="1574"/>
      <c r="K439" s="1574"/>
      <c r="L439" s="1578" t="s">
        <v>1964</v>
      </c>
      <c r="M439" s="1574"/>
      <c r="N439" s="1574"/>
      <c r="O439" s="1577" t="s">
        <v>1965</v>
      </c>
    </row>
    <row r="440" spans="2:28" ht="12.75" customHeight="1" x14ac:dyDescent="0.25">
      <c r="B440" s="1"/>
      <c r="C440" s="1577" t="s">
        <v>1966</v>
      </c>
      <c r="D440" s="1574"/>
      <c r="E440" s="1578" t="s">
        <v>1967</v>
      </c>
      <c r="F440" s="1574"/>
      <c r="G440" s="1574"/>
      <c r="H440" s="1574"/>
      <c r="I440" s="1577" t="s">
        <v>1968</v>
      </c>
      <c r="J440" s="1574"/>
      <c r="K440" s="1574"/>
      <c r="L440" s="1578" t="s">
        <v>1969</v>
      </c>
      <c r="M440" s="1574"/>
      <c r="N440" s="1574"/>
      <c r="O440" s="1"/>
    </row>
    <row r="441" spans="2:28" ht="12.75" customHeight="1" x14ac:dyDescent="0.25">
      <c r="B441" s="1"/>
      <c r="C441" s="1577" t="s">
        <v>1970</v>
      </c>
      <c r="D441" s="1574"/>
      <c r="E441" s="1574"/>
      <c r="F441" s="1574"/>
      <c r="G441" s="1574"/>
      <c r="H441" s="1574"/>
      <c r="I441" s="1574"/>
      <c r="J441" s="1574"/>
      <c r="K441" s="1574"/>
      <c r="L441" s="1578" t="s">
        <v>1971</v>
      </c>
      <c r="M441" s="1574"/>
      <c r="N441" s="1574"/>
      <c r="O441" s="1"/>
    </row>
    <row r="442" spans="2:28" x14ac:dyDescent="0.25">
      <c r="B442" s="1"/>
      <c r="C442" s="1580"/>
      <c r="D442" s="1574"/>
      <c r="E442" s="1574"/>
      <c r="F442" s="1574"/>
      <c r="G442" s="1574"/>
      <c r="H442" s="1574"/>
      <c r="I442" s="1574"/>
      <c r="J442" s="1574"/>
      <c r="K442" s="1574"/>
      <c r="L442" s="1574"/>
      <c r="M442" s="1574"/>
      <c r="N442" s="1574"/>
      <c r="O442" s="1"/>
    </row>
    <row r="443" spans="2:28" ht="21" x14ac:dyDescent="0.25">
      <c r="B443" s="230"/>
    </row>
    <row r="444" spans="2:28" x14ac:dyDescent="0.25">
      <c r="B444" s="6"/>
    </row>
    <row r="445" spans="2:28" x14ac:dyDescent="0.25">
      <c r="D445" s="231"/>
      <c r="E445" s="231"/>
      <c r="F445" s="231"/>
      <c r="G445" s="231"/>
      <c r="H445" s="231"/>
      <c r="I445" s="231"/>
      <c r="J445" s="231"/>
      <c r="K445" s="231"/>
      <c r="L445" s="231"/>
      <c r="M445" s="231"/>
      <c r="N445" s="10"/>
    </row>
    <row r="446" spans="2:28" x14ac:dyDescent="0.25">
      <c r="C446" s="2"/>
      <c r="D446" s="4"/>
      <c r="E446" s="4"/>
      <c r="F446" s="4"/>
      <c r="G446" s="4"/>
      <c r="H446" s="4"/>
      <c r="I446" s="4"/>
      <c r="J446" s="4"/>
      <c r="K446" s="4"/>
      <c r="L446" s="4"/>
      <c r="M446" s="4"/>
      <c r="N446" s="4"/>
    </row>
  </sheetData>
  <sheetProtection password="C518" sheet="1" objects="1" scenarios="1"/>
  <mergeCells count="58">
    <mergeCell ref="B2:O2"/>
    <mergeCell ref="D432:M432"/>
    <mergeCell ref="D431:M431"/>
    <mergeCell ref="D430:M430"/>
    <mergeCell ref="D429:M429"/>
    <mergeCell ref="I356:N356"/>
    <mergeCell ref="I359:N359"/>
    <mergeCell ref="K369:K370"/>
    <mergeCell ref="I387:N387"/>
    <mergeCell ref="I390:N390"/>
    <mergeCell ref="L415:M415"/>
    <mergeCell ref="I324:N324"/>
    <mergeCell ref="K306:K307"/>
    <mergeCell ref="I327:N327"/>
    <mergeCell ref="K338:K339"/>
    <mergeCell ref="E125:F125"/>
    <mergeCell ref="H125:I125"/>
    <mergeCell ref="K125:L125"/>
    <mergeCell ref="G202:G204"/>
    <mergeCell ref="G199:G201"/>
    <mergeCell ref="X252:Y252"/>
    <mergeCell ref="X254:Y254"/>
    <mergeCell ref="L240:N240"/>
    <mergeCell ref="U249:W249"/>
    <mergeCell ref="X249:Y249"/>
    <mergeCell ref="S250:U250"/>
    <mergeCell ref="V250:W250"/>
    <mergeCell ref="X250:Y250"/>
    <mergeCell ref="V252:W252"/>
    <mergeCell ref="S252:T252"/>
    <mergeCell ref="M38:M49"/>
    <mergeCell ref="L44:L49"/>
    <mergeCell ref="L38:L43"/>
    <mergeCell ref="S254:U254"/>
    <mergeCell ref="V254:W254"/>
    <mergeCell ref="M74:M85"/>
    <mergeCell ref="L80:L85"/>
    <mergeCell ref="L74:L79"/>
    <mergeCell ref="M56:M67"/>
    <mergeCell ref="L62:L67"/>
    <mergeCell ref="L56:L61"/>
    <mergeCell ref="M18:N18"/>
    <mergeCell ref="M17:N17"/>
    <mergeCell ref="I17:I25"/>
    <mergeCell ref="H20:H22"/>
    <mergeCell ref="H17:H19"/>
    <mergeCell ref="M23:N23"/>
    <mergeCell ref="M22:N22"/>
    <mergeCell ref="M21:N21"/>
    <mergeCell ref="M20:N20"/>
    <mergeCell ref="M19:N19"/>
    <mergeCell ref="M24:N24"/>
    <mergeCell ref="K30:N30"/>
    <mergeCell ref="D27:E28"/>
    <mergeCell ref="C27:C28"/>
    <mergeCell ref="C30:D30"/>
    <mergeCell ref="M25:N25"/>
    <mergeCell ref="H23:H25"/>
  </mergeCells>
  <conditionalFormatting sqref="H319:H320">
    <cfRule type="iconSet" priority="4">
      <iconSet iconSet="5Rating" showValue="0">
        <cfvo type="percent" val="0"/>
        <cfvo type="num" val="1" gte="0"/>
        <cfvo type="num" val="2" gte="0"/>
        <cfvo type="num" val="3" gte="0"/>
        <cfvo type="num" val="4" gte="0"/>
      </iconSet>
    </cfRule>
  </conditionalFormatting>
  <conditionalFormatting sqref="H351:H352">
    <cfRule type="iconSet" priority="3">
      <iconSet iconSet="5Rating" showValue="0">
        <cfvo type="percent" val="0"/>
        <cfvo type="num" val="1" gte="0"/>
        <cfvo type="num" val="2" gte="0"/>
        <cfvo type="num" val="3" gte="0"/>
        <cfvo type="num" val="4" gte="0"/>
      </iconSet>
    </cfRule>
  </conditionalFormatting>
  <conditionalFormatting sqref="H382:H383">
    <cfRule type="iconSet" priority="2">
      <iconSet iconSet="5Rating" showValue="0">
        <cfvo type="percent" val="0"/>
        <cfvo type="num" val="1" gte="0"/>
        <cfvo type="num" val="2" gte="0"/>
        <cfvo type="num" val="3" gte="0"/>
        <cfvo type="num" val="4" gte="0"/>
      </iconSet>
    </cfRule>
  </conditionalFormatting>
  <conditionalFormatting sqref="M416:M417">
    <cfRule type="iconSet" priority="1">
      <iconSet iconSet="5Rating" showValue="0">
        <cfvo type="percent" val="0"/>
        <cfvo type="num" val="1" gte="0"/>
        <cfvo type="num" val="2" gte="0"/>
        <cfvo type="num" val="3" gte="0"/>
        <cfvo type="num" val="4" gte="0"/>
      </iconSet>
    </cfRule>
  </conditionalFormatting>
  <conditionalFormatting sqref="O149:O151 O155:O157">
    <cfRule type="expression" dxfId="2" priority="6">
      <formula>$O149=2</formula>
    </cfRule>
    <cfRule type="expression" dxfId="1" priority="7">
      <formula>$O149=3</formula>
    </cfRule>
    <cfRule type="expression" dxfId="0" priority="8">
      <formula>$O149=4</formula>
    </cfRule>
  </conditionalFormatting>
  <conditionalFormatting sqref="Z250 Z252 Z254">
    <cfRule type="iconSet" priority="5">
      <iconSet iconSet="5Rating" showValue="0">
        <cfvo type="percent" val="0"/>
        <cfvo type="num" val="1" gte="0"/>
        <cfvo type="num" val="2" gte="0"/>
        <cfvo type="num" val="3" gte="0"/>
        <cfvo type="num" val="4" gte="0"/>
      </iconSet>
    </cfRule>
  </conditionalFormatting>
  <pageMargins left="0.70866141732283472" right="0.51181102362204722" top="0.55118110236220474" bottom="0.74803149606299213" header="0.31496062992125984" footer="0.31496062992125984"/>
  <pageSetup paperSize="3" scale="49" fitToHeight="0" orientation="landscape" r:id="rId1"/>
  <headerFooter>
    <oddFooter>&amp;L&amp;10Version 1.0    © CERIU, 2023&amp;R&amp;10Onglet CALCULS Eau
Page &amp;P de &amp;N</oddFooter>
  </headerFooter>
  <ignoredErrors>
    <ignoredError sqref="E19 E22 D47" formula="1"/>
  </ignoredError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2060"/>
    <pageSetUpPr fitToPage="1"/>
  </sheetPr>
  <dimension ref="B1:AW85"/>
  <sheetViews>
    <sheetView showGridLines="0" zoomScaleNormal="100" workbookViewId="0">
      <selection activeCell="A2" sqref="A2"/>
    </sheetView>
  </sheetViews>
  <sheetFormatPr baseColWidth="10" defaultRowHeight="15" x14ac:dyDescent="0.25"/>
  <cols>
    <col min="1" max="1" width="1.42578125" style="28" customWidth="1"/>
    <col min="2" max="3" width="2" style="28" customWidth="1"/>
    <col min="4" max="4" width="16.85546875" style="28" customWidth="1"/>
    <col min="5" max="5" width="19.85546875" style="28" customWidth="1"/>
    <col min="6" max="6" width="26.42578125" style="28" customWidth="1"/>
    <col min="7" max="7" width="6" style="28" customWidth="1"/>
    <col min="8" max="8" width="1.85546875" style="28" customWidth="1"/>
    <col min="9" max="9" width="2" style="28" customWidth="1"/>
    <col min="10" max="10" width="1.85546875" style="28" customWidth="1"/>
    <col min="11" max="11" width="1.140625" style="28" customWidth="1"/>
    <col min="12" max="12" width="1.85546875" style="28" customWidth="1"/>
    <col min="13" max="14" width="2" style="28" customWidth="1"/>
    <col min="15" max="15" width="17" style="28" customWidth="1"/>
    <col min="16" max="16" width="45.7109375" style="28" customWidth="1"/>
    <col min="17" max="17" width="4.7109375" style="28" customWidth="1"/>
    <col min="18" max="20" width="1.85546875" style="28" customWidth="1"/>
    <col min="21" max="21" width="6.85546875" style="28" customWidth="1"/>
    <col min="22" max="23" width="1.85546875" style="28" customWidth="1"/>
    <col min="24" max="24" width="2" style="28" customWidth="1"/>
    <col min="25" max="25" width="16.85546875" style="28" customWidth="1"/>
    <col min="26" max="26" width="35.7109375" style="28" customWidth="1"/>
    <col min="27" max="27" width="4.7109375" style="28" customWidth="1"/>
    <col min="28" max="29" width="1.85546875" style="28" customWidth="1"/>
    <col min="30" max="30" width="2" style="28" customWidth="1"/>
    <col min="31" max="31" width="1.140625" style="28" customWidth="1"/>
    <col min="32" max="32" width="2" style="28" customWidth="1"/>
    <col min="33" max="33" width="2.28515625" style="28" customWidth="1"/>
    <col min="34" max="35" width="1.5703125" style="28" customWidth="1"/>
    <col min="36" max="36" width="9.42578125" style="28" customWidth="1"/>
    <col min="37" max="37" width="7.85546875" style="28" customWidth="1"/>
    <col min="38" max="38" width="1" style="28" customWidth="1"/>
    <col min="39" max="39" width="4.140625" style="28" customWidth="1"/>
    <col min="40" max="40" width="9.140625" style="28" customWidth="1"/>
    <col min="41" max="41" width="4.140625" style="28" customWidth="1"/>
    <col min="42" max="42" width="9.140625" style="28" customWidth="1"/>
    <col min="43" max="43" width="4.140625" style="28" customWidth="1"/>
    <col min="44" max="44" width="9.42578125" style="28" customWidth="1"/>
    <col min="45" max="45" width="4.7109375" style="28" customWidth="1"/>
    <col min="46" max="46" width="1" style="28" customWidth="1"/>
    <col min="47" max="47" width="2" style="28" customWidth="1"/>
    <col min="48" max="48" width="1.7109375" style="28" customWidth="1"/>
    <col min="49" max="49" width="17.28515625" style="28" customWidth="1"/>
    <col min="50" max="16384" width="11.42578125" style="28"/>
  </cols>
  <sheetData>
    <row r="1" spans="2:48" ht="2.25" customHeight="1" x14ac:dyDescent="0.25"/>
    <row r="2" spans="2:48" ht="26.25" customHeight="1" x14ac:dyDescent="0.35">
      <c r="B2" s="2194"/>
      <c r="C2" s="2211" t="str">
        <f>CONCATENATE('CALCULS Eau'!C6,'CALCULS Eau'!G6)</f>
        <v xml:space="preserve">MUNICIPALITÉ:  </v>
      </c>
      <c r="D2" s="2195"/>
      <c r="E2" s="2195"/>
      <c r="F2" s="2196"/>
      <c r="G2" s="2196"/>
      <c r="H2" s="2197"/>
      <c r="I2" s="2197"/>
      <c r="J2" s="2197"/>
      <c r="K2" s="2197"/>
      <c r="L2" s="2197"/>
      <c r="M2" s="2197"/>
      <c r="N2" s="2198"/>
      <c r="O2" s="3513" t="s">
        <v>1972</v>
      </c>
      <c r="P2" s="3513"/>
      <c r="Q2" s="3513"/>
      <c r="R2" s="3513"/>
      <c r="S2" s="3513"/>
      <c r="T2" s="3513"/>
      <c r="U2" s="3513"/>
      <c r="V2" s="3513"/>
      <c r="W2" s="3513"/>
      <c r="X2" s="3513"/>
      <c r="Y2" s="3513"/>
      <c r="Z2" s="3513"/>
      <c r="AA2" s="2198"/>
      <c r="AB2" s="2198"/>
      <c r="AC2" s="2198"/>
      <c r="AD2" s="2198"/>
      <c r="AE2" s="2198"/>
      <c r="AF2" s="2198"/>
      <c r="AG2" s="2198"/>
      <c r="AH2" s="2198"/>
      <c r="AI2" s="2198"/>
      <c r="AJ2" s="2198"/>
      <c r="AK2" s="2198"/>
      <c r="AL2" s="2198"/>
      <c r="AM2" s="2198"/>
      <c r="AN2" s="2198"/>
      <c r="AO2" s="2198"/>
      <c r="AP2" s="2198"/>
      <c r="AQ2" s="2198"/>
      <c r="AR2" s="2198"/>
      <c r="AS2" s="2198"/>
      <c r="AT2" s="2214" t="str">
        <f>CONCATENATE('CALCULS Eau'!C9,'CALCULS Eau'!G9)</f>
        <v xml:space="preserve">ANNÉE DU PGA:  </v>
      </c>
      <c r="AU2" s="2197"/>
      <c r="AV2" s="33"/>
    </row>
    <row r="3" spans="2:48" ht="16.5" customHeight="1" x14ac:dyDescent="0.35">
      <c r="B3" s="2194"/>
      <c r="C3" s="2212" t="str">
        <f>CONCATENATE('CALCULS Eau'!C8,'CALCULS Eau'!G8)</f>
        <v xml:space="preserve">RÉGION ADMINISTRATIVE:  </v>
      </c>
      <c r="D3" s="2195"/>
      <c r="E3" s="2195"/>
      <c r="F3" s="2196"/>
      <c r="G3" s="2196"/>
      <c r="H3" s="2197"/>
      <c r="I3" s="2197"/>
      <c r="J3" s="2197"/>
      <c r="K3" s="2197"/>
      <c r="L3" s="2197"/>
      <c r="M3" s="2197"/>
      <c r="N3" s="2199"/>
      <c r="O3" s="3514" t="s">
        <v>1973</v>
      </c>
      <c r="P3" s="3514"/>
      <c r="Q3" s="3514"/>
      <c r="R3" s="3514"/>
      <c r="S3" s="3514"/>
      <c r="T3" s="3514"/>
      <c r="U3" s="3514"/>
      <c r="V3" s="3514"/>
      <c r="W3" s="3514"/>
      <c r="X3" s="3514"/>
      <c r="Y3" s="3514"/>
      <c r="Z3" s="3514"/>
      <c r="AA3" s="2199"/>
      <c r="AB3" s="2199"/>
      <c r="AC3" s="2199"/>
      <c r="AD3" s="2199"/>
      <c r="AE3" s="2199"/>
      <c r="AF3" s="2199"/>
      <c r="AG3" s="2199"/>
      <c r="AH3" s="2199"/>
      <c r="AI3" s="2199"/>
      <c r="AJ3" s="2199"/>
      <c r="AK3" s="2199"/>
      <c r="AL3" s="2199"/>
      <c r="AM3" s="2199"/>
      <c r="AN3" s="2199"/>
      <c r="AO3" s="2199"/>
      <c r="AP3" s="2199"/>
      <c r="AQ3" s="2199"/>
      <c r="AR3" s="2199"/>
      <c r="AS3" s="2199"/>
      <c r="AT3" s="2213" t="str">
        <f>CONCATENATE('CALCULS Eau'!G10,'CALCULS Eau'!H10,'CALCULS Eau'!I10)</f>
        <v>( PGA remis par la municipalité)</v>
      </c>
      <c r="AU3" s="2197"/>
      <c r="AV3" s="33"/>
    </row>
    <row r="4" spans="2:48" ht="18.75" customHeight="1" x14ac:dyDescent="0.25">
      <c r="B4" s="2194"/>
      <c r="C4" s="2212" t="str">
        <f>CONCATENATE('CALCULS Eau'!C7,'CALCULS Eau'!G7)</f>
        <v xml:space="preserve">CODE GÉOGRAPHIQUE:  </v>
      </c>
      <c r="D4" s="2195"/>
      <c r="E4" s="2195"/>
      <c r="F4" s="2196"/>
      <c r="G4" s="2196"/>
      <c r="H4" s="2200"/>
      <c r="I4" s="2200"/>
      <c r="J4" s="2200"/>
      <c r="K4" s="2200"/>
      <c r="L4" s="2200"/>
      <c r="M4" s="2200"/>
      <c r="N4" s="2199"/>
      <c r="O4" s="3514"/>
      <c r="P4" s="3514"/>
      <c r="Q4" s="3514"/>
      <c r="R4" s="3514"/>
      <c r="S4" s="3514"/>
      <c r="T4" s="3514"/>
      <c r="U4" s="3514"/>
      <c r="V4" s="3514"/>
      <c r="W4" s="3514"/>
      <c r="X4" s="3514"/>
      <c r="Y4" s="3514"/>
      <c r="Z4" s="3514"/>
      <c r="AA4" s="2199"/>
      <c r="AB4" s="2199"/>
      <c r="AC4" s="2199"/>
      <c r="AD4" s="2199"/>
      <c r="AE4" s="2199"/>
      <c r="AF4" s="2199"/>
      <c r="AG4" s="2199"/>
      <c r="AH4" s="2199"/>
      <c r="AI4" s="2199"/>
      <c r="AJ4" s="2199"/>
      <c r="AK4" s="2199"/>
      <c r="AL4" s="2199"/>
      <c r="AM4" s="2199"/>
      <c r="AN4" s="2199"/>
      <c r="AO4" s="2199"/>
      <c r="AP4" s="2199"/>
      <c r="AQ4" s="2213" t="str">
        <f>'CALCULS Eau'!C11</f>
        <v>En date du:</v>
      </c>
      <c r="AR4" s="3487">
        <f>'CALCULS Eau'!G11</f>
        <v>0</v>
      </c>
      <c r="AS4" s="3488"/>
      <c r="AT4" s="3488"/>
      <c r="AU4" s="2200"/>
      <c r="AV4" s="35"/>
    </row>
    <row r="5" spans="2:48" ht="7.5" customHeight="1" x14ac:dyDescent="0.25">
      <c r="B5" s="2194"/>
      <c r="C5" s="2201"/>
      <c r="D5" s="2195"/>
      <c r="E5" s="2195"/>
      <c r="F5" s="2196"/>
      <c r="G5" s="2196"/>
      <c r="H5" s="2200"/>
      <c r="I5" s="2200"/>
      <c r="J5" s="2200"/>
      <c r="K5" s="2200"/>
      <c r="L5" s="2200"/>
      <c r="M5" s="2200"/>
      <c r="N5" s="2199"/>
      <c r="O5" s="2202"/>
      <c r="P5" s="2202"/>
      <c r="Q5" s="2202"/>
      <c r="R5" s="2202"/>
      <c r="S5" s="2202"/>
      <c r="T5" s="2202"/>
      <c r="U5" s="2202"/>
      <c r="V5" s="2202"/>
      <c r="W5" s="2202"/>
      <c r="X5" s="2202"/>
      <c r="Y5" s="2202"/>
      <c r="Z5" s="2202"/>
      <c r="AA5" s="2199"/>
      <c r="AB5" s="2199"/>
      <c r="AC5" s="2199"/>
      <c r="AD5" s="2199"/>
      <c r="AE5" s="2199"/>
      <c r="AF5" s="2199"/>
      <c r="AG5" s="2199"/>
      <c r="AH5" s="2199"/>
      <c r="AI5" s="2199"/>
      <c r="AJ5" s="2199"/>
      <c r="AK5" s="2199"/>
      <c r="AL5" s="2199"/>
      <c r="AM5" s="2199"/>
      <c r="AN5" s="2199"/>
      <c r="AO5" s="2199"/>
      <c r="AP5" s="2199"/>
      <c r="AQ5" s="2199"/>
      <c r="AR5" s="2199"/>
      <c r="AS5" s="2199"/>
      <c r="AT5" s="2203"/>
      <c r="AU5" s="2200"/>
      <c r="AV5" s="35"/>
    </row>
    <row r="6" spans="2:48" ht="24" customHeight="1" x14ac:dyDescent="0.25">
      <c r="B6" s="2724" t="str">
        <f>IF((IDENTIFICATION!G93='MENU DÉROULANT'!C10),"NOTE: La municipalité a fait le choix d'intégrer sa gestion des infrastructures d'eaux pluviales avec celles des eaux usées. Le présent sommaire ne contient donc pas de","")</f>
        <v/>
      </c>
      <c r="Q6" s="2725" t="str">
        <f>IF((IDENTIFICATION!G93='MENU DÉROULANT'!C10)," résultats pour les eaux pluviales, et le terme Eaux usées utilisé dans les légendes de cet onglet réfère donc à Eaux usées &amp; pluviales.","")</f>
        <v/>
      </c>
      <c r="AJ6" s="2531"/>
      <c r="AK6" s="2531"/>
      <c r="AL6" s="2531"/>
      <c r="AM6" s="2531"/>
      <c r="AN6" s="2814" t="s">
        <v>2149</v>
      </c>
      <c r="AO6" s="2814"/>
      <c r="AP6" s="2814"/>
      <c r="AQ6" s="2814"/>
      <c r="AR6" s="2814"/>
      <c r="AS6" s="2814"/>
      <c r="AT6" s="2814"/>
      <c r="AU6" s="2814"/>
    </row>
    <row r="7" spans="2:48" ht="7.5" customHeight="1" x14ac:dyDescent="0.25">
      <c r="AJ7" s="2531"/>
      <c r="AK7" s="2531"/>
      <c r="AL7" s="2531"/>
      <c r="AM7" s="2531"/>
      <c r="AN7" s="2531"/>
      <c r="AO7" s="2531"/>
      <c r="AP7" s="2531"/>
      <c r="AQ7" s="2531"/>
      <c r="AR7" s="2531"/>
      <c r="AS7" s="2531"/>
      <c r="AT7" s="2531"/>
      <c r="AU7" s="2531"/>
    </row>
    <row r="8" spans="2:48" ht="25.5" customHeight="1" x14ac:dyDescent="0.25">
      <c r="B8" s="2186"/>
      <c r="C8" s="2187" t="s">
        <v>1999</v>
      </c>
      <c r="D8" s="2188"/>
      <c r="E8" s="2188"/>
      <c r="F8" s="2188"/>
      <c r="G8" s="2188"/>
      <c r="H8" s="2188"/>
      <c r="I8" s="2188"/>
      <c r="J8" s="55"/>
      <c r="K8" s="2204"/>
      <c r="L8" s="55"/>
      <c r="M8" s="2186"/>
      <c r="N8" s="2187" t="s">
        <v>2080</v>
      </c>
      <c r="O8" s="2188"/>
      <c r="P8" s="2188"/>
      <c r="Q8" s="2188"/>
      <c r="R8" s="2188"/>
      <c r="S8" s="2188"/>
      <c r="T8" s="2188"/>
      <c r="U8" s="2188"/>
      <c r="V8" s="2188"/>
      <c r="W8" s="2188"/>
      <c r="X8" s="2188"/>
      <c r="Y8" s="2188"/>
      <c r="Z8" s="2188"/>
      <c r="AA8" s="2188"/>
      <c r="AB8" s="2188"/>
      <c r="AC8" s="2188"/>
      <c r="AD8" s="55"/>
      <c r="AE8" s="2204"/>
      <c r="AF8" s="55"/>
      <c r="AG8" s="2188"/>
      <c r="AH8" s="2187" t="s">
        <v>2098</v>
      </c>
      <c r="AI8" s="2187"/>
      <c r="AJ8" s="2188"/>
      <c r="AK8" s="2188"/>
      <c r="AL8" s="2188"/>
      <c r="AM8" s="2188"/>
      <c r="AN8" s="2189"/>
      <c r="AO8" s="2189"/>
      <c r="AP8" s="2188"/>
      <c r="AQ8" s="2188"/>
      <c r="AR8" s="2188"/>
      <c r="AS8" s="2188"/>
      <c r="AT8" s="2190"/>
      <c r="AU8" s="2188"/>
    </row>
    <row r="9" spans="2:48" ht="6.75" customHeight="1" x14ac:dyDescent="0.25">
      <c r="K9" s="2204"/>
      <c r="L9" s="59"/>
      <c r="AD9" s="55"/>
      <c r="AE9" s="2204"/>
      <c r="AF9" s="55"/>
    </row>
    <row r="10" spans="2:48" ht="12" customHeight="1" x14ac:dyDescent="0.25">
      <c r="B10" s="1581"/>
      <c r="C10" s="1582"/>
      <c r="D10" s="1582"/>
      <c r="E10" s="1582"/>
      <c r="F10" s="1582"/>
      <c r="G10" s="1582"/>
      <c r="H10" s="1582"/>
      <c r="I10" s="1583"/>
      <c r="J10" s="1584"/>
      <c r="K10" s="2205"/>
      <c r="L10" s="59"/>
      <c r="M10" s="1585"/>
      <c r="N10" s="1586"/>
      <c r="O10" s="1582"/>
      <c r="P10" s="1582"/>
      <c r="Q10" s="1582"/>
      <c r="R10" s="1582"/>
      <c r="S10" s="1582"/>
      <c r="T10" s="1582"/>
      <c r="U10" s="1582"/>
      <c r="V10" s="1582"/>
      <c r="W10" s="1582"/>
      <c r="X10" s="1582"/>
      <c r="Y10" s="1582"/>
      <c r="Z10" s="1582"/>
      <c r="AA10" s="1582"/>
      <c r="AB10" s="1582"/>
      <c r="AC10" s="1582"/>
      <c r="AD10" s="181"/>
      <c r="AE10" s="2204"/>
      <c r="AF10" s="59"/>
      <c r="AG10" s="1581"/>
      <c r="AH10" s="1582"/>
      <c r="AI10" s="1582"/>
      <c r="AJ10" s="1582"/>
      <c r="AK10" s="1582"/>
      <c r="AL10" s="1582"/>
      <c r="AM10" s="1582"/>
      <c r="AN10" s="1582"/>
      <c r="AO10" s="1582"/>
      <c r="AP10" s="1582"/>
      <c r="AQ10" s="1582"/>
      <c r="AR10" s="1582"/>
      <c r="AS10" s="1582"/>
      <c r="AT10" s="1582"/>
      <c r="AU10" s="1583"/>
      <c r="AV10" s="43"/>
    </row>
    <row r="11" spans="2:48" ht="9.75" customHeight="1" x14ac:dyDescent="0.25">
      <c r="B11" s="1587"/>
      <c r="C11" s="45"/>
      <c r="D11" s="46"/>
      <c r="E11" s="46"/>
      <c r="F11" s="46"/>
      <c r="G11" s="3503">
        <f>'CALCULS Eau'!I17</f>
        <v>0</v>
      </c>
      <c r="H11" s="47"/>
      <c r="I11" s="1588"/>
      <c r="J11" s="1584"/>
      <c r="K11" s="2205"/>
      <c r="L11" s="59"/>
      <c r="M11" s="1589"/>
      <c r="N11" s="1590"/>
      <c r="O11" s="46"/>
      <c r="P11" s="46"/>
      <c r="Q11" s="46"/>
      <c r="R11" s="46"/>
      <c r="S11" s="46"/>
      <c r="T11" s="46"/>
      <c r="U11" s="46"/>
      <c r="V11" s="46"/>
      <c r="W11" s="1591"/>
      <c r="X11" s="46"/>
      <c r="Y11" s="46"/>
      <c r="Z11" s="46"/>
      <c r="AA11" s="46"/>
      <c r="AB11" s="46"/>
      <c r="AC11" s="1592"/>
      <c r="AD11" s="59"/>
      <c r="AE11" s="2204"/>
      <c r="AF11" s="59"/>
      <c r="AG11" s="1587"/>
      <c r="AH11" s="45"/>
      <c r="AI11" s="46"/>
      <c r="AJ11" s="46"/>
      <c r="AK11" s="46"/>
      <c r="AL11" s="46"/>
      <c r="AM11" s="1688"/>
      <c r="AN11" s="46"/>
      <c r="AO11" s="46"/>
      <c r="AP11" s="46"/>
      <c r="AQ11" s="46"/>
      <c r="AR11" s="46"/>
      <c r="AS11" s="46"/>
      <c r="AT11" s="47"/>
      <c r="AU11" s="1593"/>
      <c r="AV11" s="43"/>
    </row>
    <row r="12" spans="2:48" ht="19.5" customHeight="1" x14ac:dyDescent="0.3">
      <c r="B12" s="1587"/>
      <c r="C12" s="50"/>
      <c r="D12" s="51" t="s">
        <v>1830</v>
      </c>
      <c r="E12" s="51"/>
      <c r="F12" s="52"/>
      <c r="G12" s="3504"/>
      <c r="H12" s="450"/>
      <c r="I12" s="1594"/>
      <c r="J12" s="1595"/>
      <c r="K12" s="2204"/>
      <c r="L12" s="55"/>
      <c r="M12" s="1589"/>
      <c r="N12" s="1596"/>
      <c r="O12" s="1689" t="s">
        <v>1985</v>
      </c>
      <c r="P12" s="221"/>
      <c r="Q12" s="221"/>
      <c r="R12" s="221"/>
      <c r="S12" s="221"/>
      <c r="T12" s="221"/>
      <c r="U12" s="1864">
        <f>'CALCULS Eau'!G202</f>
        <v>0</v>
      </c>
      <c r="V12" s="25"/>
      <c r="W12" s="1597"/>
      <c r="X12" s="53"/>
      <c r="Y12" s="51" t="s">
        <v>2081</v>
      </c>
      <c r="Z12" s="25"/>
      <c r="AA12" s="1864">
        <f>'CALCULS Eau'!M244</f>
        <v>0</v>
      </c>
      <c r="AB12" s="25"/>
      <c r="AC12" s="1598"/>
      <c r="AD12" s="25"/>
      <c r="AE12" s="2204"/>
      <c r="AF12" s="25"/>
      <c r="AG12" s="1690"/>
      <c r="AH12" s="1691"/>
      <c r="AI12" s="1689" t="s">
        <v>1980</v>
      </c>
      <c r="AL12" s="25"/>
      <c r="AM12" s="58"/>
      <c r="AP12" s="52"/>
      <c r="AQ12" s="52"/>
      <c r="AR12" s="52"/>
      <c r="AS12" s="59"/>
      <c r="AT12" s="61"/>
      <c r="AU12" s="1593"/>
      <c r="AV12" s="43"/>
    </row>
    <row r="13" spans="2:48" ht="14.25" customHeight="1" x14ac:dyDescent="0.3">
      <c r="B13" s="1587"/>
      <c r="C13" s="50"/>
      <c r="D13" s="62"/>
      <c r="E13" s="62"/>
      <c r="F13" s="52"/>
      <c r="G13" s="60"/>
      <c r="H13" s="450"/>
      <c r="I13" s="1594"/>
      <c r="J13" s="1599"/>
      <c r="K13" s="2206"/>
      <c r="L13" s="54"/>
      <c r="M13" s="1589"/>
      <c r="N13" s="1596"/>
      <c r="O13" s="221"/>
      <c r="P13" s="221"/>
      <c r="Q13" s="221"/>
      <c r="R13" s="221"/>
      <c r="S13" s="221"/>
      <c r="T13" s="221"/>
      <c r="U13" s="27"/>
      <c r="V13" s="25"/>
      <c r="W13" s="1597"/>
      <c r="X13" s="53"/>
      <c r="Y13" s="2220" t="s">
        <v>2082</v>
      </c>
      <c r="Z13" s="25"/>
      <c r="AA13" s="25"/>
      <c r="AB13" s="25"/>
      <c r="AC13" s="1598"/>
      <c r="AD13" s="25"/>
      <c r="AE13" s="2204"/>
      <c r="AF13" s="25"/>
      <c r="AG13" s="1692"/>
      <c r="AH13" s="604"/>
      <c r="AI13" s="25"/>
      <c r="AJ13" s="58"/>
      <c r="AK13" s="58"/>
      <c r="AL13" s="25"/>
      <c r="AM13" s="58"/>
      <c r="AN13" s="52"/>
      <c r="AO13" s="52"/>
      <c r="AP13" s="52"/>
      <c r="AQ13" s="52"/>
      <c r="AR13" s="52"/>
      <c r="AS13" s="59"/>
      <c r="AT13" s="61"/>
      <c r="AU13" s="1600"/>
      <c r="AV13" s="43"/>
    </row>
    <row r="14" spans="2:48" ht="21" customHeight="1" x14ac:dyDescent="0.3">
      <c r="B14" s="1587"/>
      <c r="C14" s="50"/>
      <c r="D14" s="62"/>
      <c r="E14" s="62"/>
      <c r="F14" s="52"/>
      <c r="G14" s="60"/>
      <c r="H14" s="450"/>
      <c r="I14" s="1594"/>
      <c r="J14" s="1599"/>
      <c r="K14" s="2206"/>
      <c r="L14" s="54"/>
      <c r="M14" s="1601"/>
      <c r="N14" s="1602"/>
      <c r="O14" s="1693"/>
      <c r="P14" s="25"/>
      <c r="Q14" s="25"/>
      <c r="R14" s="25"/>
      <c r="S14" s="25"/>
      <c r="T14" s="25"/>
      <c r="U14" s="55"/>
      <c r="V14" s="25"/>
      <c r="W14" s="1597"/>
      <c r="X14" s="53"/>
      <c r="Y14" s="1693"/>
      <c r="Z14" s="25"/>
      <c r="AA14" s="25"/>
      <c r="AB14" s="25"/>
      <c r="AC14" s="1598"/>
      <c r="AD14" s="25"/>
      <c r="AE14" s="2204"/>
      <c r="AF14" s="25"/>
      <c r="AG14" s="1692"/>
      <c r="AH14" s="604"/>
      <c r="AI14" s="25"/>
      <c r="AJ14" s="58"/>
      <c r="AK14" s="58"/>
      <c r="AL14" s="25"/>
      <c r="AM14" s="3506" t="s">
        <v>1981</v>
      </c>
      <c r="AN14" s="3507"/>
      <c r="AO14" s="3510" t="s">
        <v>1982</v>
      </c>
      <c r="AP14" s="3511"/>
      <c r="AQ14" s="3501" t="s">
        <v>1983</v>
      </c>
      <c r="AR14" s="3502"/>
      <c r="AS14" s="25"/>
      <c r="AT14" s="61"/>
      <c r="AU14" s="1593"/>
      <c r="AV14" s="43"/>
    </row>
    <row r="15" spans="2:48" s="72" customFormat="1" ht="7.5" customHeight="1" x14ac:dyDescent="0.25">
      <c r="B15" s="1603"/>
      <c r="C15" s="64"/>
      <c r="D15" s="221"/>
      <c r="E15" s="221"/>
      <c r="F15" s="221"/>
      <c r="G15" s="221"/>
      <c r="H15" s="67"/>
      <c r="I15" s="1604"/>
      <c r="J15" s="1605"/>
      <c r="K15" s="2207"/>
      <c r="L15" s="66"/>
      <c r="M15" s="1601"/>
      <c r="N15" s="68"/>
      <c r="O15" s="1606"/>
      <c r="P15" s="1606"/>
      <c r="Q15" s="1606"/>
      <c r="R15" s="1606"/>
      <c r="S15" s="1606"/>
      <c r="T15" s="1606"/>
      <c r="U15" s="3508"/>
      <c r="V15" s="66"/>
      <c r="W15" s="1607"/>
      <c r="X15" s="66"/>
      <c r="Y15" s="1606"/>
      <c r="Z15" s="1606"/>
      <c r="AA15" s="1606"/>
      <c r="AB15" s="1606"/>
      <c r="AC15" s="1608"/>
      <c r="AD15" s="1606"/>
      <c r="AE15" s="2204"/>
      <c r="AF15" s="1606"/>
      <c r="AG15" s="1694"/>
      <c r="AH15" s="3493"/>
      <c r="AI15" s="1695"/>
      <c r="AJ15" s="66"/>
      <c r="AK15" s="66"/>
      <c r="AL15" s="1695"/>
      <c r="AM15" s="1696"/>
      <c r="AN15" s="1697"/>
      <c r="AO15" s="66"/>
      <c r="AP15" s="66"/>
      <c r="AQ15" s="68"/>
      <c r="AR15" s="67"/>
      <c r="AS15" s="59"/>
      <c r="AT15" s="69"/>
      <c r="AU15" s="1609"/>
      <c r="AV15" s="71"/>
    </row>
    <row r="16" spans="2:48" s="72" customFormat="1" ht="18" customHeight="1" x14ac:dyDescent="0.3">
      <c r="B16" s="1603"/>
      <c r="C16" s="64"/>
      <c r="D16" s="221"/>
      <c r="E16" s="221"/>
      <c r="F16" s="221"/>
      <c r="G16" s="221"/>
      <c r="H16" s="67"/>
      <c r="I16" s="1604"/>
      <c r="J16" s="1605"/>
      <c r="K16" s="2207"/>
      <c r="L16" s="66"/>
      <c r="M16" s="1610"/>
      <c r="N16" s="1611"/>
      <c r="O16" s="66"/>
      <c r="P16" s="1549"/>
      <c r="Q16" s="1549"/>
      <c r="R16" s="1549"/>
      <c r="S16" s="1549"/>
      <c r="T16" s="1549"/>
      <c r="U16" s="3508"/>
      <c r="V16" s="66"/>
      <c r="W16" s="1607"/>
      <c r="X16" s="66"/>
      <c r="Y16" s="66"/>
      <c r="Z16" s="1549"/>
      <c r="AA16" s="1549"/>
      <c r="AB16" s="1549"/>
      <c r="AC16" s="1608"/>
      <c r="AD16" s="1549"/>
      <c r="AE16" s="2204"/>
      <c r="AF16" s="1549"/>
      <c r="AG16" s="1698"/>
      <c r="AH16" s="3493"/>
      <c r="AI16" s="1695"/>
      <c r="AJ16" s="3509" t="s">
        <v>21</v>
      </c>
      <c r="AK16" s="3509"/>
      <c r="AL16" s="1699"/>
      <c r="AM16" s="1700" t="str">
        <f>'CALCULS Eau'!D$292</f>
        <v/>
      </c>
      <c r="AN16" s="1701"/>
      <c r="AO16" s="1612" t="str">
        <f>'CALCULS Eau'!E$292</f>
        <v/>
      </c>
      <c r="AP16" s="1702"/>
      <c r="AQ16" s="1700" t="str">
        <f>'CALCULS Eau'!F$292</f>
        <v/>
      </c>
      <c r="AR16" s="1701"/>
      <c r="AT16" s="69"/>
      <c r="AU16" s="1609"/>
      <c r="AV16" s="71"/>
    </row>
    <row r="17" spans="2:49" s="72" customFormat="1" ht="18" customHeight="1" x14ac:dyDescent="0.3">
      <c r="B17" s="1603"/>
      <c r="C17" s="64"/>
      <c r="D17" s="221"/>
      <c r="E17" s="221"/>
      <c r="F17" s="221"/>
      <c r="G17" s="221"/>
      <c r="H17" s="67"/>
      <c r="I17" s="1604"/>
      <c r="J17" s="1605"/>
      <c r="K17" s="2207"/>
      <c r="L17" s="66"/>
      <c r="M17" s="1610"/>
      <c r="N17" s="1611"/>
      <c r="O17" s="66"/>
      <c r="P17" s="1549"/>
      <c r="Q17" s="1549"/>
      <c r="R17" s="1549"/>
      <c r="S17" s="1549"/>
      <c r="T17" s="1549"/>
      <c r="U17" s="66"/>
      <c r="V17" s="66"/>
      <c r="W17" s="1607"/>
      <c r="X17" s="66"/>
      <c r="Y17" s="66"/>
      <c r="Z17" s="1549"/>
      <c r="AA17" s="1549"/>
      <c r="AB17" s="1549"/>
      <c r="AC17" s="1608"/>
      <c r="AD17" s="1549"/>
      <c r="AE17" s="2204"/>
      <c r="AF17" s="1549"/>
      <c r="AG17" s="1698"/>
      <c r="AH17" s="68"/>
      <c r="AI17" s="66"/>
      <c r="AJ17" s="3515" t="s">
        <v>14</v>
      </c>
      <c r="AK17" s="3515"/>
      <c r="AL17" s="1703"/>
      <c r="AM17" s="1704" t="str">
        <f>'CALCULS Eau'!D$293</f>
        <v/>
      </c>
      <c r="AN17" s="1705"/>
      <c r="AO17" s="1613" t="str">
        <f>'CALCULS Eau'!E$293</f>
        <v/>
      </c>
      <c r="AP17" s="1706"/>
      <c r="AQ17" s="1704" t="str">
        <f>'CALCULS Eau'!F$293</f>
        <v/>
      </c>
      <c r="AR17" s="1705"/>
      <c r="AS17" s="59"/>
      <c r="AT17" s="69"/>
      <c r="AU17" s="1609"/>
      <c r="AV17" s="71"/>
    </row>
    <row r="18" spans="2:49" s="72" customFormat="1" ht="18" customHeight="1" x14ac:dyDescent="0.3">
      <c r="B18" s="1603"/>
      <c r="C18" s="64"/>
      <c r="D18" s="221"/>
      <c r="E18" s="221"/>
      <c r="F18" s="221"/>
      <c r="G18" s="221"/>
      <c r="H18" s="67"/>
      <c r="I18" s="1604"/>
      <c r="J18" s="1605"/>
      <c r="K18" s="2207"/>
      <c r="L18" s="66"/>
      <c r="M18" s="1610"/>
      <c r="N18" s="1611"/>
      <c r="O18" s="66"/>
      <c r="P18" s="1549"/>
      <c r="Q18" s="1549"/>
      <c r="R18" s="1549"/>
      <c r="S18" s="1549"/>
      <c r="T18" s="1549"/>
      <c r="U18" s="66"/>
      <c r="V18" s="66"/>
      <c r="W18" s="1607"/>
      <c r="X18" s="66"/>
      <c r="Y18" s="66"/>
      <c r="Z18" s="1549"/>
      <c r="AA18" s="1549"/>
      <c r="AB18" s="1549"/>
      <c r="AC18" s="1608"/>
      <c r="AD18" s="1549"/>
      <c r="AE18" s="2204"/>
      <c r="AF18" s="1549"/>
      <c r="AG18" s="1698"/>
      <c r="AH18" s="68"/>
      <c r="AI18" s="66"/>
      <c r="AJ18" s="3516" t="s">
        <v>17</v>
      </c>
      <c r="AK18" s="3516"/>
      <c r="AL18" s="1707"/>
      <c r="AM18" s="1708" t="str">
        <f>'CALCULS Eau'!D$294</f>
        <v/>
      </c>
      <c r="AN18" s="1709"/>
      <c r="AO18" s="1614" t="str">
        <f>'CALCULS Eau'!E$294</f>
        <v/>
      </c>
      <c r="AP18" s="1710"/>
      <c r="AQ18" s="1708" t="str">
        <f>'CALCULS Eau'!F$294</f>
        <v/>
      </c>
      <c r="AR18" s="1709"/>
      <c r="AT18" s="69"/>
      <c r="AU18" s="1609"/>
      <c r="AV18" s="71"/>
    </row>
    <row r="19" spans="2:49" s="72" customFormat="1" ht="18" customHeight="1" x14ac:dyDescent="0.3">
      <c r="B19" s="1603"/>
      <c r="C19" s="64"/>
      <c r="D19" s="221"/>
      <c r="E19" s="221"/>
      <c r="F19" s="221"/>
      <c r="G19" s="221"/>
      <c r="H19" s="67"/>
      <c r="I19" s="1604"/>
      <c r="J19" s="1605"/>
      <c r="K19" s="2207"/>
      <c r="L19" s="66"/>
      <c r="M19" s="1610"/>
      <c r="N19" s="1611"/>
      <c r="O19" s="66"/>
      <c r="P19" s="1549"/>
      <c r="Q19" s="1549"/>
      <c r="R19" s="1549"/>
      <c r="S19" s="1549"/>
      <c r="T19" s="1549"/>
      <c r="U19" s="66"/>
      <c r="V19" s="66"/>
      <c r="W19" s="1607"/>
      <c r="X19" s="66"/>
      <c r="Y19" s="66"/>
      <c r="Z19" s="1549"/>
      <c r="AA19" s="1549"/>
      <c r="AB19" s="1549"/>
      <c r="AC19" s="1608"/>
      <c r="AD19" s="1549"/>
      <c r="AE19" s="2204"/>
      <c r="AF19" s="1549"/>
      <c r="AG19" s="1698"/>
      <c r="AH19" s="68"/>
      <c r="AI19" s="66"/>
      <c r="AJ19" s="3512" t="s">
        <v>19</v>
      </c>
      <c r="AK19" s="3512"/>
      <c r="AL19" s="1711"/>
      <c r="AM19" s="1712" t="str">
        <f>'CALCULS Eau'!D$295</f>
        <v/>
      </c>
      <c r="AN19" s="1713"/>
      <c r="AO19" s="1615" t="str">
        <f>'CALCULS Eau'!E$295</f>
        <v/>
      </c>
      <c r="AP19" s="1714"/>
      <c r="AQ19" s="1712" t="str">
        <f>'CALCULS Eau'!F$295</f>
        <v/>
      </c>
      <c r="AR19" s="1713"/>
      <c r="AT19" s="69"/>
      <c r="AU19" s="1609"/>
      <c r="AV19" s="71"/>
    </row>
    <row r="20" spans="2:49" s="72" customFormat="1" ht="18" customHeight="1" x14ac:dyDescent="0.3">
      <c r="B20" s="1603"/>
      <c r="C20" s="64"/>
      <c r="D20" s="221"/>
      <c r="E20" s="221"/>
      <c r="F20" s="221"/>
      <c r="G20" s="221"/>
      <c r="H20" s="67"/>
      <c r="I20" s="1604"/>
      <c r="J20" s="1605"/>
      <c r="K20" s="2207"/>
      <c r="L20" s="66"/>
      <c r="M20" s="1610"/>
      <c r="N20" s="1611"/>
      <c r="O20" s="66"/>
      <c r="P20" s="1549"/>
      <c r="Q20" s="1549"/>
      <c r="R20" s="1549"/>
      <c r="S20" s="1549"/>
      <c r="T20" s="1549"/>
      <c r="U20" s="66"/>
      <c r="V20" s="66"/>
      <c r="W20" s="1607"/>
      <c r="X20" s="66"/>
      <c r="Y20" s="66"/>
      <c r="Z20" s="1549"/>
      <c r="AA20" s="1549"/>
      <c r="AB20" s="1549"/>
      <c r="AC20" s="1608"/>
      <c r="AD20" s="1549"/>
      <c r="AE20" s="2204"/>
      <c r="AF20" s="1549"/>
      <c r="AG20" s="1698"/>
      <c r="AH20" s="68"/>
      <c r="AI20" s="66"/>
      <c r="AJ20" s="3500" t="s">
        <v>13</v>
      </c>
      <c r="AK20" s="3500"/>
      <c r="AL20" s="1715"/>
      <c r="AM20" s="1716" t="str">
        <f>'CALCULS Eau'!D$296</f>
        <v/>
      </c>
      <c r="AN20" s="1717"/>
      <c r="AO20" s="1623" t="str">
        <f>'CALCULS Eau'!E$296</f>
        <v/>
      </c>
      <c r="AP20" s="1718"/>
      <c r="AQ20" s="1716" t="str">
        <f>'CALCULS Eau'!F$296</f>
        <v/>
      </c>
      <c r="AR20" s="1717"/>
      <c r="AT20" s="69"/>
      <c r="AU20" s="1609"/>
      <c r="AV20" s="71"/>
    </row>
    <row r="21" spans="2:49" s="72" customFormat="1" ht="9" customHeight="1" x14ac:dyDescent="0.3">
      <c r="B21" s="1603"/>
      <c r="C21" s="64"/>
      <c r="D21" s="221"/>
      <c r="E21" s="221"/>
      <c r="F21" s="221"/>
      <c r="G21" s="221"/>
      <c r="H21" s="67"/>
      <c r="I21" s="1604"/>
      <c r="J21" s="1605"/>
      <c r="K21" s="2207"/>
      <c r="L21" s="66"/>
      <c r="M21" s="1610"/>
      <c r="N21" s="1611"/>
      <c r="O21" s="66"/>
      <c r="P21" s="1549"/>
      <c r="Q21" s="1549"/>
      <c r="R21" s="1549"/>
      <c r="S21" s="1549"/>
      <c r="T21" s="1549"/>
      <c r="U21" s="66"/>
      <c r="V21" s="66"/>
      <c r="W21" s="1607"/>
      <c r="X21" s="66"/>
      <c r="Y21" s="66"/>
      <c r="Z21" s="1549"/>
      <c r="AA21" s="1549"/>
      <c r="AB21" s="1549"/>
      <c r="AC21" s="1608"/>
      <c r="AD21" s="1549"/>
      <c r="AE21" s="2204"/>
      <c r="AF21" s="1549"/>
      <c r="AG21" s="1698"/>
      <c r="AH21" s="68"/>
      <c r="AI21" s="66"/>
      <c r="AJ21" s="1548"/>
      <c r="AK21" s="1548"/>
      <c r="AL21" s="76"/>
      <c r="AM21" s="1719"/>
      <c r="AN21" s="1720"/>
      <c r="AO21" s="1548"/>
      <c r="AP21" s="1548"/>
      <c r="AQ21" s="1719"/>
      <c r="AR21" s="1720"/>
      <c r="AT21" s="69"/>
      <c r="AU21" s="1609"/>
      <c r="AV21" s="71"/>
    </row>
    <row r="22" spans="2:49" s="72" customFormat="1" ht="18.75" customHeight="1" x14ac:dyDescent="0.25">
      <c r="B22" s="1603"/>
      <c r="C22" s="64"/>
      <c r="D22" s="221"/>
      <c r="E22" s="221"/>
      <c r="F22" s="221"/>
      <c r="G22" s="221"/>
      <c r="H22" s="1616"/>
      <c r="I22" s="1617"/>
      <c r="J22" s="1618"/>
      <c r="K22" s="2208"/>
      <c r="L22" s="73"/>
      <c r="M22" s="1619"/>
      <c r="N22" s="1620"/>
      <c r="O22" s="76"/>
      <c r="P22" s="78"/>
      <c r="Q22" s="78"/>
      <c r="R22" s="78"/>
      <c r="S22" s="78"/>
      <c r="T22" s="78"/>
      <c r="U22" s="76"/>
      <c r="V22" s="76"/>
      <c r="W22" s="1621"/>
      <c r="X22" s="76"/>
      <c r="Y22" s="76"/>
      <c r="Z22" s="78"/>
      <c r="AA22" s="78"/>
      <c r="AB22" s="78"/>
      <c r="AC22" s="1622"/>
      <c r="AD22" s="78"/>
      <c r="AE22" s="2204"/>
      <c r="AF22" s="78"/>
      <c r="AG22" s="1721"/>
      <c r="AH22" s="80"/>
      <c r="AI22" s="76"/>
      <c r="AJ22" s="3483" t="s">
        <v>122</v>
      </c>
      <c r="AK22" s="3483"/>
      <c r="AL22" s="76"/>
      <c r="AM22" s="2488" t="e">
        <f>'CALCULS Eau'!E285</f>
        <v>#DIV/0!</v>
      </c>
      <c r="AN22" s="2496" t="s">
        <v>1974</v>
      </c>
      <c r="AO22" s="2215" t="e">
        <f>'CALCULS Eau'!E286</f>
        <v>#DIV/0!</v>
      </c>
      <c r="AP22" s="2497" t="s">
        <v>1974</v>
      </c>
      <c r="AQ22" s="2218" t="e">
        <f>'CALCULS Eau'!E287</f>
        <v>#DIV/0!</v>
      </c>
      <c r="AR22" s="2498" t="s">
        <v>1974</v>
      </c>
      <c r="AT22" s="84"/>
      <c r="AU22" s="1609"/>
      <c r="AV22" s="71"/>
    </row>
    <row r="23" spans="2:49" s="72" customFormat="1" ht="7.5" customHeight="1" x14ac:dyDescent="0.25">
      <c r="B23" s="1603"/>
      <c r="C23" s="64"/>
      <c r="D23" s="221"/>
      <c r="E23" s="221"/>
      <c r="F23" s="221"/>
      <c r="G23" s="221"/>
      <c r="H23" s="1616"/>
      <c r="I23" s="1617"/>
      <c r="J23" s="1618"/>
      <c r="K23" s="2208"/>
      <c r="L23" s="73"/>
      <c r="M23" s="1619"/>
      <c r="N23" s="1620"/>
      <c r="O23" s="76"/>
      <c r="P23" s="78"/>
      <c r="Q23" s="78"/>
      <c r="R23" s="78"/>
      <c r="S23" s="78"/>
      <c r="T23" s="78"/>
      <c r="U23" s="76"/>
      <c r="V23" s="76"/>
      <c r="W23" s="1621"/>
      <c r="X23" s="76"/>
      <c r="Y23" s="76"/>
      <c r="Z23" s="78"/>
      <c r="AA23" s="78"/>
      <c r="AB23" s="78"/>
      <c r="AC23" s="1627"/>
      <c r="AD23" s="78"/>
      <c r="AE23" s="2204"/>
      <c r="AF23" s="78"/>
      <c r="AG23" s="1721"/>
      <c r="AH23" s="80"/>
      <c r="AI23" s="76"/>
      <c r="AM23" s="1722"/>
      <c r="AN23" s="1722"/>
      <c r="AO23" s="1722"/>
      <c r="AP23" s="1722"/>
      <c r="AQ23" s="1722"/>
      <c r="AR23" s="1722"/>
      <c r="AS23" s="82"/>
      <c r="AT23" s="84"/>
      <c r="AU23" s="1609"/>
      <c r="AV23" s="71"/>
    </row>
    <row r="24" spans="2:49" s="72" customFormat="1" ht="15" customHeight="1" x14ac:dyDescent="0.25">
      <c r="B24" s="1603"/>
      <c r="C24" s="64"/>
      <c r="D24" s="221"/>
      <c r="E24" s="221"/>
      <c r="F24" s="221"/>
      <c r="G24" s="221"/>
      <c r="H24" s="1616"/>
      <c r="I24" s="1617"/>
      <c r="J24" s="1618"/>
      <c r="K24" s="2208"/>
      <c r="L24" s="73"/>
      <c r="M24" s="1619"/>
      <c r="N24" s="1620"/>
      <c r="O24" s="76"/>
      <c r="P24" s="78"/>
      <c r="Q24" s="78"/>
      <c r="R24" s="78"/>
      <c r="S24" s="78"/>
      <c r="T24" s="78"/>
      <c r="U24" s="76"/>
      <c r="V24" s="76"/>
      <c r="W24" s="1621"/>
      <c r="X24" s="76"/>
      <c r="Y24" s="76"/>
      <c r="Z24" s="78"/>
      <c r="AA24" s="78"/>
      <c r="AB24" s="78"/>
      <c r="AC24" s="1627"/>
      <c r="AD24" s="78"/>
      <c r="AE24" s="2204"/>
      <c r="AF24" s="78"/>
      <c r="AG24" s="1721"/>
      <c r="AH24" s="80"/>
      <c r="AI24" s="76"/>
      <c r="AS24" s="82"/>
      <c r="AT24" s="84"/>
      <c r="AU24" s="1609"/>
      <c r="AV24" s="71"/>
    </row>
    <row r="25" spans="2:49" s="72" customFormat="1" ht="19.5" customHeight="1" x14ac:dyDescent="0.25">
      <c r="B25" s="1603"/>
      <c r="C25" s="64"/>
      <c r="D25" s="221"/>
      <c r="E25" s="221"/>
      <c r="F25" s="221"/>
      <c r="G25" s="221"/>
      <c r="H25" s="1616"/>
      <c r="I25" s="1617"/>
      <c r="J25" s="1618"/>
      <c r="K25" s="2208"/>
      <c r="L25" s="73"/>
      <c r="M25" s="1619"/>
      <c r="N25" s="1620"/>
      <c r="O25" s="76"/>
      <c r="P25" s="78"/>
      <c r="Q25" s="78"/>
      <c r="R25" s="78"/>
      <c r="S25" s="78"/>
      <c r="T25" s="78"/>
      <c r="U25" s="76"/>
      <c r="V25" s="76"/>
      <c r="W25" s="1621"/>
      <c r="X25" s="76"/>
      <c r="Y25" s="76"/>
      <c r="Z25" s="78"/>
      <c r="AA25" s="78"/>
      <c r="AB25" s="78"/>
      <c r="AC25" s="1627"/>
      <c r="AD25" s="78"/>
      <c r="AE25" s="2204"/>
      <c r="AF25" s="78"/>
      <c r="AG25" s="1721"/>
      <c r="AH25" s="80"/>
      <c r="AI25" s="76"/>
      <c r="AJ25" s="1575"/>
      <c r="AK25" s="1548"/>
      <c r="AL25" s="76"/>
      <c r="AM25" s="1548"/>
      <c r="AN25" s="1548"/>
      <c r="AO25" s="1548"/>
      <c r="AP25" s="1548"/>
      <c r="AQ25" s="1548"/>
      <c r="AR25" s="1548"/>
      <c r="AS25" s="82"/>
      <c r="AT25" s="84"/>
      <c r="AU25" s="1609"/>
      <c r="AV25" s="71"/>
      <c r="AW25" s="1723"/>
    </row>
    <row r="26" spans="2:49" s="72" customFormat="1" ht="9.75" customHeight="1" x14ac:dyDescent="0.25">
      <c r="B26" s="1603"/>
      <c r="C26" s="64"/>
      <c r="D26" s="3517"/>
      <c r="E26" s="3517"/>
      <c r="F26" s="3517"/>
      <c r="G26" s="1724"/>
      <c r="H26" s="1616"/>
      <c r="I26" s="1617"/>
      <c r="J26" s="1618"/>
      <c r="K26" s="2208"/>
      <c r="L26" s="73"/>
      <c r="M26" s="1619"/>
      <c r="N26" s="1620"/>
      <c r="O26" s="1606"/>
      <c r="P26" s="1606"/>
      <c r="Q26" s="1606"/>
      <c r="R26" s="1606"/>
      <c r="S26" s="1606"/>
      <c r="T26" s="1606"/>
      <c r="U26" s="1725"/>
      <c r="V26" s="76"/>
      <c r="W26" s="1621"/>
      <c r="X26" s="76"/>
      <c r="Y26" s="1606"/>
      <c r="Z26" s="1606"/>
      <c r="AA26" s="1606"/>
      <c r="AB26" s="1606"/>
      <c r="AC26" s="1627"/>
      <c r="AD26" s="1606"/>
      <c r="AE26" s="2204"/>
      <c r="AF26" s="1606"/>
      <c r="AG26" s="1694"/>
      <c r="AH26" s="1726"/>
      <c r="AI26" s="1695"/>
      <c r="AJ26" s="1548"/>
      <c r="AK26" s="1548"/>
      <c r="AL26" s="1725"/>
      <c r="AM26" s="1548"/>
      <c r="AN26" s="1548"/>
      <c r="AO26" s="1548"/>
      <c r="AP26" s="1548"/>
      <c r="AQ26" s="1548"/>
      <c r="AR26" s="1548"/>
      <c r="AS26" s="82"/>
      <c r="AT26" s="84"/>
      <c r="AU26" s="1609"/>
      <c r="AV26" s="71"/>
    </row>
    <row r="27" spans="2:49" s="72" customFormat="1" ht="15" customHeight="1" x14ac:dyDescent="0.3">
      <c r="B27" s="1603"/>
      <c r="C27" s="1628"/>
      <c r="D27" s="1629"/>
      <c r="E27" s="1629"/>
      <c r="F27" s="1629"/>
      <c r="G27" s="1629"/>
      <c r="H27" s="1630"/>
      <c r="I27" s="1617"/>
      <c r="J27" s="1618"/>
      <c r="K27" s="2208"/>
      <c r="L27" s="73"/>
      <c r="M27" s="1619"/>
      <c r="N27" s="1727"/>
      <c r="O27" s="1728"/>
      <c r="P27" s="1729"/>
      <c r="Q27" s="1729"/>
      <c r="R27" s="1729"/>
      <c r="S27" s="1729"/>
      <c r="T27" s="1729"/>
      <c r="U27" s="1730"/>
      <c r="V27" s="1731"/>
      <c r="W27" s="1732"/>
      <c r="X27" s="132"/>
      <c r="Y27" s="66"/>
      <c r="Z27" s="1549"/>
      <c r="AA27" s="1725"/>
      <c r="AB27" s="79"/>
      <c r="AC27" s="1733"/>
      <c r="AD27" s="1549"/>
      <c r="AE27" s="2204"/>
      <c r="AF27" s="1549"/>
      <c r="AG27" s="1698"/>
      <c r="AH27" s="1730"/>
      <c r="AI27" s="1734"/>
      <c r="AJ27" s="1735"/>
      <c r="AK27" s="1735"/>
      <c r="AL27" s="1730"/>
      <c r="AM27" s="1735"/>
      <c r="AN27" s="1735"/>
      <c r="AO27" s="1736"/>
      <c r="AP27" s="1727"/>
      <c r="AQ27" s="1727"/>
      <c r="AR27" s="1728"/>
      <c r="AS27" s="1727"/>
      <c r="AT27" s="1727"/>
      <c r="AU27" s="1737"/>
      <c r="AV27" s="71"/>
    </row>
    <row r="28" spans="2:49" s="72" customFormat="1" ht="10.5" customHeight="1" x14ac:dyDescent="0.3">
      <c r="B28" s="1632"/>
      <c r="C28" s="64"/>
      <c r="D28" s="1631"/>
      <c r="E28" s="1631"/>
      <c r="F28" s="1631"/>
      <c r="G28" s="3503">
        <f>'CALCULS Eau'!M93</f>
        <v>0</v>
      </c>
      <c r="H28" s="1616"/>
      <c r="I28" s="1634"/>
      <c r="J28" s="73"/>
      <c r="K28" s="2208"/>
      <c r="L28" s="73"/>
      <c r="M28" s="1619"/>
      <c r="N28" s="132"/>
      <c r="O28" s="66"/>
      <c r="P28" s="1549"/>
      <c r="Q28" s="1549"/>
      <c r="R28" s="1549"/>
      <c r="S28" s="1549"/>
      <c r="T28" s="1549"/>
      <c r="U28" s="66"/>
      <c r="V28" s="79"/>
      <c r="W28" s="1634"/>
      <c r="X28" s="76"/>
      <c r="Y28" s="66"/>
      <c r="Z28" s="1549"/>
      <c r="AA28" s="1549"/>
      <c r="AB28" s="1549"/>
      <c r="AC28" s="1627"/>
      <c r="AD28" s="1549"/>
      <c r="AE28" s="2204"/>
      <c r="AF28" s="1549"/>
      <c r="AG28" s="1698"/>
      <c r="AH28" s="68"/>
      <c r="AI28" s="66"/>
      <c r="AJ28" s="1548"/>
      <c r="AK28" s="1548"/>
      <c r="AL28" s="66"/>
      <c r="AM28" s="1548"/>
      <c r="AN28" s="1548"/>
      <c r="AO28" s="66"/>
      <c r="AP28" s="66"/>
      <c r="AQ28" s="66"/>
      <c r="AR28" s="66"/>
      <c r="AS28" s="59"/>
      <c r="AT28" s="84"/>
      <c r="AU28" s="1609"/>
      <c r="AV28" s="71"/>
    </row>
    <row r="29" spans="2:49" s="72" customFormat="1" ht="19.5" customHeight="1" x14ac:dyDescent="0.3">
      <c r="B29" s="1603"/>
      <c r="C29" s="64"/>
      <c r="D29" s="51" t="s">
        <v>51</v>
      </c>
      <c r="E29" s="221"/>
      <c r="F29" s="221"/>
      <c r="G29" s="3504"/>
      <c r="H29" s="1616"/>
      <c r="I29" s="1617"/>
      <c r="J29" s="1618"/>
      <c r="K29" s="2208"/>
      <c r="L29" s="73"/>
      <c r="M29" s="1619"/>
      <c r="N29" s="1620"/>
      <c r="O29" s="51" t="s">
        <v>1986</v>
      </c>
      <c r="P29" s="1549"/>
      <c r="Q29" s="1549"/>
      <c r="R29" s="1549"/>
      <c r="S29" s="1549"/>
      <c r="T29" s="1549"/>
      <c r="U29" s="1864">
        <f>'CALCULS Eau'!G202</f>
        <v>0</v>
      </c>
      <c r="V29" s="76"/>
      <c r="W29" s="1621"/>
      <c r="X29" s="76"/>
      <c r="Y29" s="1689"/>
      <c r="Z29" s="1549"/>
      <c r="AB29" s="1549"/>
      <c r="AC29" s="1627"/>
      <c r="AD29" s="1549"/>
      <c r="AE29" s="2204"/>
      <c r="AF29" s="1549"/>
      <c r="AG29" s="1698"/>
      <c r="AH29" s="68"/>
      <c r="AI29" s="1689" t="s">
        <v>1984</v>
      </c>
      <c r="AJ29" s="1548"/>
      <c r="AK29" s="1548"/>
      <c r="AL29" s="66"/>
      <c r="AM29" s="1548"/>
      <c r="AN29" s="1548"/>
      <c r="AO29" s="1738"/>
      <c r="AP29" s="1738"/>
      <c r="AQ29" s="82"/>
      <c r="AR29" s="66"/>
      <c r="AS29" s="82"/>
      <c r="AT29" s="84"/>
      <c r="AU29" s="1609"/>
      <c r="AV29" s="71"/>
    </row>
    <row r="30" spans="2:49" s="72" customFormat="1" ht="9.75" customHeight="1" x14ac:dyDescent="0.3">
      <c r="B30" s="1603"/>
      <c r="C30" s="64"/>
      <c r="D30" s="51"/>
      <c r="E30" s="51"/>
      <c r="F30" s="221"/>
      <c r="G30" s="1633"/>
      <c r="H30" s="1616"/>
      <c r="I30" s="1617"/>
      <c r="J30" s="1618"/>
      <c r="K30" s="2208"/>
      <c r="L30" s="73"/>
      <c r="M30" s="1619"/>
      <c r="N30" s="1620"/>
      <c r="O30" s="66"/>
      <c r="P30" s="1549"/>
      <c r="Q30" s="1549"/>
      <c r="R30" s="1549"/>
      <c r="S30" s="1549"/>
      <c r="T30" s="1549"/>
      <c r="U30" s="66"/>
      <c r="V30" s="76"/>
      <c r="W30" s="1621"/>
      <c r="X30" s="76"/>
      <c r="Y30" s="66"/>
      <c r="Z30" s="1549"/>
      <c r="AA30" s="1549"/>
      <c r="AB30" s="1549"/>
      <c r="AC30" s="1627"/>
      <c r="AD30" s="1549"/>
      <c r="AE30" s="2204"/>
      <c r="AF30" s="1549"/>
      <c r="AG30" s="1698"/>
      <c r="AH30" s="68"/>
      <c r="AI30" s="66"/>
      <c r="AJ30" s="1548"/>
      <c r="AK30" s="1548"/>
      <c r="AL30" s="66"/>
      <c r="AM30" s="1548"/>
      <c r="AN30" s="1548"/>
      <c r="AO30" s="3505"/>
      <c r="AP30" s="3505"/>
      <c r="AQ30" s="82"/>
      <c r="AR30" s="66"/>
      <c r="AS30" s="82"/>
      <c r="AT30" s="84"/>
      <c r="AU30" s="1609"/>
      <c r="AV30" s="71"/>
    </row>
    <row r="31" spans="2:49" s="72" customFormat="1" ht="21" customHeight="1" x14ac:dyDescent="0.3">
      <c r="B31" s="1603"/>
      <c r="C31" s="64"/>
      <c r="D31" s="221"/>
      <c r="E31" s="221"/>
      <c r="F31" s="221"/>
      <c r="G31" s="1633"/>
      <c r="H31" s="1616"/>
      <c r="I31" s="1617"/>
      <c r="J31" s="1618"/>
      <c r="K31" s="2208"/>
      <c r="L31" s="73"/>
      <c r="M31" s="1619"/>
      <c r="N31" s="1620"/>
      <c r="P31" s="1549"/>
      <c r="Q31" s="1549"/>
      <c r="R31" s="1549"/>
      <c r="S31" s="1549"/>
      <c r="T31" s="1549"/>
      <c r="U31" s="66"/>
      <c r="V31" s="76"/>
      <c r="W31" s="1621"/>
      <c r="X31" s="76"/>
      <c r="Y31" s="66"/>
      <c r="Z31" s="1549"/>
      <c r="AA31" s="1549"/>
      <c r="AB31" s="1549"/>
      <c r="AC31" s="1627"/>
      <c r="AD31" s="1549"/>
      <c r="AE31" s="2204"/>
      <c r="AF31" s="1549"/>
      <c r="AG31" s="1698"/>
      <c r="AH31" s="68"/>
      <c r="AI31" s="66"/>
      <c r="AJ31" s="1548"/>
      <c r="AK31" s="1548"/>
      <c r="AL31" s="66"/>
      <c r="AM31" s="3495" t="s">
        <v>1981</v>
      </c>
      <c r="AN31" s="3496"/>
      <c r="AO31" s="3497" t="s">
        <v>1982</v>
      </c>
      <c r="AP31" s="3498"/>
      <c r="AQ31" s="3489" t="s">
        <v>1983</v>
      </c>
      <c r="AR31" s="3490"/>
      <c r="AS31" s="82"/>
      <c r="AT31" s="84"/>
      <c r="AU31" s="1609"/>
      <c r="AV31" s="71"/>
    </row>
    <row r="32" spans="2:49" s="72" customFormat="1" ht="7.5" customHeight="1" x14ac:dyDescent="0.3">
      <c r="B32" s="1603"/>
      <c r="C32" s="64"/>
      <c r="D32" s="221"/>
      <c r="E32" s="221"/>
      <c r="F32" s="221"/>
      <c r="G32" s="221"/>
      <c r="H32" s="1616"/>
      <c r="I32" s="1617"/>
      <c r="J32" s="1618"/>
      <c r="K32" s="2208"/>
      <c r="L32" s="73"/>
      <c r="M32" s="1619"/>
      <c r="N32" s="1620"/>
      <c r="P32" s="1549"/>
      <c r="Q32" s="1549"/>
      <c r="R32" s="1549"/>
      <c r="S32" s="1549"/>
      <c r="T32" s="1549"/>
      <c r="U32" s="66"/>
      <c r="V32" s="76"/>
      <c r="W32" s="1621"/>
      <c r="X32" s="76"/>
      <c r="Y32" s="66"/>
      <c r="Z32" s="1549"/>
      <c r="AA32" s="1549"/>
      <c r="AB32" s="1549"/>
      <c r="AC32" s="1627"/>
      <c r="AD32" s="1549"/>
      <c r="AE32" s="2204"/>
      <c r="AF32" s="1549"/>
      <c r="AG32" s="1698"/>
      <c r="AH32" s="68"/>
      <c r="AI32" s="66"/>
      <c r="AJ32" s="1548"/>
      <c r="AK32" s="1548"/>
      <c r="AL32" s="66"/>
      <c r="AM32" s="1739"/>
      <c r="AN32" s="1740"/>
      <c r="AO32" s="1741"/>
      <c r="AP32" s="1742"/>
      <c r="AQ32" s="1741"/>
      <c r="AR32" s="1742"/>
      <c r="AS32" s="82"/>
      <c r="AT32" s="84"/>
      <c r="AU32" s="1609"/>
      <c r="AV32" s="71"/>
    </row>
    <row r="33" spans="2:48" s="72" customFormat="1" ht="18" customHeight="1" x14ac:dyDescent="0.25">
      <c r="B33" s="1603"/>
      <c r="C33" s="64"/>
      <c r="D33" s="221"/>
      <c r="E33" s="221"/>
      <c r="F33" s="221"/>
      <c r="G33" s="221"/>
      <c r="H33" s="1616"/>
      <c r="I33" s="1617"/>
      <c r="J33" s="1618"/>
      <c r="K33" s="2208"/>
      <c r="L33" s="73"/>
      <c r="M33" s="1619"/>
      <c r="N33" s="1620"/>
      <c r="P33" s="78"/>
      <c r="Q33" s="78"/>
      <c r="R33" s="78"/>
      <c r="S33" s="78"/>
      <c r="T33" s="78"/>
      <c r="U33" s="76"/>
      <c r="V33" s="76"/>
      <c r="W33" s="1621"/>
      <c r="X33" s="76"/>
      <c r="Y33" s="1164"/>
      <c r="Z33" s="78"/>
      <c r="AA33" s="78"/>
      <c r="AB33" s="78"/>
      <c r="AC33" s="1627"/>
      <c r="AD33" s="78"/>
      <c r="AE33" s="2204"/>
      <c r="AF33" s="78"/>
      <c r="AG33" s="1721"/>
      <c r="AH33" s="80"/>
      <c r="AI33" s="76"/>
      <c r="AJ33" s="3491" t="s">
        <v>22</v>
      </c>
      <c r="AK33" s="3491"/>
      <c r="AL33" s="3491"/>
      <c r="AM33" s="1743" t="str">
        <f>'CALCULS Eau'!J$292</f>
        <v/>
      </c>
      <c r="AN33" s="1744"/>
      <c r="AO33" s="1743" t="str">
        <f>'CALCULS Eau'!K$292</f>
        <v/>
      </c>
      <c r="AP33" s="1744"/>
      <c r="AQ33" s="1743" t="str">
        <f>'CALCULS Eau'!L$292</f>
        <v/>
      </c>
      <c r="AR33" s="1744"/>
      <c r="AS33" s="82"/>
      <c r="AT33" s="84"/>
      <c r="AU33" s="1609"/>
      <c r="AV33" s="71"/>
    </row>
    <row r="34" spans="2:48" s="72" customFormat="1" ht="18" customHeight="1" x14ac:dyDescent="0.25">
      <c r="B34" s="1603"/>
      <c r="C34" s="64"/>
      <c r="D34" s="221"/>
      <c r="E34" s="221"/>
      <c r="F34" s="221"/>
      <c r="G34" s="221"/>
      <c r="H34" s="1616"/>
      <c r="I34" s="1617"/>
      <c r="J34" s="1618"/>
      <c r="K34" s="2208"/>
      <c r="L34" s="73"/>
      <c r="M34" s="1619"/>
      <c r="N34" s="1620"/>
      <c r="P34" s="25"/>
      <c r="Q34" s="25"/>
      <c r="R34" s="25"/>
      <c r="S34" s="25"/>
      <c r="T34" s="25"/>
      <c r="U34" s="25"/>
      <c r="V34" s="76"/>
      <c r="W34" s="1621"/>
      <c r="X34" s="76"/>
      <c r="Y34" s="1693"/>
      <c r="Z34" s="25"/>
      <c r="AA34" s="25"/>
      <c r="AB34" s="25"/>
      <c r="AC34" s="1627"/>
      <c r="AD34" s="25"/>
      <c r="AE34" s="2204"/>
      <c r="AF34" s="25"/>
      <c r="AG34" s="1692"/>
      <c r="AH34" s="604"/>
      <c r="AI34" s="25"/>
      <c r="AJ34" s="3492" t="s">
        <v>20</v>
      </c>
      <c r="AK34" s="3492"/>
      <c r="AL34" s="3492"/>
      <c r="AM34" s="1745" t="str">
        <f>'CALCULS Eau'!J$293</f>
        <v/>
      </c>
      <c r="AN34" s="1746"/>
      <c r="AO34" s="1745" t="str">
        <f>'CALCULS Eau'!K$293</f>
        <v/>
      </c>
      <c r="AP34" s="1746"/>
      <c r="AQ34" s="1745" t="str">
        <f>'CALCULS Eau'!L$293</f>
        <v/>
      </c>
      <c r="AR34" s="1746"/>
      <c r="AS34" s="25"/>
      <c r="AT34" s="84"/>
      <c r="AU34" s="1609"/>
      <c r="AV34" s="71"/>
    </row>
    <row r="35" spans="2:48" s="72" customFormat="1" ht="18" customHeight="1" x14ac:dyDescent="0.25">
      <c r="B35" s="1603"/>
      <c r="C35" s="64"/>
      <c r="D35" s="221"/>
      <c r="E35" s="221"/>
      <c r="F35" s="221"/>
      <c r="G35" s="221"/>
      <c r="H35" s="1616"/>
      <c r="I35" s="1617"/>
      <c r="J35" s="1618"/>
      <c r="K35" s="2208"/>
      <c r="L35" s="73"/>
      <c r="M35" s="1619"/>
      <c r="N35" s="1620"/>
      <c r="P35" s="1606"/>
      <c r="Q35" s="1606"/>
      <c r="R35" s="1606"/>
      <c r="S35" s="1606"/>
      <c r="T35" s="1606"/>
      <c r="U35" s="1725"/>
      <c r="V35" s="76"/>
      <c r="W35" s="1621"/>
      <c r="X35" s="76"/>
      <c r="Y35" s="66"/>
      <c r="Z35" s="1606"/>
      <c r="AA35" s="1606"/>
      <c r="AB35" s="1606"/>
      <c r="AC35" s="1627"/>
      <c r="AD35" s="1606"/>
      <c r="AE35" s="2204"/>
      <c r="AF35" s="1606"/>
      <c r="AG35" s="1694"/>
      <c r="AH35" s="3493"/>
      <c r="AI35" s="1695"/>
      <c r="AJ35" s="3494" t="s">
        <v>18</v>
      </c>
      <c r="AK35" s="3494"/>
      <c r="AL35" s="3494"/>
      <c r="AM35" s="1747" t="str">
        <f>'CALCULS Eau'!J$294</f>
        <v/>
      </c>
      <c r="AN35" s="1748"/>
      <c r="AO35" s="1747" t="str">
        <f>'CALCULS Eau'!K$294</f>
        <v/>
      </c>
      <c r="AP35" s="1748"/>
      <c r="AQ35" s="1747" t="str">
        <f>'CALCULS Eau'!L$294</f>
        <v/>
      </c>
      <c r="AR35" s="1748"/>
      <c r="AS35" s="82"/>
      <c r="AT35" s="84"/>
      <c r="AU35" s="1609"/>
      <c r="AV35" s="71"/>
    </row>
    <row r="36" spans="2:48" s="72" customFormat="1" ht="18" customHeight="1" x14ac:dyDescent="0.3">
      <c r="B36" s="1603"/>
      <c r="C36" s="64"/>
      <c r="D36" s="221"/>
      <c r="E36" s="221"/>
      <c r="F36" s="221"/>
      <c r="G36" s="221"/>
      <c r="H36" s="1616"/>
      <c r="I36" s="1617"/>
      <c r="J36" s="1618"/>
      <c r="K36" s="2208"/>
      <c r="L36" s="73"/>
      <c r="M36" s="1619"/>
      <c r="N36" s="1620"/>
      <c r="P36" s="76"/>
      <c r="Q36" s="76"/>
      <c r="R36" s="76"/>
      <c r="S36" s="76"/>
      <c r="T36" s="76"/>
      <c r="U36" s="1725"/>
      <c r="V36" s="76"/>
      <c r="W36" s="1621"/>
      <c r="X36" s="76"/>
      <c r="Y36" s="76"/>
      <c r="Z36" s="1549"/>
      <c r="AA36" s="1549"/>
      <c r="AB36" s="1549"/>
      <c r="AC36" s="1627"/>
      <c r="AD36" s="1549"/>
      <c r="AE36" s="2204"/>
      <c r="AF36" s="1549"/>
      <c r="AG36" s="1698"/>
      <c r="AH36" s="3493"/>
      <c r="AI36" s="1695"/>
      <c r="AJ36" s="3499" t="s">
        <v>15</v>
      </c>
      <c r="AK36" s="3499"/>
      <c r="AL36" s="3499"/>
      <c r="AM36" s="1749" t="str">
        <f>'CALCULS Eau'!J$295</f>
        <v/>
      </c>
      <c r="AN36" s="1750"/>
      <c r="AO36" s="1749" t="str">
        <f>'CALCULS Eau'!K$295</f>
        <v/>
      </c>
      <c r="AP36" s="1750"/>
      <c r="AQ36" s="1749" t="str">
        <f>'CALCULS Eau'!L$295</f>
        <v/>
      </c>
      <c r="AR36" s="1750"/>
      <c r="AS36" s="82"/>
      <c r="AT36" s="84"/>
      <c r="AU36" s="1609"/>
      <c r="AV36" s="71"/>
    </row>
    <row r="37" spans="2:48" s="72" customFormat="1" ht="18" customHeight="1" x14ac:dyDescent="0.3">
      <c r="B37" s="1603"/>
      <c r="C37" s="64"/>
      <c r="D37" s="221"/>
      <c r="E37" s="221"/>
      <c r="F37" s="221"/>
      <c r="G37" s="221"/>
      <c r="H37" s="1616"/>
      <c r="I37" s="1617"/>
      <c r="J37" s="1618"/>
      <c r="K37" s="2208"/>
      <c r="L37" s="73"/>
      <c r="M37" s="1619"/>
      <c r="N37" s="1620"/>
      <c r="P37" s="76"/>
      <c r="Q37" s="76"/>
      <c r="R37" s="76"/>
      <c r="S37" s="76"/>
      <c r="T37" s="76"/>
      <c r="U37" s="66"/>
      <c r="V37" s="76"/>
      <c r="W37" s="1621"/>
      <c r="X37" s="76"/>
      <c r="Y37" s="76"/>
      <c r="Z37" s="1549"/>
      <c r="AA37" s="1549"/>
      <c r="AB37" s="1549"/>
      <c r="AC37" s="1627"/>
      <c r="AD37" s="1549"/>
      <c r="AE37" s="2204"/>
      <c r="AF37" s="1549"/>
      <c r="AG37" s="1698"/>
      <c r="AH37" s="68"/>
      <c r="AI37" s="66"/>
      <c r="AJ37" s="3482" t="s">
        <v>16</v>
      </c>
      <c r="AK37" s="3482"/>
      <c r="AL37" s="3482"/>
      <c r="AM37" s="1751" t="str">
        <f>'CALCULS Eau'!J$296</f>
        <v/>
      </c>
      <c r="AN37" s="1752"/>
      <c r="AO37" s="1753" t="str">
        <f>'CALCULS Eau'!K$296</f>
        <v/>
      </c>
      <c r="AP37" s="1752"/>
      <c r="AQ37" s="1753" t="str">
        <f>'CALCULS Eau'!L$296</f>
        <v/>
      </c>
      <c r="AR37" s="1752"/>
      <c r="AS37" s="59"/>
      <c r="AT37" s="84"/>
      <c r="AU37" s="1609"/>
      <c r="AV37" s="71"/>
    </row>
    <row r="38" spans="2:48" s="72" customFormat="1" ht="9" customHeight="1" x14ac:dyDescent="0.3">
      <c r="B38" s="1603"/>
      <c r="C38" s="64"/>
      <c r="D38" s="221"/>
      <c r="E38" s="221"/>
      <c r="F38" s="221"/>
      <c r="G38" s="221"/>
      <c r="H38" s="1616"/>
      <c r="I38" s="1617"/>
      <c r="J38" s="1618"/>
      <c r="K38" s="2208"/>
      <c r="L38" s="73"/>
      <c r="M38" s="1619"/>
      <c r="N38" s="1620"/>
      <c r="P38" s="1549"/>
      <c r="Q38" s="1549"/>
      <c r="R38" s="1549"/>
      <c r="S38" s="1549"/>
      <c r="T38" s="1549"/>
      <c r="U38" s="66"/>
      <c r="V38" s="76"/>
      <c r="W38" s="1621"/>
      <c r="X38" s="76"/>
      <c r="Y38" s="66"/>
      <c r="Z38" s="1549"/>
      <c r="AA38" s="1549"/>
      <c r="AB38" s="1549"/>
      <c r="AC38" s="1627"/>
      <c r="AD38" s="1549"/>
      <c r="AE38" s="2204"/>
      <c r="AF38" s="1549"/>
      <c r="AG38" s="1698"/>
      <c r="AH38" s="68"/>
      <c r="AI38" s="66"/>
      <c r="AJ38" s="1548"/>
      <c r="AK38" s="1548"/>
      <c r="AL38" s="66"/>
      <c r="AM38" s="1754"/>
      <c r="AN38" s="1755"/>
      <c r="AO38" s="1756"/>
      <c r="AP38" s="1757"/>
      <c r="AQ38" s="1758"/>
      <c r="AR38" s="1742"/>
      <c r="AT38" s="84"/>
      <c r="AU38" s="1609"/>
      <c r="AV38" s="71"/>
    </row>
    <row r="39" spans="2:48" s="72" customFormat="1" ht="18.75" customHeight="1" x14ac:dyDescent="0.3">
      <c r="B39" s="1603"/>
      <c r="C39" s="64"/>
      <c r="D39" s="221"/>
      <c r="E39" s="221"/>
      <c r="F39" s="221"/>
      <c r="G39" s="221"/>
      <c r="H39" s="1616"/>
      <c r="I39" s="1617"/>
      <c r="J39" s="1618"/>
      <c r="K39" s="2208"/>
      <c r="L39" s="73"/>
      <c r="M39" s="1619"/>
      <c r="N39" s="1620"/>
      <c r="P39" s="1549"/>
      <c r="Q39" s="1549"/>
      <c r="R39" s="1549"/>
      <c r="S39" s="1549"/>
      <c r="T39" s="1549"/>
      <c r="U39" s="66"/>
      <c r="V39" s="76"/>
      <c r="W39" s="1621"/>
      <c r="X39" s="76"/>
      <c r="Y39" s="66"/>
      <c r="Z39" s="1549"/>
      <c r="AA39" s="1549"/>
      <c r="AB39" s="1549"/>
      <c r="AC39" s="1627"/>
      <c r="AD39" s="1549"/>
      <c r="AE39" s="2204"/>
      <c r="AF39" s="1549"/>
      <c r="AG39" s="1698"/>
      <c r="AH39" s="68"/>
      <c r="AI39" s="66"/>
      <c r="AJ39" s="3483" t="s">
        <v>122</v>
      </c>
      <c r="AK39" s="3483"/>
      <c r="AL39" s="66"/>
      <c r="AM39" s="2489" t="e">
        <f>'CALCULS Eau'!G285</f>
        <v>#DIV/0!</v>
      </c>
      <c r="AN39" s="2499" t="s">
        <v>1974</v>
      </c>
      <c r="AO39" s="2216" t="e">
        <f>'CALCULS Eau'!G286</f>
        <v>#DIV/0!</v>
      </c>
      <c r="AP39" s="2500" t="s">
        <v>1974</v>
      </c>
      <c r="AQ39" s="2217" t="e">
        <f>'CALCULS Eau'!G287</f>
        <v>#DIV/0!</v>
      </c>
      <c r="AR39" s="2501" t="s">
        <v>1974</v>
      </c>
      <c r="AT39" s="84"/>
      <c r="AU39" s="1609"/>
      <c r="AV39" s="71"/>
    </row>
    <row r="40" spans="2:48" s="72" customFormat="1" ht="6.75" customHeight="1" x14ac:dyDescent="0.3">
      <c r="B40" s="1603"/>
      <c r="C40" s="64"/>
      <c r="D40" s="221"/>
      <c r="E40" s="221"/>
      <c r="F40" s="221"/>
      <c r="G40" s="221"/>
      <c r="H40" s="1616"/>
      <c r="I40" s="1617"/>
      <c r="J40" s="1618"/>
      <c r="K40" s="2208"/>
      <c r="L40" s="73"/>
      <c r="M40" s="1619"/>
      <c r="N40" s="1620"/>
      <c r="P40" s="1549"/>
      <c r="Q40" s="1549"/>
      <c r="R40" s="1549"/>
      <c r="S40" s="1549"/>
      <c r="T40" s="1549"/>
      <c r="U40" s="66"/>
      <c r="V40" s="76"/>
      <c r="W40" s="1621"/>
      <c r="X40" s="76"/>
      <c r="Y40" s="66"/>
      <c r="Z40" s="1549"/>
      <c r="AA40" s="1549"/>
      <c r="AB40" s="1549"/>
      <c r="AC40" s="1627"/>
      <c r="AD40" s="1549"/>
      <c r="AE40" s="2204"/>
      <c r="AF40" s="1549"/>
      <c r="AG40" s="1698"/>
      <c r="AH40" s="68"/>
      <c r="AI40" s="66"/>
      <c r="AJ40" s="1548"/>
      <c r="AK40" s="1548"/>
      <c r="AL40" s="66"/>
      <c r="AM40" s="1548"/>
      <c r="AN40" s="1548"/>
      <c r="AO40" s="1738"/>
      <c r="AP40" s="1738"/>
      <c r="AQ40" s="82"/>
      <c r="AR40" s="66"/>
      <c r="AT40" s="84"/>
      <c r="AU40" s="1609"/>
      <c r="AV40" s="71"/>
    </row>
    <row r="41" spans="2:48" s="72" customFormat="1" ht="15" customHeight="1" x14ac:dyDescent="0.3">
      <c r="B41" s="1603"/>
      <c r="C41" s="64"/>
      <c r="D41" s="221"/>
      <c r="E41" s="221"/>
      <c r="F41" s="221"/>
      <c r="G41" s="221"/>
      <c r="H41" s="69"/>
      <c r="I41" s="1635"/>
      <c r="J41" s="1636"/>
      <c r="K41" s="2209"/>
      <c r="L41" s="75"/>
      <c r="M41" s="1603"/>
      <c r="N41" s="64"/>
      <c r="P41" s="1549"/>
      <c r="Q41" s="1549"/>
      <c r="R41" s="1549"/>
      <c r="S41" s="1549"/>
      <c r="T41" s="1549"/>
      <c r="U41" s="66"/>
      <c r="V41" s="75"/>
      <c r="W41" s="1637"/>
      <c r="X41" s="75"/>
      <c r="Y41" s="1164"/>
      <c r="Z41" s="1549"/>
      <c r="AA41" s="1549"/>
      <c r="AB41" s="1549"/>
      <c r="AC41" s="1638"/>
      <c r="AD41" s="1549"/>
      <c r="AE41" s="2204"/>
      <c r="AF41" s="1549"/>
      <c r="AG41" s="1698"/>
      <c r="AH41" s="68"/>
      <c r="AI41" s="66"/>
      <c r="AJ41" s="75"/>
      <c r="AK41" s="75"/>
      <c r="AL41" s="66"/>
      <c r="AM41" s="75"/>
      <c r="AN41" s="75"/>
      <c r="AO41" s="1738"/>
      <c r="AP41" s="1738"/>
      <c r="AQ41" s="82"/>
      <c r="AR41" s="66"/>
      <c r="AT41" s="69"/>
      <c r="AU41" s="1609"/>
      <c r="AV41" s="71"/>
    </row>
    <row r="42" spans="2:48" s="72" customFormat="1" ht="21" customHeight="1" x14ac:dyDescent="0.25">
      <c r="B42" s="1603"/>
      <c r="C42" s="64"/>
      <c r="D42" s="221"/>
      <c r="E42" s="221"/>
      <c r="F42" s="221"/>
      <c r="G42" s="221"/>
      <c r="H42" s="69"/>
      <c r="I42" s="1635"/>
      <c r="J42" s="1636"/>
      <c r="K42" s="2209"/>
      <c r="L42" s="75"/>
      <c r="M42" s="1603"/>
      <c r="N42" s="64"/>
      <c r="O42" s="76"/>
      <c r="P42" s="78"/>
      <c r="Q42" s="78"/>
      <c r="R42" s="78"/>
      <c r="S42" s="78"/>
      <c r="T42" s="78"/>
      <c r="U42" s="76"/>
      <c r="V42" s="75"/>
      <c r="W42" s="1637"/>
      <c r="X42" s="75"/>
      <c r="Y42" s="76"/>
      <c r="Z42" s="78"/>
      <c r="AA42" s="78"/>
      <c r="AB42" s="78"/>
      <c r="AC42" s="1638"/>
      <c r="AD42" s="78"/>
      <c r="AE42" s="2204"/>
      <c r="AF42" s="78"/>
      <c r="AG42" s="1721"/>
      <c r="AH42" s="80"/>
      <c r="AI42" s="76"/>
      <c r="AJ42" s="75"/>
      <c r="AK42" s="75"/>
      <c r="AL42" s="76"/>
      <c r="AM42" s="75"/>
      <c r="AN42" s="75"/>
      <c r="AO42" s="1738"/>
      <c r="AP42" s="1738"/>
      <c r="AQ42" s="82"/>
      <c r="AR42" s="1624"/>
      <c r="AT42" s="69"/>
      <c r="AU42" s="1609"/>
      <c r="AV42" s="71"/>
    </row>
    <row r="43" spans="2:48" ht="10.5" customHeight="1" x14ac:dyDescent="0.25">
      <c r="B43" s="1603"/>
      <c r="C43" s="1625"/>
      <c r="D43" s="1626"/>
      <c r="E43" s="1626"/>
      <c r="F43" s="1626"/>
      <c r="G43" s="1626"/>
      <c r="H43" s="1639"/>
      <c r="I43" s="1635"/>
      <c r="J43" s="1584"/>
      <c r="K43" s="2205"/>
      <c r="L43" s="59"/>
      <c r="M43" s="1587"/>
      <c r="N43" s="91"/>
      <c r="O43" s="92"/>
      <c r="P43" s="92"/>
      <c r="Q43" s="92"/>
      <c r="R43" s="92"/>
      <c r="S43" s="92"/>
      <c r="T43" s="92"/>
      <c r="U43" s="92"/>
      <c r="V43" s="92"/>
      <c r="W43" s="1591"/>
      <c r="X43" s="92"/>
      <c r="Y43" s="92"/>
      <c r="Z43" s="92"/>
      <c r="AA43" s="92"/>
      <c r="AB43" s="92"/>
      <c r="AC43" s="1587"/>
      <c r="AD43" s="181"/>
      <c r="AE43" s="2204"/>
      <c r="AF43" s="59"/>
      <c r="AG43" s="1587"/>
      <c r="AH43" s="91"/>
      <c r="AI43" s="92"/>
      <c r="AJ43" s="92"/>
      <c r="AK43" s="92"/>
      <c r="AL43" s="92"/>
      <c r="AM43" s="1759"/>
      <c r="AN43" s="92"/>
      <c r="AO43" s="92"/>
      <c r="AP43" s="92"/>
      <c r="AQ43" s="92"/>
      <c r="AR43" s="92"/>
      <c r="AS43" s="92"/>
      <c r="AT43" s="93"/>
      <c r="AU43" s="1593"/>
      <c r="AV43" s="43"/>
    </row>
    <row r="44" spans="2:48" ht="9" customHeight="1" x14ac:dyDescent="0.25">
      <c r="B44" s="1640"/>
      <c r="C44" s="1641"/>
      <c r="D44" s="1642"/>
      <c r="E44" s="1642"/>
      <c r="F44" s="1642"/>
      <c r="G44" s="1642"/>
      <c r="H44" s="1641"/>
      <c r="I44" s="1643"/>
      <c r="J44" s="1584"/>
      <c r="K44" s="2205"/>
      <c r="L44" s="59"/>
      <c r="M44" s="1644"/>
      <c r="N44" s="1645"/>
      <c r="O44" s="1645"/>
      <c r="P44" s="1645"/>
      <c r="Q44" s="1645"/>
      <c r="R44" s="1645"/>
      <c r="S44" s="1645"/>
      <c r="T44" s="1645"/>
      <c r="U44" s="1645"/>
      <c r="V44" s="1645"/>
      <c r="W44" s="1645"/>
      <c r="X44" s="1645"/>
      <c r="Y44" s="1645"/>
      <c r="Z44" s="1645"/>
      <c r="AA44" s="1645"/>
      <c r="AB44" s="1645"/>
      <c r="AC44" s="1645"/>
      <c r="AD44" s="181"/>
      <c r="AE44" s="2204"/>
      <c r="AF44" s="59"/>
      <c r="AG44" s="1644"/>
      <c r="AH44" s="1645"/>
      <c r="AI44" s="1645"/>
      <c r="AJ44" s="1645"/>
      <c r="AK44" s="1645"/>
      <c r="AL44" s="1645"/>
      <c r="AM44" s="1645"/>
      <c r="AN44" s="1645"/>
      <c r="AO44" s="1645"/>
      <c r="AP44" s="1645"/>
      <c r="AQ44" s="1645"/>
      <c r="AR44" s="1645"/>
      <c r="AS44" s="1645"/>
      <c r="AT44" s="1645"/>
      <c r="AU44" s="1646"/>
      <c r="AV44" s="43"/>
    </row>
    <row r="45" spans="2:48" ht="12.75" customHeight="1" x14ac:dyDescent="0.25">
      <c r="B45" s="75"/>
      <c r="C45" s="75"/>
      <c r="D45" s="221"/>
      <c r="E45" s="221"/>
      <c r="F45" s="221"/>
      <c r="G45" s="221"/>
      <c r="H45" s="75"/>
      <c r="I45" s="75"/>
      <c r="J45" s="59"/>
      <c r="K45" s="2205"/>
      <c r="L45" s="59"/>
      <c r="M45" s="59"/>
      <c r="N45" s="59"/>
      <c r="O45" s="59"/>
      <c r="P45" s="59"/>
      <c r="Q45" s="59"/>
      <c r="R45" s="59"/>
      <c r="S45" s="59"/>
      <c r="T45" s="59"/>
      <c r="U45" s="59"/>
      <c r="V45" s="59"/>
      <c r="W45" s="59"/>
      <c r="X45" s="59"/>
      <c r="Y45" s="59"/>
      <c r="Z45" s="59"/>
      <c r="AA45" s="59"/>
      <c r="AB45" s="59"/>
      <c r="AC45" s="59"/>
      <c r="AD45" s="59"/>
      <c r="AE45" s="2204"/>
      <c r="AF45" s="59"/>
      <c r="AG45" s="59"/>
      <c r="AH45" s="59"/>
      <c r="AI45" s="59"/>
      <c r="AJ45" s="59"/>
      <c r="AK45" s="59"/>
      <c r="AL45" s="59"/>
      <c r="AM45" s="59"/>
      <c r="AN45" s="59"/>
      <c r="AO45" s="59"/>
      <c r="AP45" s="59"/>
      <c r="AQ45" s="59"/>
      <c r="AR45" s="59"/>
      <c r="AS45" s="59"/>
      <c r="AT45" s="59"/>
      <c r="AU45" s="59"/>
      <c r="AV45" s="59"/>
    </row>
    <row r="46" spans="2:48" ht="5.25" customHeight="1" x14ac:dyDescent="0.25">
      <c r="B46" s="2209"/>
      <c r="C46" s="2209"/>
      <c r="D46" s="2210"/>
      <c r="E46" s="2210"/>
      <c r="F46" s="2210"/>
      <c r="G46" s="2210"/>
      <c r="H46" s="2209"/>
      <c r="I46" s="2209"/>
      <c r="J46" s="2205"/>
      <c r="K46" s="2205"/>
      <c r="L46" s="2205"/>
      <c r="M46" s="2205"/>
      <c r="N46" s="2205"/>
      <c r="O46" s="2205"/>
      <c r="P46" s="2205"/>
      <c r="Q46" s="2205"/>
      <c r="R46" s="2205"/>
      <c r="S46" s="2205"/>
      <c r="T46" s="2205"/>
      <c r="U46" s="2205"/>
      <c r="V46" s="2205"/>
      <c r="W46" s="2205"/>
      <c r="X46" s="2205"/>
      <c r="Y46" s="2205"/>
      <c r="Z46" s="2205"/>
      <c r="AA46" s="2205"/>
      <c r="AB46" s="2205"/>
      <c r="AC46" s="2205"/>
      <c r="AD46" s="2205"/>
      <c r="AE46" s="2205"/>
      <c r="AF46" s="2205"/>
      <c r="AG46" s="2205"/>
      <c r="AH46" s="2205"/>
      <c r="AI46" s="2205"/>
      <c r="AJ46" s="2205"/>
      <c r="AK46" s="2205"/>
      <c r="AL46" s="2205"/>
      <c r="AM46" s="2205"/>
      <c r="AN46" s="2205"/>
      <c r="AO46" s="2205"/>
      <c r="AP46" s="2205"/>
      <c r="AQ46" s="2205"/>
      <c r="AR46" s="2205"/>
      <c r="AS46" s="2205"/>
      <c r="AT46" s="2205"/>
      <c r="AU46" s="2205"/>
      <c r="AV46" s="59"/>
    </row>
    <row r="47" spans="2:48" ht="10.5" customHeight="1" x14ac:dyDescent="0.25">
      <c r="B47" s="75"/>
      <c r="C47" s="75"/>
      <c r="D47" s="221"/>
      <c r="E47" s="221"/>
      <c r="F47" s="221"/>
      <c r="G47" s="221"/>
      <c r="H47" s="75"/>
      <c r="I47" s="75"/>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row>
    <row r="48" spans="2:48" ht="25.5" customHeight="1" x14ac:dyDescent="0.25">
      <c r="B48" s="2188"/>
      <c r="C48" s="2187" t="s">
        <v>2096</v>
      </c>
      <c r="D48" s="2188"/>
      <c r="E48" s="2188"/>
      <c r="F48" s="2188"/>
      <c r="G48" s="2188"/>
      <c r="H48" s="2188"/>
      <c r="I48" s="2188"/>
      <c r="J48" s="2188"/>
      <c r="K48" s="2188"/>
      <c r="L48" s="2188"/>
      <c r="M48" s="2188"/>
      <c r="N48" s="2188"/>
      <c r="O48" s="2188"/>
      <c r="P48" s="2188"/>
      <c r="Q48" s="2188"/>
      <c r="R48" s="2188"/>
      <c r="S48" s="2188"/>
      <c r="T48" s="2188"/>
      <c r="U48" s="2188"/>
      <c r="V48" s="2188"/>
      <c r="W48" s="2188"/>
      <c r="X48" s="2188"/>
      <c r="Y48" s="2188"/>
      <c r="Z48" s="2188"/>
      <c r="AA48" s="2188"/>
      <c r="AB48" s="2188"/>
      <c r="AC48" s="2188"/>
      <c r="AD48" s="2188"/>
      <c r="AE48" s="2188"/>
      <c r="AF48" s="2188"/>
      <c r="AG48" s="2188"/>
      <c r="AH48" s="2188"/>
      <c r="AI48" s="2188"/>
      <c r="AJ48" s="2188"/>
      <c r="AK48" s="2188"/>
      <c r="AL48" s="2188"/>
      <c r="AM48" s="2188"/>
      <c r="AN48" s="2188"/>
      <c r="AO48" s="2189"/>
      <c r="AP48" s="2188"/>
      <c r="AQ48" s="2188"/>
      <c r="AR48" s="2188"/>
      <c r="AS48" s="2188"/>
      <c r="AT48" s="2191"/>
      <c r="AU48" s="2188"/>
    </row>
    <row r="49" spans="2:48" ht="7.5" customHeight="1" x14ac:dyDescent="0.25"/>
    <row r="50" spans="2:48" ht="10.5" customHeight="1" x14ac:dyDescent="0.25">
      <c r="B50" s="1581"/>
      <c r="C50" s="1647"/>
      <c r="D50" s="1647"/>
      <c r="E50" s="1647"/>
      <c r="F50" s="1647"/>
      <c r="G50" s="1647"/>
      <c r="H50" s="1647"/>
      <c r="I50" s="1582"/>
      <c r="J50" s="1582"/>
      <c r="K50" s="1582"/>
      <c r="L50" s="1582"/>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c r="AN50" s="1582"/>
      <c r="AO50" s="1582"/>
      <c r="AP50" s="1582"/>
      <c r="AQ50" s="1582"/>
      <c r="AR50" s="1582"/>
      <c r="AS50" s="1582"/>
      <c r="AT50" s="1582"/>
      <c r="AU50" s="1583"/>
      <c r="AV50" s="43"/>
    </row>
    <row r="51" spans="2:48" ht="9.75" customHeight="1" x14ac:dyDescent="0.25">
      <c r="B51" s="1603"/>
      <c r="C51" s="64"/>
      <c r="D51" s="221"/>
      <c r="E51" s="221"/>
      <c r="F51" s="221"/>
      <c r="G51" s="221"/>
      <c r="H51" s="75"/>
      <c r="I51" s="2302"/>
      <c r="J51" s="46"/>
      <c r="K51" s="46"/>
      <c r="L51" s="2303"/>
      <c r="M51" s="1668"/>
      <c r="N51" s="45"/>
      <c r="O51" s="46"/>
      <c r="P51" s="46"/>
      <c r="Q51" s="46"/>
      <c r="R51" s="46"/>
      <c r="S51" s="1591"/>
      <c r="T51" s="46"/>
      <c r="U51" s="46"/>
      <c r="V51" s="46"/>
      <c r="W51" s="46"/>
      <c r="X51" s="46"/>
      <c r="Y51" s="46"/>
      <c r="Z51" s="46"/>
      <c r="AA51" s="46"/>
      <c r="AB51" s="46"/>
      <c r="AC51" s="1592"/>
      <c r="AD51" s="46"/>
      <c r="AE51" s="46"/>
      <c r="AF51" s="46"/>
      <c r="AG51" s="46"/>
      <c r="AH51" s="46"/>
      <c r="AI51" s="46"/>
      <c r="AJ51" s="46"/>
      <c r="AK51" s="46"/>
      <c r="AL51" s="46"/>
      <c r="AM51" s="46"/>
      <c r="AN51" s="46"/>
      <c r="AO51" s="46"/>
      <c r="AP51" s="46"/>
      <c r="AQ51" s="46"/>
      <c r="AR51" s="46"/>
      <c r="AS51" s="46"/>
      <c r="AT51" s="47"/>
      <c r="AU51" s="1588"/>
      <c r="AV51" s="43"/>
    </row>
    <row r="52" spans="2:48" ht="21" customHeight="1" x14ac:dyDescent="0.3">
      <c r="B52" s="1603"/>
      <c r="C52" s="64"/>
      <c r="D52" s="1649" t="s">
        <v>2097</v>
      </c>
      <c r="E52" s="1649"/>
      <c r="F52" s="221"/>
      <c r="G52" s="221"/>
      <c r="H52" s="75"/>
      <c r="I52" s="3480">
        <f>'CALCULS Eau'!M416</f>
        <v>0</v>
      </c>
      <c r="J52" s="3481"/>
      <c r="K52" s="3481"/>
      <c r="L52" s="1648"/>
      <c r="M52" s="1668"/>
      <c r="N52" s="466"/>
      <c r="O52" s="1652" t="s">
        <v>1976</v>
      </c>
      <c r="Q52" s="1650">
        <f>'CALCULS Eau'!N321</f>
        <v>0</v>
      </c>
      <c r="S52" s="1593"/>
      <c r="U52" s="603" t="s">
        <v>1975</v>
      </c>
      <c r="V52" s="59"/>
      <c r="W52" s="59"/>
      <c r="X52" s="59"/>
      <c r="Z52" s="59"/>
      <c r="AA52" s="1650">
        <f>'CALCULS Eau'!N353</f>
        <v>0</v>
      </c>
      <c r="AB52" s="1650"/>
      <c r="AC52" s="1651"/>
      <c r="AD52" s="1650"/>
      <c r="AE52" s="603" t="s">
        <v>2094</v>
      </c>
      <c r="AH52" s="59"/>
      <c r="AI52" s="59"/>
      <c r="AJ52" s="59"/>
      <c r="AK52" s="59"/>
      <c r="AL52" s="59"/>
      <c r="AM52" s="59"/>
      <c r="AN52" s="59"/>
      <c r="AO52" s="1653"/>
      <c r="AP52" s="59"/>
      <c r="AQ52" s="59"/>
      <c r="AR52" s="59"/>
      <c r="AS52" s="2300">
        <f>'CALCULS Eau'!N384</f>
        <v>0</v>
      </c>
      <c r="AT52" s="61"/>
      <c r="AU52" s="1588"/>
      <c r="AV52" s="43"/>
    </row>
    <row r="53" spans="2:48" ht="12.75" customHeight="1" thickBot="1" x14ac:dyDescent="0.3">
      <c r="B53" s="1603"/>
      <c r="C53" s="64"/>
      <c r="D53" s="221"/>
      <c r="E53" s="221"/>
      <c r="F53" s="221"/>
      <c r="G53" s="221"/>
      <c r="H53" s="75"/>
      <c r="I53" s="75"/>
      <c r="J53" s="59"/>
      <c r="K53" s="59"/>
      <c r="L53" s="1648"/>
      <c r="M53" s="1668"/>
      <c r="N53" s="180"/>
      <c r="O53" s="59"/>
      <c r="S53" s="1593"/>
      <c r="U53" s="59"/>
      <c r="V53" s="59"/>
      <c r="W53" s="59"/>
      <c r="X53" s="59"/>
      <c r="Y53" s="59"/>
      <c r="Z53" s="59"/>
      <c r="AA53" s="59"/>
      <c r="AB53" s="59"/>
      <c r="AC53" s="1592"/>
      <c r="AD53" s="59"/>
      <c r="AE53" s="59"/>
      <c r="AF53" s="59"/>
      <c r="AH53" s="59"/>
      <c r="AI53" s="59"/>
      <c r="AJ53" s="59"/>
      <c r="AK53" s="59"/>
      <c r="AL53" s="59"/>
      <c r="AM53" s="59"/>
      <c r="AN53" s="59"/>
      <c r="AO53" s="59"/>
      <c r="AP53" s="59"/>
      <c r="AQ53" s="59"/>
      <c r="AR53" s="59"/>
      <c r="AS53" s="59"/>
      <c r="AT53" s="61"/>
      <c r="AU53" s="1588"/>
      <c r="AV53" s="43"/>
    </row>
    <row r="54" spans="2:48" ht="16.5" customHeight="1" x14ac:dyDescent="0.25">
      <c r="B54" s="1603"/>
      <c r="C54" s="64"/>
      <c r="D54" s="3484">
        <f>'CALCULS Eau'!G404</f>
        <v>0</v>
      </c>
      <c r="E54" s="445" t="s">
        <v>1977</v>
      </c>
      <c r="F54" s="1654"/>
      <c r="G54" s="1654"/>
      <c r="H54" s="1654"/>
      <c r="I54" s="75"/>
      <c r="J54" s="59"/>
      <c r="K54" s="59"/>
      <c r="L54" s="1648"/>
      <c r="M54" s="1668"/>
      <c r="N54" s="466"/>
      <c r="O54" s="1658"/>
      <c r="P54" s="445"/>
      <c r="Q54" s="445"/>
      <c r="R54" s="445"/>
      <c r="S54" s="2298"/>
      <c r="T54" s="445"/>
      <c r="U54" s="59"/>
      <c r="V54" s="59"/>
      <c r="W54" s="59"/>
      <c r="X54" s="59"/>
      <c r="Y54" s="1658"/>
      <c r="Z54" s="445"/>
      <c r="AA54" s="1655"/>
      <c r="AB54" s="1655"/>
      <c r="AC54" s="1656"/>
      <c r="AD54" s="1655"/>
      <c r="AE54" s="1655"/>
      <c r="AF54" s="3486"/>
      <c r="AG54" s="3486"/>
      <c r="AH54" s="3486"/>
      <c r="AI54" s="3486"/>
      <c r="AJ54" s="3486"/>
      <c r="AK54" s="445"/>
      <c r="AL54" s="443"/>
      <c r="AM54" s="1655"/>
      <c r="AN54" s="1655"/>
      <c r="AO54" s="59"/>
      <c r="AP54" s="59"/>
      <c r="AQ54" s="59"/>
      <c r="AR54" s="59"/>
      <c r="AS54" s="59"/>
      <c r="AT54" s="61"/>
      <c r="AU54" s="1588"/>
      <c r="AV54" s="43"/>
    </row>
    <row r="55" spans="2:48" ht="12.75" customHeight="1" thickBot="1" x14ac:dyDescent="0.3">
      <c r="B55" s="1603"/>
      <c r="C55" s="64"/>
      <c r="D55" s="3485"/>
      <c r="E55" s="1657" t="s">
        <v>1978</v>
      </c>
      <c r="F55" s="1654"/>
      <c r="G55" s="1654"/>
      <c r="H55" s="1654"/>
      <c r="I55" s="75"/>
      <c r="J55" s="59"/>
      <c r="K55" s="59"/>
      <c r="L55" s="1648"/>
      <c r="M55" s="1668"/>
      <c r="N55" s="466"/>
      <c r="O55" s="1658"/>
      <c r="P55" s="445"/>
      <c r="Q55" s="445"/>
      <c r="R55" s="445"/>
      <c r="S55" s="2298"/>
      <c r="T55" s="445"/>
      <c r="U55" s="59"/>
      <c r="V55" s="59"/>
      <c r="W55" s="59"/>
      <c r="X55" s="59"/>
      <c r="Y55" s="1658"/>
      <c r="Z55" s="445"/>
      <c r="AA55" s="1655"/>
      <c r="AB55" s="1655"/>
      <c r="AC55" s="1656"/>
      <c r="AD55" s="1655"/>
      <c r="AE55" s="1655"/>
      <c r="AF55" s="1655"/>
      <c r="AG55" s="1658"/>
      <c r="AH55" s="1658"/>
      <c r="AI55" s="1658"/>
      <c r="AJ55" s="1658"/>
      <c r="AK55" s="1658"/>
      <c r="AL55" s="445"/>
      <c r="AM55" s="1655"/>
      <c r="AN55" s="1655"/>
      <c r="AO55" s="59"/>
      <c r="AP55" s="59"/>
      <c r="AQ55" s="59"/>
      <c r="AR55" s="59"/>
      <c r="AS55" s="59"/>
      <c r="AT55" s="61"/>
      <c r="AU55" s="1588"/>
      <c r="AV55" s="43"/>
    </row>
    <row r="56" spans="2:48" ht="6.75" customHeight="1" x14ac:dyDescent="0.25">
      <c r="B56" s="1603"/>
      <c r="C56" s="64"/>
      <c r="D56" s="1659"/>
      <c r="F56" s="1654"/>
      <c r="G56" s="1654"/>
      <c r="H56" s="1654"/>
      <c r="I56" s="75"/>
      <c r="J56" s="59"/>
      <c r="K56" s="59"/>
      <c r="L56" s="1648"/>
      <c r="M56" s="1668"/>
      <c r="N56" s="466"/>
      <c r="P56" s="1760"/>
      <c r="Q56" s="1760"/>
      <c r="R56" s="1760"/>
      <c r="S56" s="2299"/>
      <c r="T56" s="1760"/>
      <c r="U56" s="59"/>
      <c r="V56" s="59"/>
      <c r="W56" s="59"/>
      <c r="X56" s="59"/>
      <c r="Y56" s="1760"/>
      <c r="Z56" s="59"/>
      <c r="AA56" s="59"/>
      <c r="AB56" s="59"/>
      <c r="AC56" s="1592"/>
      <c r="AD56" s="59"/>
      <c r="AE56" s="59"/>
      <c r="AF56" s="1760"/>
      <c r="AH56" s="59"/>
      <c r="AI56" s="59"/>
      <c r="AJ56" s="59"/>
      <c r="AK56" s="59"/>
      <c r="AL56" s="59"/>
      <c r="AM56" s="59"/>
      <c r="AN56" s="59"/>
      <c r="AO56" s="59"/>
      <c r="AP56" s="59"/>
      <c r="AQ56" s="59"/>
      <c r="AR56" s="59"/>
      <c r="AS56" s="59"/>
      <c r="AT56" s="61"/>
      <c r="AU56" s="1588"/>
      <c r="AV56" s="43"/>
    </row>
    <row r="57" spans="2:48" ht="18.75" customHeight="1" x14ac:dyDescent="0.25">
      <c r="B57" s="1603"/>
      <c r="C57" s="64"/>
      <c r="D57" s="1659"/>
      <c r="F57" s="1654"/>
      <c r="G57" s="1654"/>
      <c r="H57" s="1654"/>
      <c r="I57" s="75"/>
      <c r="J57" s="59"/>
      <c r="K57" s="59"/>
      <c r="L57" s="1648"/>
      <c r="M57" s="1668"/>
      <c r="N57" s="466"/>
      <c r="O57" s="1660"/>
      <c r="S57" s="1593"/>
      <c r="U57" s="59"/>
      <c r="V57" s="59"/>
      <c r="W57" s="59"/>
      <c r="X57" s="59"/>
      <c r="Y57" s="1660"/>
      <c r="Z57" s="59"/>
      <c r="AA57" s="59"/>
      <c r="AB57" s="59"/>
      <c r="AC57" s="1592"/>
      <c r="AD57" s="59"/>
      <c r="AE57" s="59"/>
      <c r="AF57" s="59"/>
      <c r="AG57" s="1660"/>
      <c r="AH57" s="59"/>
      <c r="AI57" s="59"/>
      <c r="AJ57" s="59"/>
      <c r="AK57" s="59"/>
      <c r="AL57" s="59"/>
      <c r="AM57" s="59"/>
      <c r="AN57" s="59"/>
      <c r="AO57" s="59"/>
      <c r="AP57" s="59"/>
      <c r="AQ57" s="59"/>
      <c r="AR57" s="59"/>
      <c r="AS57" s="59"/>
      <c r="AT57" s="61"/>
      <c r="AU57" s="1588"/>
      <c r="AV57" s="43"/>
    </row>
    <row r="58" spans="2:48" ht="18.75" customHeight="1" x14ac:dyDescent="0.25">
      <c r="B58" s="1603"/>
      <c r="C58" s="64"/>
      <c r="D58" s="1659"/>
      <c r="F58" s="1654"/>
      <c r="G58" s="1654"/>
      <c r="H58" s="1654"/>
      <c r="I58" s="75"/>
      <c r="J58" s="59"/>
      <c r="K58" s="59"/>
      <c r="L58" s="1648"/>
      <c r="M58" s="1668"/>
      <c r="N58" s="466"/>
      <c r="O58" s="1660"/>
      <c r="S58" s="1593"/>
      <c r="U58" s="59"/>
      <c r="V58" s="59"/>
      <c r="W58" s="59"/>
      <c r="X58" s="59"/>
      <c r="Y58" s="1660"/>
      <c r="Z58" s="59"/>
      <c r="AA58" s="59"/>
      <c r="AB58" s="59"/>
      <c r="AC58" s="1592"/>
      <c r="AD58" s="59"/>
      <c r="AE58" s="59"/>
      <c r="AF58" s="59"/>
      <c r="AG58" s="1660"/>
      <c r="AH58" s="59"/>
      <c r="AI58" s="59"/>
      <c r="AJ58" s="59"/>
      <c r="AK58" s="59"/>
      <c r="AL58" s="59"/>
      <c r="AM58" s="59"/>
      <c r="AN58" s="59"/>
      <c r="AO58" s="59"/>
      <c r="AP58" s="59"/>
      <c r="AQ58" s="59"/>
      <c r="AR58" s="59"/>
      <c r="AS58" s="59"/>
      <c r="AT58" s="61"/>
      <c r="AU58" s="1588"/>
      <c r="AV58" s="43"/>
    </row>
    <row r="59" spans="2:48" ht="18.75" customHeight="1" x14ac:dyDescent="0.25">
      <c r="B59" s="1603"/>
      <c r="C59" s="64"/>
      <c r="D59" s="1659"/>
      <c r="F59" s="1654"/>
      <c r="G59" s="1654"/>
      <c r="H59" s="1654"/>
      <c r="I59" s="75"/>
      <c r="J59" s="59"/>
      <c r="K59" s="59"/>
      <c r="L59" s="1648"/>
      <c r="M59" s="1668"/>
      <c r="N59" s="466"/>
      <c r="O59" s="1660"/>
      <c r="S59" s="1593"/>
      <c r="U59" s="59"/>
      <c r="V59" s="59"/>
      <c r="W59" s="59"/>
      <c r="X59" s="59"/>
      <c r="Y59" s="1660"/>
      <c r="Z59" s="59"/>
      <c r="AA59" s="59"/>
      <c r="AB59" s="59"/>
      <c r="AC59" s="1592"/>
      <c r="AD59" s="59"/>
      <c r="AE59" s="59"/>
      <c r="AF59" s="59"/>
      <c r="AG59" s="1660"/>
      <c r="AH59" s="59"/>
      <c r="AI59" s="59"/>
      <c r="AJ59" s="59"/>
      <c r="AK59" s="59"/>
      <c r="AL59" s="59"/>
      <c r="AM59" s="59"/>
      <c r="AN59" s="59"/>
      <c r="AO59" s="59"/>
      <c r="AP59" s="59"/>
      <c r="AQ59" s="59"/>
      <c r="AR59" s="59"/>
      <c r="AS59" s="59"/>
      <c r="AT59" s="61"/>
      <c r="AU59" s="1588"/>
      <c r="AV59" s="43"/>
    </row>
    <row r="60" spans="2:48" ht="18.75" customHeight="1" x14ac:dyDescent="0.25">
      <c r="B60" s="1603"/>
      <c r="C60" s="64"/>
      <c r="D60" s="1659"/>
      <c r="F60" s="1654"/>
      <c r="G60" s="1654"/>
      <c r="H60" s="1654"/>
      <c r="I60" s="75"/>
      <c r="J60" s="59"/>
      <c r="K60" s="59"/>
      <c r="L60" s="1648"/>
      <c r="M60" s="1668"/>
      <c r="N60" s="466"/>
      <c r="O60" s="1660"/>
      <c r="S60" s="1593"/>
      <c r="U60" s="59"/>
      <c r="V60" s="59"/>
      <c r="W60" s="59"/>
      <c r="X60" s="59"/>
      <c r="Y60" s="1660"/>
      <c r="Z60" s="59"/>
      <c r="AA60" s="59"/>
      <c r="AB60" s="59"/>
      <c r="AC60" s="1592"/>
      <c r="AD60" s="59"/>
      <c r="AE60" s="59"/>
      <c r="AF60" s="59"/>
      <c r="AG60" s="1660"/>
      <c r="AH60" s="59"/>
      <c r="AI60" s="59"/>
      <c r="AJ60" s="59"/>
      <c r="AK60" s="59"/>
      <c r="AL60" s="59"/>
      <c r="AM60" s="59"/>
      <c r="AN60" s="59"/>
      <c r="AO60" s="59"/>
      <c r="AP60" s="59"/>
      <c r="AQ60" s="59"/>
      <c r="AR60" s="59"/>
      <c r="AS60" s="59"/>
      <c r="AT60" s="61"/>
      <c r="AU60" s="1588"/>
      <c r="AV60" s="43"/>
    </row>
    <row r="61" spans="2:48" ht="18.75" customHeight="1" x14ac:dyDescent="0.25">
      <c r="B61" s="1603"/>
      <c r="C61" s="64"/>
      <c r="D61" s="1659"/>
      <c r="F61" s="1654"/>
      <c r="G61" s="1654"/>
      <c r="H61" s="1654"/>
      <c r="I61" s="75"/>
      <c r="J61" s="59"/>
      <c r="K61" s="59"/>
      <c r="L61" s="1648"/>
      <c r="M61" s="1668"/>
      <c r="N61" s="466"/>
      <c r="O61" s="1660"/>
      <c r="S61" s="1593"/>
      <c r="U61" s="59"/>
      <c r="V61" s="59"/>
      <c r="W61" s="59"/>
      <c r="X61" s="59"/>
      <c r="Y61" s="1660"/>
      <c r="Z61" s="59"/>
      <c r="AA61" s="59"/>
      <c r="AB61" s="59"/>
      <c r="AC61" s="1592"/>
      <c r="AD61" s="59"/>
      <c r="AE61" s="59"/>
      <c r="AF61" s="59"/>
      <c r="AG61" s="1660"/>
      <c r="AH61" s="59"/>
      <c r="AI61" s="59"/>
      <c r="AJ61" s="59"/>
      <c r="AK61" s="59"/>
      <c r="AL61" s="59"/>
      <c r="AM61" s="59"/>
      <c r="AN61" s="59"/>
      <c r="AO61" s="59"/>
      <c r="AP61" s="59"/>
      <c r="AQ61" s="59"/>
      <c r="AR61" s="59"/>
      <c r="AS61" s="59"/>
      <c r="AT61" s="61"/>
      <c r="AU61" s="1588"/>
      <c r="AV61" s="43"/>
    </row>
    <row r="62" spans="2:48" ht="15" customHeight="1" x14ac:dyDescent="0.25">
      <c r="B62" s="1603"/>
      <c r="C62" s="64"/>
      <c r="E62" s="443"/>
      <c r="F62" s="221"/>
      <c r="G62" s="221"/>
      <c r="H62" s="75"/>
      <c r="I62" s="75"/>
      <c r="J62" s="59"/>
      <c r="K62" s="59"/>
      <c r="L62" s="1648"/>
      <c r="M62" s="1668"/>
      <c r="N62" s="466"/>
      <c r="O62" s="1660"/>
      <c r="S62" s="1593"/>
      <c r="U62" s="59"/>
      <c r="V62" s="59"/>
      <c r="W62" s="59"/>
      <c r="X62" s="59"/>
      <c r="Y62" s="1660"/>
      <c r="Z62" s="59"/>
      <c r="AA62" s="59"/>
      <c r="AB62" s="59"/>
      <c r="AC62" s="1592"/>
      <c r="AD62" s="59"/>
      <c r="AE62" s="59"/>
      <c r="AF62" s="59"/>
      <c r="AG62" s="1660"/>
      <c r="AH62" s="59"/>
      <c r="AI62" s="59"/>
      <c r="AJ62" s="59"/>
      <c r="AK62" s="59"/>
      <c r="AL62" s="59"/>
      <c r="AM62" s="59"/>
      <c r="AN62" s="59"/>
      <c r="AO62" s="59"/>
      <c r="AP62" s="59"/>
      <c r="AQ62" s="59"/>
      <c r="AR62" s="59"/>
      <c r="AS62" s="59"/>
      <c r="AT62" s="61"/>
      <c r="AU62" s="1588"/>
      <c r="AV62" s="43"/>
    </row>
    <row r="63" spans="2:48" ht="16.5" customHeight="1" x14ac:dyDescent="0.25">
      <c r="B63" s="1603"/>
      <c r="C63" s="64"/>
      <c r="D63" s="1661"/>
      <c r="E63" s="443"/>
      <c r="F63" s="221"/>
      <c r="G63" s="221"/>
      <c r="H63" s="75"/>
      <c r="I63" s="75"/>
      <c r="J63" s="59"/>
      <c r="K63" s="59"/>
      <c r="L63" s="1648"/>
      <c r="M63" s="1668"/>
      <c r="N63" s="466"/>
      <c r="O63" s="1660"/>
      <c r="S63" s="1593"/>
      <c r="U63" s="59"/>
      <c r="V63" s="59"/>
      <c r="W63" s="59"/>
      <c r="X63" s="59"/>
      <c r="Y63" s="1660"/>
      <c r="Z63" s="59"/>
      <c r="AA63" s="59"/>
      <c r="AB63" s="59"/>
      <c r="AC63" s="1592"/>
      <c r="AD63" s="59"/>
      <c r="AE63" s="59"/>
      <c r="AF63" s="59"/>
      <c r="AG63" s="1660"/>
      <c r="AH63" s="59"/>
      <c r="AI63" s="59"/>
      <c r="AJ63" s="59"/>
      <c r="AK63" s="59"/>
      <c r="AL63" s="59"/>
      <c r="AM63" s="59"/>
      <c r="AN63" s="59"/>
      <c r="AO63" s="59"/>
      <c r="AP63" s="59"/>
      <c r="AQ63" s="59"/>
      <c r="AR63" s="59"/>
      <c r="AS63" s="59"/>
      <c r="AT63" s="61"/>
      <c r="AU63" s="1588"/>
      <c r="AV63" s="43"/>
    </row>
    <row r="64" spans="2:48" ht="15" customHeight="1" x14ac:dyDescent="0.25">
      <c r="B64" s="1603"/>
      <c r="C64" s="64"/>
      <c r="D64" s="1662"/>
      <c r="E64" s="1408"/>
      <c r="F64" s="221"/>
      <c r="G64" s="221"/>
      <c r="H64" s="75"/>
      <c r="I64" s="75"/>
      <c r="J64" s="59"/>
      <c r="K64" s="59"/>
      <c r="L64" s="1648"/>
      <c r="M64" s="1668"/>
      <c r="N64" s="466"/>
      <c r="O64" s="1660"/>
      <c r="S64" s="1593"/>
      <c r="U64" s="59"/>
      <c r="V64" s="59"/>
      <c r="W64" s="59"/>
      <c r="X64" s="59"/>
      <c r="Y64" s="1660"/>
      <c r="Z64" s="59"/>
      <c r="AA64" s="59"/>
      <c r="AB64" s="59"/>
      <c r="AC64" s="1592"/>
      <c r="AD64" s="59"/>
      <c r="AE64" s="59"/>
      <c r="AF64" s="59"/>
      <c r="AG64" s="1660"/>
      <c r="AH64" s="59"/>
      <c r="AI64" s="59"/>
      <c r="AJ64" s="59"/>
      <c r="AK64" s="59"/>
      <c r="AL64" s="59"/>
      <c r="AM64" s="59"/>
      <c r="AN64" s="59"/>
      <c r="AO64" s="59"/>
      <c r="AP64" s="59"/>
      <c r="AQ64" s="59"/>
      <c r="AR64" s="59"/>
      <c r="AS64" s="59"/>
      <c r="AT64" s="61"/>
      <c r="AU64" s="1588"/>
      <c r="AV64" s="43"/>
    </row>
    <row r="65" spans="2:48" ht="15" customHeight="1" x14ac:dyDescent="0.25">
      <c r="B65" s="1603"/>
      <c r="C65" s="64"/>
      <c r="D65" s="445"/>
      <c r="E65" s="443"/>
      <c r="F65" s="221"/>
      <c r="G65" s="221"/>
      <c r="H65" s="75"/>
      <c r="I65" s="75"/>
      <c r="J65" s="59"/>
      <c r="K65" s="59"/>
      <c r="L65" s="1648"/>
      <c r="M65" s="1668"/>
      <c r="N65" s="466"/>
      <c r="O65" s="1660"/>
      <c r="S65" s="1593"/>
      <c r="U65" s="59"/>
      <c r="V65" s="59"/>
      <c r="W65" s="59"/>
      <c r="X65" s="59"/>
      <c r="Y65" s="1660"/>
      <c r="Z65" s="59"/>
      <c r="AA65" s="59"/>
      <c r="AB65" s="59"/>
      <c r="AC65" s="1592"/>
      <c r="AD65" s="59"/>
      <c r="AE65" s="59"/>
      <c r="AF65" s="59"/>
      <c r="AG65" s="1660"/>
      <c r="AH65" s="59"/>
      <c r="AI65" s="59"/>
      <c r="AJ65" s="59"/>
      <c r="AK65" s="59"/>
      <c r="AL65" s="59"/>
      <c r="AM65" s="59"/>
      <c r="AN65" s="59"/>
      <c r="AO65" s="59"/>
      <c r="AP65" s="59"/>
      <c r="AQ65" s="59"/>
      <c r="AR65" s="59"/>
      <c r="AS65" s="59"/>
      <c r="AT65" s="61"/>
      <c r="AU65" s="1588"/>
      <c r="AV65" s="43"/>
    </row>
    <row r="66" spans="2:48" ht="15" customHeight="1" x14ac:dyDescent="0.25">
      <c r="B66" s="1603"/>
      <c r="C66" s="64"/>
      <c r="D66" s="1663"/>
      <c r="E66" s="1664"/>
      <c r="F66" s="1665"/>
      <c r="G66" s="221"/>
      <c r="H66" s="75"/>
      <c r="I66" s="75"/>
      <c r="J66" s="59"/>
      <c r="K66" s="59"/>
      <c r="L66" s="1648"/>
      <c r="M66" s="1668"/>
      <c r="N66" s="466"/>
      <c r="O66" s="1660"/>
      <c r="S66" s="1593"/>
      <c r="U66" s="59"/>
      <c r="V66" s="59"/>
      <c r="W66" s="59"/>
      <c r="X66" s="59"/>
      <c r="Y66" s="1660"/>
      <c r="Z66" s="59"/>
      <c r="AA66" s="59"/>
      <c r="AB66" s="59"/>
      <c r="AC66" s="1592"/>
      <c r="AD66" s="59"/>
      <c r="AE66" s="59"/>
      <c r="AF66" s="59"/>
      <c r="AG66" s="1660"/>
      <c r="AH66" s="59"/>
      <c r="AI66" s="59"/>
      <c r="AJ66" s="59"/>
      <c r="AK66" s="59"/>
      <c r="AL66" s="59"/>
      <c r="AM66" s="59"/>
      <c r="AN66" s="59"/>
      <c r="AO66" s="59"/>
      <c r="AP66" s="59"/>
      <c r="AQ66" s="59"/>
      <c r="AR66" s="59"/>
      <c r="AS66" s="59"/>
      <c r="AT66" s="61"/>
      <c r="AU66" s="1588"/>
      <c r="AV66" s="43"/>
    </row>
    <row r="67" spans="2:48" ht="15" customHeight="1" x14ac:dyDescent="0.25">
      <c r="B67" s="1603"/>
      <c r="C67" s="1625"/>
      <c r="D67" s="1666"/>
      <c r="E67" s="1667"/>
      <c r="F67" s="1667"/>
      <c r="G67" s="1626"/>
      <c r="H67" s="2301"/>
      <c r="I67" s="2301"/>
      <c r="J67" s="92"/>
      <c r="K67" s="92"/>
      <c r="L67" s="2304"/>
      <c r="M67" s="1668"/>
      <c r="N67" s="91"/>
      <c r="O67" s="92"/>
      <c r="P67" s="92"/>
      <c r="Q67" s="92"/>
      <c r="R67" s="92"/>
      <c r="S67" s="1591"/>
      <c r="T67" s="92"/>
      <c r="U67" s="92"/>
      <c r="V67" s="92"/>
      <c r="W67" s="92"/>
      <c r="X67" s="92"/>
      <c r="Y67" s="92"/>
      <c r="Z67" s="92"/>
      <c r="AA67" s="92"/>
      <c r="AB67" s="93"/>
      <c r="AC67" s="1668"/>
      <c r="AD67" s="91"/>
      <c r="AE67" s="92"/>
      <c r="AF67" s="92"/>
      <c r="AG67" s="92"/>
      <c r="AH67" s="92"/>
      <c r="AI67" s="92"/>
      <c r="AJ67" s="92"/>
      <c r="AK67" s="92"/>
      <c r="AL67" s="92"/>
      <c r="AM67" s="92"/>
      <c r="AN67" s="92"/>
      <c r="AO67" s="92"/>
      <c r="AP67" s="92"/>
      <c r="AQ67" s="92"/>
      <c r="AR67" s="92"/>
      <c r="AS67" s="92"/>
      <c r="AT67" s="93"/>
      <c r="AU67" s="1588"/>
      <c r="AV67" s="43"/>
    </row>
    <row r="68" spans="2:48" ht="8.25" customHeight="1" x14ac:dyDescent="0.25">
      <c r="B68" s="1640"/>
      <c r="C68" s="1641"/>
      <c r="D68" s="1669"/>
      <c r="E68" s="1670"/>
      <c r="F68" s="1670"/>
      <c r="G68" s="1642"/>
      <c r="H68" s="1641"/>
      <c r="I68" s="1641"/>
      <c r="J68" s="1645"/>
      <c r="K68" s="1645"/>
      <c r="L68" s="1645"/>
      <c r="M68" s="1671"/>
      <c r="N68" s="1671"/>
      <c r="O68" s="1671"/>
      <c r="P68" s="1671"/>
      <c r="Q68" s="1671"/>
      <c r="R68" s="1671"/>
      <c r="S68" s="1671"/>
      <c r="T68" s="1671"/>
      <c r="U68" s="1671"/>
      <c r="V68" s="1671"/>
      <c r="W68" s="1671"/>
      <c r="X68" s="1671"/>
      <c r="Y68" s="1671"/>
      <c r="Z68" s="1671"/>
      <c r="AA68" s="1671"/>
      <c r="AB68" s="1671"/>
      <c r="AC68" s="1671"/>
      <c r="AD68" s="1671"/>
      <c r="AE68" s="1671"/>
      <c r="AF68" s="1671"/>
      <c r="AG68" s="1671"/>
      <c r="AH68" s="1671"/>
      <c r="AI68" s="1671"/>
      <c r="AJ68" s="1671"/>
      <c r="AK68" s="1671"/>
      <c r="AL68" s="1671"/>
      <c r="AM68" s="1671"/>
      <c r="AN68" s="1671"/>
      <c r="AO68" s="1671"/>
      <c r="AP68" s="1671"/>
      <c r="AQ68" s="1671"/>
      <c r="AR68" s="1671"/>
      <c r="AS68" s="1671"/>
      <c r="AT68" s="1671"/>
      <c r="AU68" s="1672"/>
      <c r="AV68" s="43"/>
    </row>
    <row r="69" spans="2:48" ht="12.75" customHeight="1" x14ac:dyDescent="0.25">
      <c r="B69" s="75"/>
      <c r="C69" s="75"/>
      <c r="D69" s="1577"/>
      <c r="E69" s="1673"/>
      <c r="F69" s="1673"/>
      <c r="G69" s="221"/>
      <c r="H69" s="75"/>
      <c r="I69" s="75"/>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43"/>
    </row>
    <row r="70" spans="2:48" ht="5.25" customHeight="1" x14ac:dyDescent="0.25">
      <c r="B70" s="2209"/>
      <c r="C70" s="2209"/>
      <c r="D70" s="2210"/>
      <c r="E70" s="2210"/>
      <c r="F70" s="2210"/>
      <c r="G70" s="2210"/>
      <c r="H70" s="2209"/>
      <c r="I70" s="2209"/>
      <c r="J70" s="2205"/>
      <c r="K70" s="2205"/>
      <c r="L70" s="2205"/>
      <c r="M70" s="2205"/>
      <c r="N70" s="2205"/>
      <c r="O70" s="2205"/>
      <c r="P70" s="2205"/>
      <c r="Q70" s="2205"/>
      <c r="R70" s="2205"/>
      <c r="S70" s="2205"/>
      <c r="T70" s="2205"/>
      <c r="U70" s="2205"/>
      <c r="V70" s="2205"/>
      <c r="W70" s="2205"/>
      <c r="X70" s="2205"/>
      <c r="Y70" s="2205"/>
      <c r="Z70" s="2205"/>
      <c r="AA70" s="2205"/>
      <c r="AB70" s="2205"/>
      <c r="AC70" s="2205"/>
      <c r="AD70" s="2205"/>
      <c r="AE70" s="2205"/>
      <c r="AF70" s="2205"/>
      <c r="AG70" s="2205"/>
      <c r="AH70" s="2205"/>
      <c r="AI70" s="2205"/>
      <c r="AJ70" s="2205"/>
      <c r="AK70" s="2205"/>
      <c r="AL70" s="2205"/>
      <c r="AM70" s="2205"/>
      <c r="AN70" s="2205"/>
      <c r="AO70" s="2205"/>
      <c r="AP70" s="2205"/>
      <c r="AQ70" s="2205"/>
      <c r="AR70" s="2205"/>
      <c r="AS70" s="2205"/>
      <c r="AT70" s="2205"/>
      <c r="AU70" s="2205"/>
      <c r="AV70" s="59"/>
    </row>
    <row r="71" spans="2:48" ht="9" customHeight="1" x14ac:dyDescent="0.25">
      <c r="B71" s="75"/>
      <c r="C71" s="75"/>
      <c r="D71" s="1577"/>
      <c r="E71" s="1673"/>
      <c r="F71" s="1673"/>
      <c r="G71" s="221"/>
      <c r="H71" s="75"/>
      <c r="I71" s="75"/>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43"/>
    </row>
    <row r="72" spans="2:48" ht="25.5" customHeight="1" x14ac:dyDescent="0.25">
      <c r="B72" s="2188"/>
      <c r="C72" s="2187" t="s">
        <v>1979</v>
      </c>
      <c r="D72" s="2188"/>
      <c r="E72" s="2188"/>
      <c r="F72" s="2188"/>
      <c r="G72" s="2188"/>
      <c r="H72" s="2188"/>
      <c r="I72" s="2188"/>
      <c r="J72" s="2188"/>
      <c r="K72" s="2188"/>
      <c r="L72" s="2188"/>
      <c r="M72" s="2188"/>
      <c r="N72" s="2187"/>
      <c r="O72" s="2187"/>
      <c r="P72" s="2187"/>
      <c r="Q72" s="2187"/>
      <c r="R72" s="2187"/>
      <c r="S72" s="2187"/>
      <c r="T72" s="2187"/>
      <c r="U72" s="2187"/>
      <c r="V72" s="2187"/>
      <c r="W72" s="2192"/>
      <c r="X72" s="2192"/>
      <c r="Y72" s="2193"/>
      <c r="Z72" s="2192"/>
      <c r="AA72" s="2192"/>
      <c r="AB72" s="2192"/>
      <c r="AC72" s="2192"/>
      <c r="AD72" s="2192"/>
      <c r="AE72" s="2192"/>
      <c r="AF72" s="2192"/>
      <c r="AG72" s="2193"/>
      <c r="AH72" s="2192"/>
      <c r="AI72" s="2192"/>
      <c r="AJ72" s="2192"/>
      <c r="AK72" s="2192"/>
      <c r="AL72" s="2192"/>
      <c r="AM72" s="2192"/>
      <c r="AN72" s="2192"/>
      <c r="AO72" s="2192"/>
      <c r="AP72" s="2192"/>
      <c r="AQ72" s="2192"/>
      <c r="AR72" s="2192"/>
      <c r="AS72" s="2192"/>
      <c r="AT72" s="2192"/>
      <c r="AU72" s="2192"/>
      <c r="AV72" s="43"/>
    </row>
    <row r="73" spans="2:48" ht="7.5" customHeight="1" x14ac:dyDescent="0.25">
      <c r="AV73" s="43"/>
    </row>
    <row r="74" spans="2:48" ht="9.75" customHeight="1" x14ac:dyDescent="0.25">
      <c r="B74" s="1674"/>
      <c r="C74" s="1675"/>
      <c r="D74" s="1676"/>
      <c r="E74" s="1677"/>
      <c r="F74" s="1677"/>
      <c r="G74" s="1678"/>
      <c r="H74" s="1678"/>
      <c r="I74" s="1678"/>
      <c r="J74" s="1678"/>
      <c r="K74" s="1678"/>
      <c r="L74" s="1678"/>
      <c r="M74" s="1678"/>
      <c r="N74" s="1678"/>
      <c r="O74" s="1678"/>
      <c r="P74" s="1679"/>
      <c r="Q74" s="1679"/>
      <c r="R74" s="1679"/>
      <c r="S74" s="1679"/>
      <c r="T74" s="1679"/>
      <c r="U74" s="1586"/>
      <c r="V74" s="1586"/>
      <c r="W74" s="1586"/>
      <c r="X74" s="1586"/>
      <c r="Y74" s="1680"/>
      <c r="Z74" s="1586"/>
      <c r="AA74" s="1586"/>
      <c r="AB74" s="1586"/>
      <c r="AC74" s="1586"/>
      <c r="AD74" s="1586"/>
      <c r="AE74" s="1586"/>
      <c r="AF74" s="1586"/>
      <c r="AG74" s="1680"/>
      <c r="AH74" s="1586"/>
      <c r="AI74" s="1586"/>
      <c r="AJ74" s="1586"/>
      <c r="AK74" s="1586"/>
      <c r="AL74" s="1586"/>
      <c r="AM74" s="1586"/>
      <c r="AN74" s="1586"/>
      <c r="AO74" s="1586"/>
      <c r="AP74" s="1586"/>
      <c r="AQ74" s="1586"/>
      <c r="AR74" s="1586"/>
      <c r="AS74" s="1586"/>
      <c r="AT74" s="1586"/>
      <c r="AU74" s="1681"/>
      <c r="AV74" s="43"/>
    </row>
    <row r="75" spans="2:48" ht="18" customHeight="1" x14ac:dyDescent="0.25">
      <c r="B75" s="1603"/>
      <c r="C75" s="1682"/>
      <c r="D75" s="410"/>
      <c r="E75" s="1683"/>
      <c r="F75" s="410"/>
      <c r="G75" s="1684"/>
      <c r="H75" s="1684"/>
      <c r="I75" s="1684"/>
      <c r="J75" s="1684"/>
      <c r="K75" s="1684"/>
      <c r="L75" s="1684"/>
      <c r="M75" s="1684"/>
      <c r="N75" s="1684"/>
      <c r="O75" s="1684"/>
      <c r="P75" s="468"/>
      <c r="Q75" s="468"/>
      <c r="R75" s="468"/>
      <c r="S75" s="468"/>
      <c r="T75" s="468"/>
      <c r="U75" s="46"/>
      <c r="V75" s="46"/>
      <c r="W75" s="46"/>
      <c r="X75" s="46"/>
      <c r="Y75" s="1685"/>
      <c r="Z75" s="46"/>
      <c r="AA75" s="46"/>
      <c r="AB75" s="46"/>
      <c r="AC75" s="46"/>
      <c r="AD75" s="46"/>
      <c r="AE75" s="46"/>
      <c r="AF75" s="46"/>
      <c r="AG75" s="1685"/>
      <c r="AH75" s="46"/>
      <c r="AI75" s="46"/>
      <c r="AJ75" s="46"/>
      <c r="AK75" s="46"/>
      <c r="AL75" s="46"/>
      <c r="AM75" s="46"/>
      <c r="AN75" s="46"/>
      <c r="AO75" s="46"/>
      <c r="AP75" s="46"/>
      <c r="AQ75" s="46"/>
      <c r="AR75" s="46"/>
      <c r="AS75" s="46"/>
      <c r="AT75" s="47"/>
      <c r="AU75" s="1686"/>
      <c r="AV75" s="43"/>
    </row>
    <row r="76" spans="2:48" ht="18" customHeight="1" x14ac:dyDescent="0.25">
      <c r="B76" s="1603"/>
      <c r="C76" s="64"/>
      <c r="D76" s="1663"/>
      <c r="G76" s="221"/>
      <c r="H76" s="221"/>
      <c r="I76" s="221"/>
      <c r="J76" s="221"/>
      <c r="K76" s="221"/>
      <c r="L76" s="221"/>
      <c r="M76" s="221"/>
      <c r="N76" s="221"/>
      <c r="O76" s="221"/>
      <c r="P76" s="55"/>
      <c r="Q76" s="55"/>
      <c r="R76" s="55"/>
      <c r="S76" s="55"/>
      <c r="T76" s="55"/>
      <c r="U76" s="59"/>
      <c r="V76" s="59"/>
      <c r="W76" s="59"/>
      <c r="X76" s="59"/>
      <c r="Y76" s="1687"/>
      <c r="Z76" s="59"/>
      <c r="AA76" s="59"/>
      <c r="AB76" s="59"/>
      <c r="AC76" s="59"/>
      <c r="AD76" s="59"/>
      <c r="AE76" s="59"/>
      <c r="AF76" s="59"/>
      <c r="AG76" s="1687"/>
      <c r="AH76" s="59"/>
      <c r="AI76" s="59"/>
      <c r="AJ76" s="59"/>
      <c r="AK76" s="59"/>
      <c r="AL76" s="59"/>
      <c r="AM76" s="59"/>
      <c r="AN76" s="59"/>
      <c r="AO76" s="59"/>
      <c r="AP76" s="59"/>
      <c r="AQ76" s="59"/>
      <c r="AR76" s="59"/>
      <c r="AS76" s="59"/>
      <c r="AT76" s="61"/>
      <c r="AU76" s="1686"/>
      <c r="AV76" s="43"/>
    </row>
    <row r="77" spans="2:48" ht="18" customHeight="1" x14ac:dyDescent="0.25">
      <c r="B77" s="1603"/>
      <c r="C77" s="64"/>
      <c r="D77" s="1577"/>
      <c r="G77" s="221"/>
      <c r="H77" s="221"/>
      <c r="I77" s="221"/>
      <c r="J77" s="221"/>
      <c r="K77" s="221"/>
      <c r="L77" s="221"/>
      <c r="M77" s="221"/>
      <c r="N77" s="221"/>
      <c r="O77" s="221"/>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61"/>
      <c r="AU77" s="1686"/>
      <c r="AV77" s="43"/>
    </row>
    <row r="78" spans="2:48" ht="18" customHeight="1" x14ac:dyDescent="0.25">
      <c r="B78" s="1603"/>
      <c r="C78" s="1625"/>
      <c r="D78" s="1626"/>
      <c r="E78" s="1626"/>
      <c r="F78" s="1626"/>
      <c r="G78" s="1626"/>
      <c r="H78" s="1626"/>
      <c r="I78" s="1626"/>
      <c r="J78" s="1626"/>
      <c r="K78" s="1626"/>
      <c r="L78" s="1626"/>
      <c r="M78" s="1626"/>
      <c r="N78" s="1626"/>
      <c r="O78" s="1626"/>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3"/>
      <c r="AU78" s="1686"/>
      <c r="AV78" s="43"/>
    </row>
    <row r="79" spans="2:48" ht="8.25" customHeight="1" x14ac:dyDescent="0.25">
      <c r="B79" s="1644"/>
      <c r="C79" s="1645"/>
      <c r="D79" s="1645"/>
      <c r="E79" s="1645"/>
      <c r="F79" s="1645"/>
      <c r="G79" s="1645"/>
      <c r="H79" s="1645"/>
      <c r="I79" s="1645"/>
      <c r="J79" s="1645"/>
      <c r="K79" s="1645"/>
      <c r="L79" s="1645"/>
      <c r="M79" s="1645"/>
      <c r="N79" s="1645"/>
      <c r="O79" s="1645"/>
      <c r="P79" s="1671"/>
      <c r="Q79" s="1671"/>
      <c r="R79" s="1671"/>
      <c r="S79" s="1671"/>
      <c r="T79" s="1671"/>
      <c r="U79" s="1671"/>
      <c r="V79" s="1671"/>
      <c r="W79" s="1671"/>
      <c r="X79" s="1671"/>
      <c r="Y79" s="1671"/>
      <c r="Z79" s="1671"/>
      <c r="AA79" s="1671"/>
      <c r="AB79" s="1671"/>
      <c r="AC79" s="1671"/>
      <c r="AD79" s="1671"/>
      <c r="AE79" s="1671"/>
      <c r="AF79" s="1671"/>
      <c r="AG79" s="1671"/>
      <c r="AH79" s="1671"/>
      <c r="AI79" s="1671"/>
      <c r="AJ79" s="1671"/>
      <c r="AK79" s="1671"/>
      <c r="AL79" s="1671"/>
      <c r="AM79" s="1671"/>
      <c r="AN79" s="1671"/>
      <c r="AO79" s="1671"/>
      <c r="AP79" s="1671"/>
      <c r="AQ79" s="1671"/>
      <c r="AR79" s="1671"/>
      <c r="AS79" s="1671"/>
      <c r="AT79" s="1671"/>
      <c r="AU79" s="1672"/>
      <c r="AV79" s="43"/>
    </row>
    <row r="80" spans="2:48" ht="2.25" customHeight="1" x14ac:dyDescent="0.25">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row>
    <row r="81" spans="2:48" ht="9.75" customHeight="1" x14ac:dyDescent="0.25">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row>
    <row r="85" spans="2:48" ht="15.75" customHeight="1" x14ac:dyDescent="0.25"/>
  </sheetData>
  <sheetProtection password="C518" sheet="1" objects="1" scenarios="1"/>
  <mergeCells count="32">
    <mergeCell ref="O2:Z2"/>
    <mergeCell ref="O3:Z4"/>
    <mergeCell ref="AJ17:AK17"/>
    <mergeCell ref="AJ18:AK18"/>
    <mergeCell ref="D26:F26"/>
    <mergeCell ref="G28:G29"/>
    <mergeCell ref="AO30:AP30"/>
    <mergeCell ref="G11:G12"/>
    <mergeCell ref="AM14:AN14"/>
    <mergeCell ref="U15:U16"/>
    <mergeCell ref="AH15:AH16"/>
    <mergeCell ref="AJ16:AK16"/>
    <mergeCell ref="AO14:AP14"/>
    <mergeCell ref="AJ19:AK19"/>
    <mergeCell ref="AR4:AT4"/>
    <mergeCell ref="AQ31:AR31"/>
    <mergeCell ref="AJ33:AL33"/>
    <mergeCell ref="AJ34:AL34"/>
    <mergeCell ref="AH35:AH36"/>
    <mergeCell ref="AJ35:AL35"/>
    <mergeCell ref="AM31:AN31"/>
    <mergeCell ref="AO31:AP31"/>
    <mergeCell ref="AJ36:AL36"/>
    <mergeCell ref="AJ20:AK20"/>
    <mergeCell ref="AJ22:AK22"/>
    <mergeCell ref="AQ14:AR14"/>
    <mergeCell ref="AN6:AU6"/>
    <mergeCell ref="I52:K52"/>
    <mergeCell ref="AJ37:AL37"/>
    <mergeCell ref="AJ39:AK39"/>
    <mergeCell ref="D54:D55"/>
    <mergeCell ref="AF54:AJ54"/>
  </mergeCells>
  <conditionalFormatting sqref="G11 P16:T21">
    <cfRule type="iconSet" priority="19">
      <iconSet iconSet="5Rating" showValue="0">
        <cfvo type="percent" val="0"/>
        <cfvo type="num" val="1" gte="0"/>
        <cfvo type="num" val="2" gte="0"/>
        <cfvo type="num" val="3" gte="0"/>
        <cfvo type="num" val="4" gte="0"/>
      </iconSet>
    </cfRule>
  </conditionalFormatting>
  <conditionalFormatting sqref="G28">
    <cfRule type="iconSet" priority="9">
      <iconSet iconSet="5Rating" showValue="0">
        <cfvo type="percent" val="0"/>
        <cfvo type="num" val="1" gte="0"/>
        <cfvo type="num" val="2" gte="0"/>
        <cfvo type="num" val="3" gte="0"/>
        <cfvo type="num" val="4" gte="0"/>
      </iconSet>
    </cfRule>
  </conditionalFormatting>
  <conditionalFormatting sqref="I52">
    <cfRule type="iconSet" priority="1">
      <iconSet iconSet="5Rating" showValue="0">
        <cfvo type="percent" val="0"/>
        <cfvo type="num" val="2"/>
        <cfvo type="num" val="3"/>
        <cfvo type="num" val="4"/>
        <cfvo type="num" val="5"/>
      </iconSet>
    </cfRule>
  </conditionalFormatting>
  <conditionalFormatting sqref="P27:T32">
    <cfRule type="iconSet" priority="18">
      <iconSet iconSet="5Rating" showValue="0">
        <cfvo type="percent" val="0"/>
        <cfvo type="num" val="1" gte="0"/>
        <cfvo type="num" val="2" gte="0"/>
        <cfvo type="num" val="3" gte="0"/>
        <cfvo type="num" val="4" gte="0"/>
      </iconSet>
    </cfRule>
  </conditionalFormatting>
  <conditionalFormatting sqref="P38:T41">
    <cfRule type="iconSet" priority="17">
      <iconSet iconSet="5Rating" showValue="0">
        <cfvo type="percent" val="0"/>
        <cfvo type="num" val="1" gte="0"/>
        <cfvo type="num" val="2" gte="0"/>
        <cfvo type="num" val="3" gte="0"/>
        <cfvo type="num" val="4" gte="0"/>
      </iconSet>
    </cfRule>
  </conditionalFormatting>
  <conditionalFormatting sqref="Q52 AS52 AA52:AD52">
    <cfRule type="iconSet" priority="16">
      <iconSet iconSet="5Rating" showValue="0">
        <cfvo type="percent" val="0"/>
        <cfvo type="num" val="2"/>
        <cfvo type="num" val="3"/>
        <cfvo type="num" val="4"/>
        <cfvo type="num" val="5"/>
      </iconSet>
    </cfRule>
  </conditionalFormatting>
  <conditionalFormatting sqref="U12">
    <cfRule type="iconSet" priority="5">
      <iconSet iconSet="5Rating" showValue="0">
        <cfvo type="percent" val="0"/>
        <cfvo type="num" val="1" gte="0"/>
        <cfvo type="num" val="2" gte="0"/>
        <cfvo type="num" val="3" gte="0"/>
        <cfvo type="num" val="4" gte="0"/>
      </iconSet>
    </cfRule>
  </conditionalFormatting>
  <conditionalFormatting sqref="U15">
    <cfRule type="iconSet" priority="15">
      <iconSet iconSet="5Rating" showValue="0">
        <cfvo type="percent" val="0"/>
        <cfvo type="num" val="2"/>
        <cfvo type="num" val="3"/>
        <cfvo type="num" val="4"/>
        <cfvo type="num" val="5"/>
      </iconSet>
    </cfRule>
  </conditionalFormatting>
  <conditionalFormatting sqref="U26">
    <cfRule type="iconSet" priority="14">
      <iconSet iconSet="5Rating" showValue="0">
        <cfvo type="percent" val="0"/>
        <cfvo type="num" val="2"/>
        <cfvo type="num" val="3"/>
        <cfvo type="num" val="4"/>
        <cfvo type="num" val="5"/>
      </iconSet>
    </cfRule>
  </conditionalFormatting>
  <conditionalFormatting sqref="U29">
    <cfRule type="iconSet" priority="4">
      <iconSet iconSet="5Rating" showValue="0">
        <cfvo type="percent" val="0"/>
        <cfvo type="num" val="1" gte="0"/>
        <cfvo type="num" val="2" gte="0"/>
        <cfvo type="num" val="3" gte="0"/>
        <cfvo type="num" val="4" gte="0"/>
      </iconSet>
    </cfRule>
  </conditionalFormatting>
  <conditionalFormatting sqref="U35">
    <cfRule type="iconSet" priority="13">
      <iconSet iconSet="5Rating" showValue="0">
        <cfvo type="percent" val="0"/>
        <cfvo type="num" val="2"/>
        <cfvo type="num" val="3"/>
        <cfvo type="num" val="4"/>
        <cfvo type="num" val="5"/>
      </iconSet>
    </cfRule>
  </conditionalFormatting>
  <conditionalFormatting sqref="Z27">
    <cfRule type="iconSet" priority="8">
      <iconSet iconSet="5Rating" showValue="0">
        <cfvo type="percent" val="0"/>
        <cfvo type="num" val="1" gte="0"/>
        <cfvo type="num" val="2" gte="0"/>
        <cfvo type="num" val="3" gte="0"/>
        <cfvo type="num" val="4" gte="0"/>
      </iconSet>
    </cfRule>
  </conditionalFormatting>
  <conditionalFormatting sqref="Z16:AB21 AD16:AD21 AF16:AG21">
    <cfRule type="iconSet" priority="22">
      <iconSet iconSet="5Rating" showValue="0">
        <cfvo type="percent" val="0"/>
        <cfvo type="num" val="1" gte="0"/>
        <cfvo type="num" val="2" gte="0"/>
        <cfvo type="num" val="3" gte="0"/>
        <cfvo type="num" val="4" gte="0"/>
      </iconSet>
    </cfRule>
  </conditionalFormatting>
  <conditionalFormatting sqref="Z28:AB28 AD27:AD32 AF27:AG32 Z30:AB32 Z29 AB29">
    <cfRule type="iconSet" priority="20">
      <iconSet iconSet="5Rating" showValue="0">
        <cfvo type="percent" val="0"/>
        <cfvo type="num" val="1" gte="0"/>
        <cfvo type="num" val="2" gte="0"/>
        <cfvo type="num" val="3" gte="0"/>
        <cfvo type="num" val="4" gte="0"/>
      </iconSet>
    </cfRule>
  </conditionalFormatting>
  <conditionalFormatting sqref="Z36:AB41 AD36:AD41 AF36:AG41">
    <cfRule type="iconSet" priority="21">
      <iconSet iconSet="5Rating" showValue="0">
        <cfvo type="percent" val="0"/>
        <cfvo type="num" val="1" gte="0"/>
        <cfvo type="num" val="2" gte="0"/>
        <cfvo type="num" val="3" gte="0"/>
        <cfvo type="num" val="4" gte="0"/>
      </iconSet>
    </cfRule>
  </conditionalFormatting>
  <conditionalFormatting sqref="AA12">
    <cfRule type="iconSet" priority="2">
      <iconSet iconSet="5Rating" showValue="0">
        <cfvo type="percent" val="0"/>
        <cfvo type="num" val="1" gte="0"/>
        <cfvo type="num" val="2" gte="0"/>
        <cfvo type="num" val="3" gte="0"/>
        <cfvo type="num" val="4" gte="0"/>
      </iconSet>
    </cfRule>
  </conditionalFormatting>
  <conditionalFormatting sqref="AH15:AI15">
    <cfRule type="iconSet" priority="10">
      <iconSet iconSet="5Rating" showValue="0">
        <cfvo type="percent" val="0"/>
        <cfvo type="num" val="2"/>
        <cfvo type="num" val="3"/>
        <cfvo type="num" val="4"/>
        <cfvo type="num" val="5"/>
      </iconSet>
    </cfRule>
  </conditionalFormatting>
  <conditionalFormatting sqref="AH26:AI26">
    <cfRule type="iconSet" priority="11">
      <iconSet iconSet="5Rating" showValue="0">
        <cfvo type="percent" val="0"/>
        <cfvo type="num" val="2"/>
        <cfvo type="num" val="3"/>
        <cfvo type="num" val="4"/>
        <cfvo type="num" val="5"/>
      </iconSet>
    </cfRule>
  </conditionalFormatting>
  <conditionalFormatting sqref="AH35:AI35">
    <cfRule type="iconSet" priority="12">
      <iconSet iconSet="5Rating" showValue="0">
        <cfvo type="percent" val="0"/>
        <cfvo type="num" val="2"/>
        <cfvo type="num" val="3"/>
        <cfvo type="num" val="4"/>
        <cfvo type="num" val="5"/>
      </iconSet>
    </cfRule>
  </conditionalFormatting>
  <conditionalFormatting sqref="AL15">
    <cfRule type="iconSet" priority="6">
      <iconSet iconSet="5Rating" showValue="0">
        <cfvo type="percent" val="0"/>
        <cfvo type="num" val="2"/>
        <cfvo type="num" val="3"/>
        <cfvo type="num" val="4"/>
        <cfvo type="num" val="5"/>
      </iconSet>
    </cfRule>
  </conditionalFormatting>
  <conditionalFormatting sqref="AL26">
    <cfRule type="iconSet" priority="7">
      <iconSet iconSet="5Rating" showValue="0">
        <cfvo type="percent" val="0"/>
        <cfvo type="num" val="2"/>
        <cfvo type="num" val="3"/>
        <cfvo type="num" val="4"/>
        <cfvo type="num" val="5"/>
      </iconSet>
    </cfRule>
  </conditionalFormatting>
  <pageMargins left="0.86614173228346458" right="0.59055118110236227" top="0.6692913385826772" bottom="0.35433070866141736" header="0.31496062992125984" footer="0.27559055118110237"/>
  <pageSetup paperSize="3" scale="62" fitToHeight="0" orientation="landscape" r:id="rId1"/>
  <headerFooter>
    <oddFooter>&amp;L&amp;10Version 1.0    © CERIU, 2023&amp;R&amp;10Onglet SOMMAIRE PGA EAU
Page &amp;P de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EF8B47"/>
    <pageSetUpPr fitToPage="1"/>
  </sheetPr>
  <dimension ref="A1:AZ1827"/>
  <sheetViews>
    <sheetView workbookViewId="0"/>
  </sheetViews>
  <sheetFormatPr baseColWidth="10" defaultRowHeight="15" x14ac:dyDescent="0.25"/>
  <cols>
    <col min="1" max="1" width="4" style="1" customWidth="1"/>
    <col min="2" max="2" width="39.7109375" customWidth="1"/>
    <col min="3" max="3" width="50.85546875" customWidth="1"/>
    <col min="4" max="4" width="38.140625" customWidth="1"/>
    <col min="5" max="52" width="11.42578125" style="1"/>
  </cols>
  <sheetData>
    <row r="1" spans="1:52" s="1" customFormat="1" ht="15.75" customHeight="1" x14ac:dyDescent="0.25"/>
    <row r="2" spans="1:52" ht="33.75" customHeight="1" x14ac:dyDescent="0.25">
      <c r="B2" s="2433" t="s">
        <v>1424</v>
      </c>
      <c r="C2" s="2434"/>
      <c r="D2" s="2434"/>
    </row>
    <row r="3" spans="1:52" s="1" customFormat="1" ht="27" customHeight="1" x14ac:dyDescent="0.25">
      <c r="B3" s="2727" t="s">
        <v>2329</v>
      </c>
      <c r="C3" s="2578"/>
      <c r="D3" s="2578" t="s">
        <v>2149</v>
      </c>
      <c r="K3" s="2577"/>
      <c r="L3" s="2577"/>
      <c r="M3" s="2577"/>
      <c r="N3" s="2577"/>
      <c r="O3" s="2577"/>
      <c r="P3" s="2577"/>
      <c r="Q3" s="2577"/>
      <c r="R3" s="2576"/>
    </row>
    <row r="4" spans="1:52" s="222" customFormat="1" ht="32.25" customHeight="1" x14ac:dyDescent="0.25">
      <c r="A4" s="2432"/>
      <c r="B4" s="2438" t="s">
        <v>156</v>
      </c>
      <c r="C4" s="2438" t="s">
        <v>155</v>
      </c>
      <c r="D4" s="2438" t="s">
        <v>157</v>
      </c>
      <c r="E4" s="2432"/>
      <c r="F4" s="2432"/>
      <c r="G4" s="2432"/>
      <c r="H4" s="2432"/>
      <c r="I4" s="2432"/>
      <c r="J4" s="2432"/>
      <c r="K4" s="2432"/>
      <c r="L4" s="2432"/>
      <c r="M4" s="2432"/>
      <c r="N4" s="2432"/>
      <c r="O4" s="2432"/>
      <c r="P4" s="2432"/>
      <c r="Q4" s="2432"/>
      <c r="R4" s="2432"/>
      <c r="S4" s="2432"/>
      <c r="T4" s="2432"/>
      <c r="U4" s="2432"/>
      <c r="V4" s="2432"/>
      <c r="W4" s="2432"/>
      <c r="X4" s="2432"/>
      <c r="Y4" s="2432"/>
      <c r="Z4" s="2432"/>
      <c r="AA4" s="2432"/>
      <c r="AB4" s="2432"/>
      <c r="AC4" s="2432"/>
      <c r="AD4" s="2432"/>
      <c r="AE4" s="2432"/>
      <c r="AF4" s="2432"/>
      <c r="AG4" s="2432"/>
      <c r="AH4" s="2432"/>
      <c r="AI4" s="2432"/>
      <c r="AJ4" s="2432"/>
      <c r="AK4" s="2432"/>
      <c r="AL4" s="2432"/>
      <c r="AM4" s="2432"/>
      <c r="AN4" s="2432"/>
      <c r="AO4" s="2432"/>
      <c r="AP4" s="2432"/>
      <c r="AQ4" s="2432"/>
      <c r="AR4" s="2432"/>
      <c r="AS4" s="2432"/>
      <c r="AT4" s="2432"/>
      <c r="AU4" s="2432"/>
      <c r="AV4" s="2432"/>
      <c r="AW4" s="2432"/>
      <c r="AX4" s="2432"/>
      <c r="AY4" s="2432"/>
      <c r="AZ4" s="2432"/>
    </row>
    <row r="5" spans="1:52" x14ac:dyDescent="0.25">
      <c r="B5" s="2435">
        <v>46005</v>
      </c>
      <c r="C5" s="2437" t="s">
        <v>302</v>
      </c>
      <c r="D5" s="2436" t="s">
        <v>303</v>
      </c>
    </row>
    <row r="6" spans="1:52" x14ac:dyDescent="0.25">
      <c r="B6" s="2435">
        <v>48028</v>
      </c>
      <c r="C6" s="2437" t="s">
        <v>304</v>
      </c>
      <c r="D6" s="2436" t="s">
        <v>305</v>
      </c>
    </row>
    <row r="7" spans="1:52" x14ac:dyDescent="0.25">
      <c r="B7" s="2435">
        <v>31056</v>
      </c>
      <c r="C7" s="2437" t="s">
        <v>306</v>
      </c>
      <c r="D7" s="2436" t="s">
        <v>307</v>
      </c>
    </row>
    <row r="8" spans="1:52" x14ac:dyDescent="0.25">
      <c r="B8" s="2435">
        <v>98030</v>
      </c>
      <c r="C8" s="2437" t="s">
        <v>308</v>
      </c>
      <c r="D8" s="2436" t="s">
        <v>309</v>
      </c>
    </row>
    <row r="9" spans="1:52" x14ac:dyDescent="0.25">
      <c r="B9" s="2435">
        <v>99125</v>
      </c>
      <c r="C9" s="2437" t="s">
        <v>310</v>
      </c>
      <c r="D9" s="2436" t="s">
        <v>311</v>
      </c>
    </row>
    <row r="10" spans="1:52" x14ac:dyDescent="0.25">
      <c r="B10" s="2435">
        <v>92030</v>
      </c>
      <c r="C10" s="2437" t="s">
        <v>312</v>
      </c>
      <c r="D10" s="2436" t="s">
        <v>313</v>
      </c>
    </row>
    <row r="11" spans="1:52" x14ac:dyDescent="0.25">
      <c r="B11" s="2435">
        <v>7025</v>
      </c>
      <c r="C11" s="2437" t="s">
        <v>314</v>
      </c>
      <c r="D11" s="2436" t="s">
        <v>315</v>
      </c>
    </row>
    <row r="12" spans="1:52" x14ac:dyDescent="0.25">
      <c r="B12" s="2435">
        <v>84050</v>
      </c>
      <c r="C12" s="2437" t="s">
        <v>316</v>
      </c>
      <c r="D12" s="2436" t="s">
        <v>317</v>
      </c>
    </row>
    <row r="13" spans="1:52" x14ac:dyDescent="0.25">
      <c r="B13" s="2435">
        <v>93042</v>
      </c>
      <c r="C13" s="2437" t="s">
        <v>318</v>
      </c>
      <c r="D13" s="2436" t="s">
        <v>313</v>
      </c>
    </row>
    <row r="14" spans="1:52" x14ac:dyDescent="0.25">
      <c r="B14" s="2435">
        <v>78070</v>
      </c>
      <c r="C14" s="2437" t="s">
        <v>319</v>
      </c>
      <c r="D14" s="2436" t="s">
        <v>320</v>
      </c>
    </row>
    <row r="15" spans="1:52" x14ac:dyDescent="0.25">
      <c r="B15" s="2435">
        <v>88055</v>
      </c>
      <c r="C15" s="2437" t="s">
        <v>321</v>
      </c>
      <c r="D15" s="2436" t="s">
        <v>322</v>
      </c>
    </row>
    <row r="16" spans="1:52" x14ac:dyDescent="0.25">
      <c r="B16" s="2435">
        <v>7047</v>
      </c>
      <c r="C16" s="2437" t="s">
        <v>323</v>
      </c>
      <c r="D16" s="2436" t="s">
        <v>315</v>
      </c>
    </row>
    <row r="17" spans="2:4" x14ac:dyDescent="0.25">
      <c r="B17" s="2435">
        <v>55008</v>
      </c>
      <c r="C17" s="2437" t="s">
        <v>324</v>
      </c>
      <c r="D17" s="2436" t="s">
        <v>305</v>
      </c>
    </row>
    <row r="18" spans="2:4" x14ac:dyDescent="0.25">
      <c r="B18" s="2435">
        <v>19037</v>
      </c>
      <c r="C18" s="2437" t="s">
        <v>325</v>
      </c>
      <c r="D18" s="2436" t="s">
        <v>307</v>
      </c>
    </row>
    <row r="19" spans="2:4" x14ac:dyDescent="0.25">
      <c r="B19" s="2435">
        <v>78060</v>
      </c>
      <c r="C19" s="2437" t="s">
        <v>326</v>
      </c>
      <c r="D19" s="2436" t="s">
        <v>320</v>
      </c>
    </row>
    <row r="20" spans="2:4" x14ac:dyDescent="0.25">
      <c r="B20" s="2435">
        <v>41055</v>
      </c>
      <c r="C20" s="2437" t="s">
        <v>327</v>
      </c>
      <c r="D20" s="2436" t="s">
        <v>303</v>
      </c>
    </row>
    <row r="21" spans="2:4" x14ac:dyDescent="0.25">
      <c r="B21" s="2435">
        <v>50013</v>
      </c>
      <c r="C21" s="2437" t="s">
        <v>328</v>
      </c>
      <c r="D21" s="2436" t="s">
        <v>329</v>
      </c>
    </row>
    <row r="22" spans="2:4" x14ac:dyDescent="0.25">
      <c r="B22" s="2435">
        <v>13045</v>
      </c>
      <c r="C22" s="2437" t="s">
        <v>330</v>
      </c>
      <c r="D22" s="2436" t="s">
        <v>315</v>
      </c>
    </row>
    <row r="23" spans="2:4" x14ac:dyDescent="0.25">
      <c r="B23" s="2435">
        <v>30055</v>
      </c>
      <c r="C23" s="2437" t="s">
        <v>331</v>
      </c>
      <c r="D23" s="2436" t="s">
        <v>303</v>
      </c>
    </row>
    <row r="24" spans="2:4" x14ac:dyDescent="0.25">
      <c r="B24" s="2435">
        <v>83090</v>
      </c>
      <c r="C24" s="2437" t="s">
        <v>332</v>
      </c>
      <c r="D24" s="2436" t="s">
        <v>317</v>
      </c>
    </row>
    <row r="25" spans="2:4" x14ac:dyDescent="0.25">
      <c r="B25" s="2435">
        <v>99105</v>
      </c>
      <c r="C25" s="2437" t="s">
        <v>333</v>
      </c>
      <c r="D25" s="2436" t="s">
        <v>311</v>
      </c>
    </row>
    <row r="26" spans="2:4" x14ac:dyDescent="0.25">
      <c r="B26" s="2435">
        <v>45085</v>
      </c>
      <c r="C26" s="2437" t="s">
        <v>334</v>
      </c>
      <c r="D26" s="2436" t="s">
        <v>303</v>
      </c>
    </row>
    <row r="27" spans="2:4" x14ac:dyDescent="0.25">
      <c r="B27" s="2435">
        <v>87050</v>
      </c>
      <c r="C27" s="2437" t="s">
        <v>335</v>
      </c>
      <c r="D27" s="2436" t="s">
        <v>322</v>
      </c>
    </row>
    <row r="28" spans="2:4" x14ac:dyDescent="0.25">
      <c r="B28" s="2435">
        <v>87100</v>
      </c>
      <c r="C28" s="2437" t="s">
        <v>336</v>
      </c>
      <c r="D28" s="2436" t="s">
        <v>322</v>
      </c>
    </row>
    <row r="29" spans="2:4" x14ac:dyDescent="0.25">
      <c r="B29" s="2435">
        <v>45035</v>
      </c>
      <c r="C29" s="2437" t="s">
        <v>337</v>
      </c>
      <c r="D29" s="2436" t="s">
        <v>303</v>
      </c>
    </row>
    <row r="30" spans="2:4" x14ac:dyDescent="0.25">
      <c r="B30" s="2435">
        <v>96020</v>
      </c>
      <c r="C30" s="2437" t="s">
        <v>338</v>
      </c>
      <c r="D30" s="2436" t="s">
        <v>309</v>
      </c>
    </row>
    <row r="31" spans="2:4" x14ac:dyDescent="0.25">
      <c r="B31" s="2435">
        <v>8080</v>
      </c>
      <c r="C31" s="2437" t="s">
        <v>339</v>
      </c>
      <c r="D31" s="2436" t="s">
        <v>315</v>
      </c>
    </row>
    <row r="32" spans="2:4" x14ac:dyDescent="0.25">
      <c r="B32" s="2435">
        <v>50100</v>
      </c>
      <c r="C32" s="2437" t="s">
        <v>340</v>
      </c>
      <c r="D32" s="2436" t="s">
        <v>329</v>
      </c>
    </row>
    <row r="33" spans="2:4" x14ac:dyDescent="0.25">
      <c r="B33" s="2435">
        <v>66112</v>
      </c>
      <c r="C33" s="2437" t="s">
        <v>341</v>
      </c>
      <c r="D33" s="2436" t="s">
        <v>342</v>
      </c>
    </row>
    <row r="34" spans="2:4" x14ac:dyDescent="0.25">
      <c r="B34" s="2435">
        <v>98035</v>
      </c>
      <c r="C34" s="2437" t="s">
        <v>343</v>
      </c>
      <c r="D34" s="2436" t="s">
        <v>309</v>
      </c>
    </row>
    <row r="35" spans="2:4" x14ac:dyDescent="0.25">
      <c r="B35" s="2435">
        <v>15065</v>
      </c>
      <c r="C35" s="2437" t="s">
        <v>344</v>
      </c>
      <c r="D35" s="2436" t="s">
        <v>345</v>
      </c>
    </row>
    <row r="36" spans="2:4" x14ac:dyDescent="0.25">
      <c r="B36" s="2435">
        <v>16013</v>
      </c>
      <c r="C36" s="2437" t="s">
        <v>346</v>
      </c>
      <c r="D36" s="2436" t="s">
        <v>345</v>
      </c>
    </row>
    <row r="37" spans="2:4" x14ac:dyDescent="0.25">
      <c r="B37" s="2435">
        <v>96005</v>
      </c>
      <c r="C37" s="2437" t="s">
        <v>347</v>
      </c>
      <c r="D37" s="2436" t="s">
        <v>309</v>
      </c>
    </row>
    <row r="38" spans="2:4" x14ac:dyDescent="0.25">
      <c r="B38" s="2435">
        <v>78050</v>
      </c>
      <c r="C38" s="2437" t="s">
        <v>348</v>
      </c>
      <c r="D38" s="2436" t="s">
        <v>320</v>
      </c>
    </row>
    <row r="39" spans="2:4" x14ac:dyDescent="0.25">
      <c r="B39" s="2435">
        <v>44045</v>
      </c>
      <c r="C39" s="2437" t="s">
        <v>349</v>
      </c>
      <c r="D39" s="2436" t="s">
        <v>303</v>
      </c>
    </row>
    <row r="40" spans="2:4" x14ac:dyDescent="0.25">
      <c r="B40" s="2435">
        <v>88022</v>
      </c>
      <c r="C40" s="2437" t="s">
        <v>350</v>
      </c>
      <c r="D40" s="2436" t="s">
        <v>322</v>
      </c>
    </row>
    <row r="41" spans="2:4" x14ac:dyDescent="0.25">
      <c r="B41" s="2435">
        <v>37210</v>
      </c>
      <c r="C41" s="2437" t="s">
        <v>351</v>
      </c>
      <c r="D41" s="2436" t="s">
        <v>352</v>
      </c>
    </row>
    <row r="42" spans="2:4" x14ac:dyDescent="0.25">
      <c r="B42" s="2435">
        <v>66107</v>
      </c>
      <c r="C42" s="2437" t="s">
        <v>353</v>
      </c>
      <c r="D42" s="2436" t="s">
        <v>342</v>
      </c>
    </row>
    <row r="43" spans="2:4" x14ac:dyDescent="0.25">
      <c r="B43" s="2435">
        <v>85020</v>
      </c>
      <c r="C43" s="2437" t="s">
        <v>354</v>
      </c>
      <c r="D43" s="2436" t="s">
        <v>322</v>
      </c>
    </row>
    <row r="44" spans="2:4" x14ac:dyDescent="0.25">
      <c r="B44" s="2435">
        <v>27028</v>
      </c>
      <c r="C44" s="2437" t="s">
        <v>355</v>
      </c>
      <c r="D44" s="2436" t="s">
        <v>307</v>
      </c>
    </row>
    <row r="45" spans="2:4" x14ac:dyDescent="0.25">
      <c r="B45" s="2435">
        <v>70022</v>
      </c>
      <c r="C45" s="2437" t="s">
        <v>356</v>
      </c>
      <c r="D45" s="2436" t="s">
        <v>305</v>
      </c>
    </row>
    <row r="46" spans="2:4" x14ac:dyDescent="0.25">
      <c r="B46" s="2435">
        <v>31008</v>
      </c>
      <c r="C46" s="2437" t="s">
        <v>357</v>
      </c>
      <c r="D46" s="2436" t="s">
        <v>307</v>
      </c>
    </row>
    <row r="47" spans="2:4" x14ac:dyDescent="0.25">
      <c r="B47" s="2435">
        <v>19105</v>
      </c>
      <c r="C47" s="2437" t="s">
        <v>358</v>
      </c>
      <c r="D47" s="2436" t="s">
        <v>307</v>
      </c>
    </row>
    <row r="48" spans="2:4" x14ac:dyDescent="0.25">
      <c r="B48" s="2435">
        <v>21025</v>
      </c>
      <c r="C48" s="2437" t="s">
        <v>359</v>
      </c>
      <c r="D48" s="2436" t="s">
        <v>345</v>
      </c>
    </row>
    <row r="49" spans="2:4" x14ac:dyDescent="0.25">
      <c r="B49" s="2435">
        <v>38010</v>
      </c>
      <c r="C49" s="2437" t="s">
        <v>360</v>
      </c>
      <c r="D49" s="2436" t="s">
        <v>329</v>
      </c>
    </row>
    <row r="50" spans="2:4" x14ac:dyDescent="0.25">
      <c r="B50" s="2435">
        <v>46040</v>
      </c>
      <c r="C50" s="2437" t="s">
        <v>361</v>
      </c>
      <c r="D50" s="2436" t="s">
        <v>303</v>
      </c>
    </row>
    <row r="51" spans="2:4" x14ac:dyDescent="0.25">
      <c r="B51" s="2435">
        <v>46035</v>
      </c>
      <c r="C51" s="2437" t="s">
        <v>361</v>
      </c>
      <c r="D51" s="2436" t="s">
        <v>303</v>
      </c>
    </row>
    <row r="52" spans="2:4" x14ac:dyDescent="0.25">
      <c r="B52" s="2435">
        <v>94250</v>
      </c>
      <c r="C52" s="2437" t="s">
        <v>362</v>
      </c>
      <c r="D52" s="2436" t="s">
        <v>313</v>
      </c>
    </row>
    <row r="53" spans="2:4" x14ac:dyDescent="0.25">
      <c r="B53" s="2435">
        <v>89050</v>
      </c>
      <c r="C53" s="2437" t="s">
        <v>363</v>
      </c>
      <c r="D53" s="2436" t="s">
        <v>322</v>
      </c>
    </row>
    <row r="54" spans="2:4" x14ac:dyDescent="0.25">
      <c r="B54" s="2435">
        <v>85065</v>
      </c>
      <c r="C54" s="2437" t="s">
        <v>364</v>
      </c>
      <c r="D54" s="2436" t="s">
        <v>322</v>
      </c>
    </row>
    <row r="55" spans="2:4" x14ac:dyDescent="0.25">
      <c r="B55" s="2435">
        <v>57040</v>
      </c>
      <c r="C55" s="2437" t="s">
        <v>365</v>
      </c>
      <c r="D55" s="2436" t="s">
        <v>305</v>
      </c>
    </row>
    <row r="56" spans="2:4" x14ac:dyDescent="0.25">
      <c r="B56" s="2435">
        <v>88070</v>
      </c>
      <c r="C56" s="2437" t="s">
        <v>366</v>
      </c>
      <c r="D56" s="2436" t="s">
        <v>322</v>
      </c>
    </row>
    <row r="57" spans="2:4" x14ac:dyDescent="0.25">
      <c r="B57" s="2435">
        <v>18065</v>
      </c>
      <c r="C57" s="2437" t="s">
        <v>367</v>
      </c>
      <c r="D57" s="2436" t="s">
        <v>307</v>
      </c>
    </row>
    <row r="58" spans="2:4" x14ac:dyDescent="0.25">
      <c r="B58" s="2435">
        <v>52035</v>
      </c>
      <c r="C58" s="2437" t="s">
        <v>368</v>
      </c>
      <c r="D58" s="2436" t="s">
        <v>369</v>
      </c>
    </row>
    <row r="59" spans="2:4" x14ac:dyDescent="0.25">
      <c r="B59" s="2435">
        <v>48005</v>
      </c>
      <c r="C59" s="2437" t="s">
        <v>370</v>
      </c>
      <c r="D59" s="2436" t="s">
        <v>305</v>
      </c>
    </row>
    <row r="60" spans="2:4" x14ac:dyDescent="0.25">
      <c r="B60" s="2435">
        <v>13055</v>
      </c>
      <c r="C60" s="2437" t="s">
        <v>371</v>
      </c>
      <c r="D60" s="2436" t="s">
        <v>315</v>
      </c>
    </row>
    <row r="61" spans="2:4" x14ac:dyDescent="0.25">
      <c r="B61" s="2435">
        <v>73015</v>
      </c>
      <c r="C61" s="2437" t="s">
        <v>372</v>
      </c>
      <c r="D61" s="2436" t="s">
        <v>320</v>
      </c>
    </row>
    <row r="62" spans="2:4" x14ac:dyDescent="0.25">
      <c r="B62" s="2435">
        <v>98005</v>
      </c>
      <c r="C62" s="2437" t="s">
        <v>373</v>
      </c>
      <c r="D62" s="2436" t="s">
        <v>309</v>
      </c>
    </row>
    <row r="63" spans="2:4" x14ac:dyDescent="0.25">
      <c r="B63" s="2435">
        <v>83045</v>
      </c>
      <c r="C63" s="2437" t="s">
        <v>374</v>
      </c>
      <c r="D63" s="2436" t="s">
        <v>317</v>
      </c>
    </row>
    <row r="64" spans="2:4" x14ac:dyDescent="0.25">
      <c r="B64" s="2435">
        <v>80115</v>
      </c>
      <c r="C64" s="2437" t="s">
        <v>375</v>
      </c>
      <c r="D64" s="2436" t="s">
        <v>317</v>
      </c>
    </row>
    <row r="65" spans="2:4" x14ac:dyDescent="0.25">
      <c r="B65" s="2435">
        <v>73005</v>
      </c>
      <c r="C65" s="2437" t="s">
        <v>376</v>
      </c>
      <c r="D65" s="2436" t="s">
        <v>320</v>
      </c>
    </row>
    <row r="66" spans="2:4" x14ac:dyDescent="0.25">
      <c r="B66" s="2435">
        <v>21045</v>
      </c>
      <c r="C66" s="2437" t="s">
        <v>377</v>
      </c>
      <c r="D66" s="2436" t="s">
        <v>345</v>
      </c>
    </row>
    <row r="67" spans="2:4" x14ac:dyDescent="0.25">
      <c r="B67" s="2435">
        <v>73030</v>
      </c>
      <c r="C67" s="2437" t="s">
        <v>378</v>
      </c>
      <c r="D67" s="2436" t="s">
        <v>320</v>
      </c>
    </row>
    <row r="68" spans="2:4" x14ac:dyDescent="0.25">
      <c r="B68" s="2435">
        <v>83085</v>
      </c>
      <c r="C68" s="2437" t="s">
        <v>379</v>
      </c>
      <c r="D68" s="2436" t="s">
        <v>317</v>
      </c>
    </row>
    <row r="69" spans="2:4" x14ac:dyDescent="0.25">
      <c r="B69" s="2435">
        <v>45095</v>
      </c>
      <c r="C69" s="2437" t="s">
        <v>380</v>
      </c>
      <c r="D69" s="2436" t="s">
        <v>303</v>
      </c>
    </row>
    <row r="70" spans="2:4" x14ac:dyDescent="0.25">
      <c r="B70" s="2435">
        <v>46065</v>
      </c>
      <c r="C70" s="2437" t="s">
        <v>381</v>
      </c>
      <c r="D70" s="2436" t="s">
        <v>303</v>
      </c>
    </row>
    <row r="71" spans="2:4" x14ac:dyDescent="0.25">
      <c r="B71" s="2435">
        <v>5045</v>
      </c>
      <c r="C71" s="2437" t="s">
        <v>382</v>
      </c>
      <c r="D71" s="2436" t="s">
        <v>383</v>
      </c>
    </row>
    <row r="72" spans="2:4" x14ac:dyDescent="0.25">
      <c r="B72" s="2435">
        <v>98010</v>
      </c>
      <c r="C72" s="2437" t="s">
        <v>384</v>
      </c>
      <c r="D72" s="2436" t="s">
        <v>309</v>
      </c>
    </row>
    <row r="73" spans="2:4" x14ac:dyDescent="0.25">
      <c r="B73" s="2435">
        <v>42040</v>
      </c>
      <c r="C73" s="2437" t="s">
        <v>385</v>
      </c>
      <c r="D73" s="2436" t="s">
        <v>303</v>
      </c>
    </row>
    <row r="74" spans="2:4" x14ac:dyDescent="0.25">
      <c r="B74" s="2435">
        <v>58033</v>
      </c>
      <c r="C74" s="2437" t="s">
        <v>386</v>
      </c>
      <c r="D74" s="2436" t="s">
        <v>305</v>
      </c>
    </row>
    <row r="75" spans="2:4" x14ac:dyDescent="0.25">
      <c r="B75" s="2435">
        <v>83050</v>
      </c>
      <c r="C75" s="2437" t="s">
        <v>387</v>
      </c>
      <c r="D75" s="2436" t="s">
        <v>317</v>
      </c>
    </row>
    <row r="76" spans="2:4" x14ac:dyDescent="0.25">
      <c r="B76" s="2435">
        <v>80145</v>
      </c>
      <c r="C76" s="2437" t="s">
        <v>388</v>
      </c>
      <c r="D76" s="2436" t="s">
        <v>317</v>
      </c>
    </row>
    <row r="77" spans="2:4" x14ac:dyDescent="0.25">
      <c r="B77" s="2435">
        <v>78075</v>
      </c>
      <c r="C77" s="2437" t="s">
        <v>389</v>
      </c>
      <c r="D77" s="2436" t="s">
        <v>320</v>
      </c>
    </row>
    <row r="78" spans="2:4" x14ac:dyDescent="0.25">
      <c r="B78" s="2435">
        <v>46090</v>
      </c>
      <c r="C78" s="2437" t="s">
        <v>390</v>
      </c>
      <c r="D78" s="2436" t="s">
        <v>303</v>
      </c>
    </row>
    <row r="79" spans="2:4" x14ac:dyDescent="0.25">
      <c r="B79" s="2435">
        <v>84005</v>
      </c>
      <c r="C79" s="2437" t="s">
        <v>391</v>
      </c>
      <c r="D79" s="2436" t="s">
        <v>317</v>
      </c>
    </row>
    <row r="80" spans="2:4" x14ac:dyDescent="0.25">
      <c r="B80" s="2435">
        <v>46070</v>
      </c>
      <c r="C80" s="2437" t="s">
        <v>392</v>
      </c>
      <c r="D80" s="2436" t="s">
        <v>303</v>
      </c>
    </row>
    <row r="81" spans="2:4" x14ac:dyDescent="0.25">
      <c r="B81" s="2435">
        <v>46078</v>
      </c>
      <c r="C81" s="2437" t="s">
        <v>393</v>
      </c>
      <c r="D81" s="2436" t="s">
        <v>303</v>
      </c>
    </row>
    <row r="82" spans="2:4" x14ac:dyDescent="0.25">
      <c r="B82" s="2435">
        <v>58007</v>
      </c>
      <c r="C82" s="2437" t="s">
        <v>394</v>
      </c>
      <c r="D82" s="2436" t="s">
        <v>305</v>
      </c>
    </row>
    <row r="83" spans="2:4" x14ac:dyDescent="0.25">
      <c r="B83" s="2435">
        <v>76043</v>
      </c>
      <c r="C83" s="2437" t="s">
        <v>395</v>
      </c>
      <c r="D83" s="2436" t="s">
        <v>320</v>
      </c>
    </row>
    <row r="84" spans="2:4" x14ac:dyDescent="0.25">
      <c r="B84" s="2435">
        <v>84025</v>
      </c>
      <c r="C84" s="2437" t="s">
        <v>396</v>
      </c>
      <c r="D84" s="2436" t="s">
        <v>317</v>
      </c>
    </row>
    <row r="85" spans="2:4" x14ac:dyDescent="0.25">
      <c r="B85" s="2435">
        <v>41070</v>
      </c>
      <c r="C85" s="2437" t="s">
        <v>397</v>
      </c>
      <c r="D85" s="2436" t="s">
        <v>303</v>
      </c>
    </row>
    <row r="86" spans="2:4" x14ac:dyDescent="0.25">
      <c r="B86" s="2435">
        <v>12057</v>
      </c>
      <c r="C86" s="2437" t="s">
        <v>398</v>
      </c>
      <c r="D86" s="2436" t="s">
        <v>315</v>
      </c>
    </row>
    <row r="87" spans="2:4" x14ac:dyDescent="0.25">
      <c r="B87" s="2435">
        <v>59030</v>
      </c>
      <c r="C87" s="2437" t="s">
        <v>399</v>
      </c>
      <c r="D87" s="2436" t="s">
        <v>305</v>
      </c>
    </row>
    <row r="88" spans="2:4" x14ac:dyDescent="0.25">
      <c r="B88" s="2435">
        <v>84030</v>
      </c>
      <c r="C88" s="2437" t="s">
        <v>400</v>
      </c>
      <c r="D88" s="2436" t="s">
        <v>317</v>
      </c>
    </row>
    <row r="89" spans="2:4" x14ac:dyDescent="0.25">
      <c r="B89" s="2435">
        <v>67020</v>
      </c>
      <c r="C89" s="2437" t="s">
        <v>401</v>
      </c>
      <c r="D89" s="2436" t="s">
        <v>305</v>
      </c>
    </row>
    <row r="90" spans="2:4" x14ac:dyDescent="0.25">
      <c r="B90" s="2435">
        <v>82020</v>
      </c>
      <c r="C90" s="2437" t="s">
        <v>402</v>
      </c>
      <c r="D90" s="2436" t="s">
        <v>317</v>
      </c>
    </row>
    <row r="91" spans="2:4" x14ac:dyDescent="0.25">
      <c r="B91" s="2435">
        <v>4047</v>
      </c>
      <c r="C91" s="2437" t="s">
        <v>403</v>
      </c>
      <c r="D91" s="2436" t="s">
        <v>383</v>
      </c>
    </row>
    <row r="92" spans="2:4" x14ac:dyDescent="0.25">
      <c r="B92" s="2435">
        <v>5060</v>
      </c>
      <c r="C92" s="2437" t="s">
        <v>404</v>
      </c>
      <c r="D92" s="2436" t="s">
        <v>383</v>
      </c>
    </row>
    <row r="93" spans="2:4" x14ac:dyDescent="0.25">
      <c r="B93" s="2435">
        <v>18045</v>
      </c>
      <c r="C93" s="2437" t="s">
        <v>405</v>
      </c>
      <c r="D93" s="2436" t="s">
        <v>307</v>
      </c>
    </row>
    <row r="94" spans="2:4" x14ac:dyDescent="0.25">
      <c r="B94" s="2435">
        <v>34030</v>
      </c>
      <c r="C94" s="2437" t="s">
        <v>406</v>
      </c>
      <c r="D94" s="2436" t="s">
        <v>345</v>
      </c>
    </row>
    <row r="95" spans="2:4" x14ac:dyDescent="0.25">
      <c r="B95" s="2435">
        <v>57010</v>
      </c>
      <c r="C95" s="2437" t="s">
        <v>407</v>
      </c>
      <c r="D95" s="2436" t="s">
        <v>305</v>
      </c>
    </row>
    <row r="96" spans="2:4" x14ac:dyDescent="0.25">
      <c r="B96" s="2435">
        <v>6013</v>
      </c>
      <c r="C96" s="2437" t="s">
        <v>408</v>
      </c>
      <c r="D96" s="2436" t="s">
        <v>383</v>
      </c>
    </row>
    <row r="97" spans="2:4" x14ac:dyDescent="0.25">
      <c r="B97" s="2435">
        <v>5077</v>
      </c>
      <c r="C97" s="2437" t="s">
        <v>409</v>
      </c>
      <c r="D97" s="2436" t="s">
        <v>383</v>
      </c>
    </row>
    <row r="98" spans="2:4" x14ac:dyDescent="0.25">
      <c r="B98" s="2435">
        <v>7018</v>
      </c>
      <c r="C98" s="2437" t="s">
        <v>410</v>
      </c>
      <c r="D98" s="2436" t="s">
        <v>315</v>
      </c>
    </row>
    <row r="99" spans="2:4" x14ac:dyDescent="0.25">
      <c r="B99" s="2435">
        <v>83040</v>
      </c>
      <c r="C99" s="2437" t="s">
        <v>411</v>
      </c>
      <c r="D99" s="2436" t="s">
        <v>317</v>
      </c>
    </row>
    <row r="100" spans="2:4" x14ac:dyDescent="0.25">
      <c r="B100" s="2435">
        <v>57005</v>
      </c>
      <c r="C100" s="2437" t="s">
        <v>412</v>
      </c>
      <c r="D100" s="2436" t="s">
        <v>305</v>
      </c>
    </row>
    <row r="101" spans="2:4" x14ac:dyDescent="0.25">
      <c r="B101" s="2435">
        <v>91020</v>
      </c>
      <c r="C101" s="2437" t="s">
        <v>413</v>
      </c>
      <c r="D101" s="2436" t="s">
        <v>313</v>
      </c>
    </row>
    <row r="102" spans="2:4" x14ac:dyDescent="0.25">
      <c r="B102" s="2435">
        <v>37220</v>
      </c>
      <c r="C102" s="2437" t="s">
        <v>414</v>
      </c>
      <c r="D102" s="2436" t="s">
        <v>352</v>
      </c>
    </row>
    <row r="103" spans="2:4" x14ac:dyDescent="0.25">
      <c r="B103" s="2435">
        <v>88005</v>
      </c>
      <c r="C103" s="2437" t="s">
        <v>415</v>
      </c>
      <c r="D103" s="2436" t="s">
        <v>322</v>
      </c>
    </row>
    <row r="104" spans="2:4" x14ac:dyDescent="0.25">
      <c r="B104" s="2435">
        <v>2028</v>
      </c>
      <c r="C104" s="2437" t="s">
        <v>416</v>
      </c>
      <c r="D104" s="2436" t="s">
        <v>383</v>
      </c>
    </row>
    <row r="105" spans="2:4" x14ac:dyDescent="0.25">
      <c r="B105" s="2435">
        <v>99020</v>
      </c>
      <c r="C105" s="2437" t="s">
        <v>417</v>
      </c>
      <c r="D105" s="2436" t="s">
        <v>311</v>
      </c>
    </row>
    <row r="106" spans="2:4" x14ac:dyDescent="0.25">
      <c r="B106" s="2435">
        <v>51080</v>
      </c>
      <c r="C106" s="2437" t="s">
        <v>418</v>
      </c>
      <c r="D106" s="2436" t="s">
        <v>352</v>
      </c>
    </row>
    <row r="107" spans="2:4" x14ac:dyDescent="0.25">
      <c r="B107" s="2435">
        <v>60005</v>
      </c>
      <c r="C107" s="2437" t="s">
        <v>419</v>
      </c>
      <c r="D107" s="2436" t="s">
        <v>369</v>
      </c>
    </row>
    <row r="108" spans="2:4" x14ac:dyDescent="0.25">
      <c r="B108" s="2435">
        <v>41020</v>
      </c>
      <c r="C108" s="2437" t="s">
        <v>420</v>
      </c>
      <c r="D108" s="2436" t="s">
        <v>303</v>
      </c>
    </row>
    <row r="109" spans="2:4" x14ac:dyDescent="0.25">
      <c r="B109" s="2435">
        <v>67050</v>
      </c>
      <c r="C109" s="2437" t="s">
        <v>421</v>
      </c>
      <c r="D109" s="2436" t="s">
        <v>305</v>
      </c>
    </row>
    <row r="110" spans="2:4" x14ac:dyDescent="0.25">
      <c r="B110" s="2435">
        <v>21035</v>
      </c>
      <c r="C110" s="2437" t="s">
        <v>422</v>
      </c>
      <c r="D110" s="2436" t="s">
        <v>345</v>
      </c>
    </row>
    <row r="111" spans="2:4" x14ac:dyDescent="0.25">
      <c r="B111" s="2435">
        <v>87095</v>
      </c>
      <c r="C111" s="2437" t="s">
        <v>423</v>
      </c>
      <c r="D111" s="2436" t="s">
        <v>322</v>
      </c>
    </row>
    <row r="112" spans="2:4" x14ac:dyDescent="0.25">
      <c r="B112" s="2435">
        <v>82025</v>
      </c>
      <c r="C112" s="2437" t="s">
        <v>424</v>
      </c>
      <c r="D112" s="2436" t="s">
        <v>317</v>
      </c>
    </row>
    <row r="113" spans="2:4" x14ac:dyDescent="0.25">
      <c r="B113" s="2435">
        <v>80103</v>
      </c>
      <c r="C113" s="2437" t="s">
        <v>425</v>
      </c>
      <c r="D113" s="2436" t="s">
        <v>317</v>
      </c>
    </row>
    <row r="114" spans="2:4" x14ac:dyDescent="0.25">
      <c r="B114" s="2435">
        <v>62047</v>
      </c>
      <c r="C114" s="2437" t="s">
        <v>426</v>
      </c>
      <c r="D114" s="2436" t="s">
        <v>369</v>
      </c>
    </row>
    <row r="115" spans="2:4" x14ac:dyDescent="0.25">
      <c r="B115" s="2435">
        <v>39030</v>
      </c>
      <c r="C115" s="2437" t="s">
        <v>427</v>
      </c>
      <c r="D115" s="2436" t="s">
        <v>329</v>
      </c>
    </row>
    <row r="116" spans="2:4" x14ac:dyDescent="0.25">
      <c r="B116" s="2435">
        <v>99025</v>
      </c>
      <c r="C116" s="2437" t="s">
        <v>428</v>
      </c>
      <c r="D116" s="2436" t="s">
        <v>311</v>
      </c>
    </row>
    <row r="117" spans="2:4" x14ac:dyDescent="0.25">
      <c r="B117" s="2435">
        <v>84090</v>
      </c>
      <c r="C117" s="2437" t="s">
        <v>429</v>
      </c>
      <c r="D117" s="2436" t="s">
        <v>317</v>
      </c>
    </row>
    <row r="118" spans="2:4" x14ac:dyDescent="0.25">
      <c r="B118" s="2435">
        <v>99055</v>
      </c>
      <c r="C118" s="2437" t="s">
        <v>430</v>
      </c>
      <c r="D118" s="2436" t="s">
        <v>311</v>
      </c>
    </row>
    <row r="119" spans="2:4" x14ac:dyDescent="0.25">
      <c r="B119" s="2435">
        <v>96035</v>
      </c>
      <c r="C119" s="2437" t="s">
        <v>431</v>
      </c>
      <c r="D119" s="2436" t="s">
        <v>309</v>
      </c>
    </row>
    <row r="120" spans="2:4" x14ac:dyDescent="0.25">
      <c r="B120" s="2435">
        <v>79065</v>
      </c>
      <c r="C120" s="2437" t="s">
        <v>432</v>
      </c>
      <c r="D120" s="2436" t="s">
        <v>320</v>
      </c>
    </row>
    <row r="121" spans="2:4" x14ac:dyDescent="0.25">
      <c r="B121" s="2435">
        <v>56010</v>
      </c>
      <c r="C121" s="2437" t="s">
        <v>433</v>
      </c>
      <c r="D121" s="2436" t="s">
        <v>305</v>
      </c>
    </row>
    <row r="122" spans="2:4" x14ac:dyDescent="0.25">
      <c r="B122" s="2435">
        <v>84015</v>
      </c>
      <c r="C122" s="2437" t="s">
        <v>434</v>
      </c>
      <c r="D122" s="2436" t="s">
        <v>317</v>
      </c>
    </row>
    <row r="123" spans="2:4" x14ac:dyDescent="0.25">
      <c r="B123" s="2435">
        <v>87110</v>
      </c>
      <c r="C123" s="2437" t="s">
        <v>435</v>
      </c>
      <c r="D123" s="2436" t="s">
        <v>322</v>
      </c>
    </row>
    <row r="124" spans="2:4" x14ac:dyDescent="0.25">
      <c r="B124" s="2435">
        <v>15035</v>
      </c>
      <c r="C124" s="2437" t="s">
        <v>435</v>
      </c>
      <c r="D124" s="2436" t="s">
        <v>345</v>
      </c>
    </row>
    <row r="125" spans="2:4" x14ac:dyDescent="0.25">
      <c r="B125" s="2435">
        <v>87075</v>
      </c>
      <c r="C125" s="2437" t="s">
        <v>436</v>
      </c>
      <c r="D125" s="2436" t="s">
        <v>322</v>
      </c>
    </row>
    <row r="126" spans="2:4" x14ac:dyDescent="0.25">
      <c r="B126" s="2435">
        <v>42110</v>
      </c>
      <c r="C126" s="2437" t="s">
        <v>437</v>
      </c>
      <c r="D126" s="2436" t="s">
        <v>303</v>
      </c>
    </row>
    <row r="127" spans="2:4" x14ac:dyDescent="0.25">
      <c r="B127" s="2435">
        <v>3010</v>
      </c>
      <c r="C127" s="2437" t="s">
        <v>438</v>
      </c>
      <c r="D127" s="2436" t="s">
        <v>383</v>
      </c>
    </row>
    <row r="128" spans="2:4" x14ac:dyDescent="0.25">
      <c r="B128" s="2435">
        <v>44037</v>
      </c>
      <c r="C128" s="2437" t="s">
        <v>439</v>
      </c>
      <c r="D128" s="2436" t="s">
        <v>303</v>
      </c>
    </row>
    <row r="129" spans="2:4" x14ac:dyDescent="0.25">
      <c r="B129" s="2435">
        <v>95050</v>
      </c>
      <c r="C129" s="2437" t="s">
        <v>440</v>
      </c>
      <c r="D129" s="2436" t="s">
        <v>309</v>
      </c>
    </row>
    <row r="130" spans="2:4" x14ac:dyDescent="0.25">
      <c r="B130" s="2435">
        <v>44071</v>
      </c>
      <c r="C130" s="2437" t="s">
        <v>441</v>
      </c>
      <c r="D130" s="2436" t="s">
        <v>303</v>
      </c>
    </row>
    <row r="131" spans="2:4" x14ac:dyDescent="0.25">
      <c r="B131" s="2435">
        <v>59035</v>
      </c>
      <c r="C131" s="2437" t="s">
        <v>442</v>
      </c>
      <c r="D131" s="2436" t="s">
        <v>305</v>
      </c>
    </row>
    <row r="132" spans="2:4" x14ac:dyDescent="0.25">
      <c r="B132" s="2435">
        <v>41038</v>
      </c>
      <c r="C132" s="2437" t="s">
        <v>443</v>
      </c>
      <c r="D132" s="2436" t="s">
        <v>303</v>
      </c>
    </row>
    <row r="133" spans="2:4" x14ac:dyDescent="0.25">
      <c r="B133" s="2435">
        <v>71040</v>
      </c>
      <c r="C133" s="2437" t="s">
        <v>444</v>
      </c>
      <c r="D133" s="2436" t="s">
        <v>305</v>
      </c>
    </row>
    <row r="134" spans="2:4" x14ac:dyDescent="0.25">
      <c r="B134" s="2435">
        <v>98015</v>
      </c>
      <c r="C134" s="2437" t="s">
        <v>445</v>
      </c>
      <c r="D134" s="2436" t="s">
        <v>309</v>
      </c>
    </row>
    <row r="135" spans="2:4" x14ac:dyDescent="0.25">
      <c r="B135" s="2435">
        <v>66058</v>
      </c>
      <c r="C135" s="2437" t="s">
        <v>446</v>
      </c>
      <c r="D135" s="2436" t="s">
        <v>342</v>
      </c>
    </row>
    <row r="136" spans="2:4" x14ac:dyDescent="0.25">
      <c r="B136" s="2435">
        <v>30090</v>
      </c>
      <c r="C136" s="2437" t="s">
        <v>447</v>
      </c>
      <c r="D136" s="2436" t="s">
        <v>303</v>
      </c>
    </row>
    <row r="137" spans="2:4" x14ac:dyDescent="0.25">
      <c r="B137" s="2435">
        <v>46080</v>
      </c>
      <c r="C137" s="2437" t="s">
        <v>448</v>
      </c>
      <c r="D137" s="2436" t="s">
        <v>303</v>
      </c>
    </row>
    <row r="138" spans="2:4" x14ac:dyDescent="0.25">
      <c r="B138" s="2435">
        <v>61013</v>
      </c>
      <c r="C138" s="2437" t="s">
        <v>449</v>
      </c>
      <c r="D138" s="2436" t="s">
        <v>369</v>
      </c>
    </row>
    <row r="139" spans="2:4" x14ac:dyDescent="0.25">
      <c r="B139" s="2435">
        <v>40047</v>
      </c>
      <c r="C139" s="2437" t="s">
        <v>450</v>
      </c>
      <c r="D139" s="2436" t="s">
        <v>303</v>
      </c>
    </row>
    <row r="140" spans="2:4" x14ac:dyDescent="0.25">
      <c r="B140" s="2435">
        <v>39152</v>
      </c>
      <c r="C140" s="2437" t="s">
        <v>451</v>
      </c>
      <c r="D140" s="2436" t="s">
        <v>329</v>
      </c>
    </row>
    <row r="141" spans="2:4" x14ac:dyDescent="0.25">
      <c r="B141" s="2435">
        <v>13005</v>
      </c>
      <c r="C141" s="2437" t="s">
        <v>452</v>
      </c>
      <c r="D141" s="2436" t="s">
        <v>315</v>
      </c>
    </row>
    <row r="142" spans="2:4" x14ac:dyDescent="0.25">
      <c r="B142" s="2435">
        <v>83070</v>
      </c>
      <c r="C142" s="2437" t="s">
        <v>453</v>
      </c>
      <c r="D142" s="2436" t="s">
        <v>317</v>
      </c>
    </row>
    <row r="143" spans="2:4" x14ac:dyDescent="0.25">
      <c r="B143" s="2435">
        <v>67025</v>
      </c>
      <c r="C143" s="2437" t="s">
        <v>454</v>
      </c>
      <c r="D143" s="2436" t="s">
        <v>305</v>
      </c>
    </row>
    <row r="144" spans="2:4" x14ac:dyDescent="0.25">
      <c r="B144" s="2435">
        <v>83005</v>
      </c>
      <c r="C144" s="2437" t="s">
        <v>455</v>
      </c>
      <c r="D144" s="2436" t="s">
        <v>317</v>
      </c>
    </row>
    <row r="145" spans="2:4" x14ac:dyDescent="0.25">
      <c r="B145" s="2435">
        <v>93005</v>
      </c>
      <c r="C145" s="2437" t="s">
        <v>456</v>
      </c>
      <c r="D145" s="2436" t="s">
        <v>313</v>
      </c>
    </row>
    <row r="146" spans="2:4" x14ac:dyDescent="0.25">
      <c r="B146" s="2435">
        <v>38070</v>
      </c>
      <c r="C146" s="2437" t="s">
        <v>457</v>
      </c>
      <c r="D146" s="2436" t="s">
        <v>329</v>
      </c>
    </row>
    <row r="147" spans="2:4" x14ac:dyDescent="0.25">
      <c r="B147" s="2435">
        <v>34058</v>
      </c>
      <c r="C147" s="2437" t="s">
        <v>458</v>
      </c>
      <c r="D147" s="2436" t="s">
        <v>345</v>
      </c>
    </row>
    <row r="148" spans="2:4" x14ac:dyDescent="0.25">
      <c r="B148" s="2435">
        <v>72010</v>
      </c>
      <c r="C148" s="2437" t="s">
        <v>459</v>
      </c>
      <c r="D148" s="2436" t="s">
        <v>320</v>
      </c>
    </row>
    <row r="149" spans="2:4" x14ac:dyDescent="0.25">
      <c r="B149" s="2435">
        <v>31020</v>
      </c>
      <c r="C149" s="2437" t="s">
        <v>460</v>
      </c>
      <c r="D149" s="2436" t="s">
        <v>307</v>
      </c>
    </row>
    <row r="150" spans="2:4" x14ac:dyDescent="0.25">
      <c r="B150" s="2435">
        <v>31015</v>
      </c>
      <c r="C150" s="2437" t="s">
        <v>460</v>
      </c>
      <c r="D150" s="2436" t="s">
        <v>307</v>
      </c>
    </row>
    <row r="151" spans="2:4" x14ac:dyDescent="0.25">
      <c r="B151" s="2435">
        <v>44023</v>
      </c>
      <c r="C151" s="2437" t="s">
        <v>461</v>
      </c>
      <c r="D151" s="2436" t="s">
        <v>303</v>
      </c>
    </row>
    <row r="152" spans="2:4" x14ac:dyDescent="0.25">
      <c r="B152" s="2435">
        <v>92022</v>
      </c>
      <c r="C152" s="2437" t="s">
        <v>462</v>
      </c>
      <c r="D152" s="2436" t="s">
        <v>313</v>
      </c>
    </row>
    <row r="153" spans="2:4" x14ac:dyDescent="0.25">
      <c r="B153" s="2435">
        <v>66142</v>
      </c>
      <c r="C153" s="2437" t="s">
        <v>463</v>
      </c>
      <c r="D153" s="2436" t="s">
        <v>342</v>
      </c>
    </row>
    <row r="154" spans="2:4" x14ac:dyDescent="0.25">
      <c r="B154" s="2435">
        <v>34025</v>
      </c>
      <c r="C154" s="2437" t="s">
        <v>464</v>
      </c>
      <c r="D154" s="2436" t="s">
        <v>345</v>
      </c>
    </row>
    <row r="155" spans="2:4" x14ac:dyDescent="0.25">
      <c r="B155" s="2435">
        <v>66087</v>
      </c>
      <c r="C155" s="2437" t="s">
        <v>465</v>
      </c>
      <c r="D155" s="2436" t="s">
        <v>342</v>
      </c>
    </row>
    <row r="156" spans="2:4" x14ac:dyDescent="0.25">
      <c r="B156" s="2435">
        <v>33040</v>
      </c>
      <c r="C156" s="2437" t="s">
        <v>466</v>
      </c>
      <c r="D156" s="2436" t="s">
        <v>307</v>
      </c>
    </row>
    <row r="157" spans="2:4" x14ac:dyDescent="0.25">
      <c r="B157" s="2435">
        <v>49058</v>
      </c>
      <c r="C157" s="2437" t="s">
        <v>467</v>
      </c>
      <c r="D157" s="2436" t="s">
        <v>329</v>
      </c>
    </row>
    <row r="158" spans="2:4" x14ac:dyDescent="0.25">
      <c r="B158" s="2435">
        <v>41117</v>
      </c>
      <c r="C158" s="2437" t="s">
        <v>468</v>
      </c>
      <c r="D158" s="2436" t="s">
        <v>303</v>
      </c>
    </row>
    <row r="159" spans="2:4" x14ac:dyDescent="0.25">
      <c r="B159" s="2435">
        <v>80135</v>
      </c>
      <c r="C159" s="2437" t="s">
        <v>469</v>
      </c>
      <c r="D159" s="2436" t="s">
        <v>317</v>
      </c>
    </row>
    <row r="160" spans="2:4" x14ac:dyDescent="0.25">
      <c r="B160" s="2435">
        <v>85030</v>
      </c>
      <c r="C160" s="2437" t="s">
        <v>470</v>
      </c>
      <c r="D160" s="2436" t="s">
        <v>322</v>
      </c>
    </row>
    <row r="161" spans="2:4" x14ac:dyDescent="0.25">
      <c r="B161" s="2435">
        <v>69075</v>
      </c>
      <c r="C161" s="2437" t="s">
        <v>471</v>
      </c>
      <c r="D161" s="2436" t="s">
        <v>305</v>
      </c>
    </row>
    <row r="162" spans="2:4" x14ac:dyDescent="0.25">
      <c r="B162" s="2435">
        <v>46050</v>
      </c>
      <c r="C162" s="2437" t="s">
        <v>472</v>
      </c>
      <c r="D162" s="2436" t="s">
        <v>303</v>
      </c>
    </row>
    <row r="163" spans="2:4" x14ac:dyDescent="0.25">
      <c r="B163" s="2435">
        <v>87005</v>
      </c>
      <c r="C163" s="2437" t="s">
        <v>473</v>
      </c>
      <c r="D163" s="2436" t="s">
        <v>322</v>
      </c>
    </row>
    <row r="164" spans="2:4" x14ac:dyDescent="0.25">
      <c r="B164" s="2435">
        <v>87085</v>
      </c>
      <c r="C164" s="2437" t="s">
        <v>474</v>
      </c>
      <c r="D164" s="2436" t="s">
        <v>322</v>
      </c>
    </row>
    <row r="165" spans="2:4" x14ac:dyDescent="0.25">
      <c r="B165" s="2435">
        <v>49015</v>
      </c>
      <c r="C165" s="2437" t="s">
        <v>475</v>
      </c>
      <c r="D165" s="2436" t="s">
        <v>329</v>
      </c>
    </row>
    <row r="166" spans="2:4" x14ac:dyDescent="0.25">
      <c r="B166" s="2435">
        <v>41060</v>
      </c>
      <c r="C166" s="2437" t="s">
        <v>476</v>
      </c>
      <c r="D166" s="2436" t="s">
        <v>303</v>
      </c>
    </row>
    <row r="167" spans="2:4" x14ac:dyDescent="0.25">
      <c r="B167" s="2435">
        <v>31122</v>
      </c>
      <c r="C167" s="2437" t="s">
        <v>477</v>
      </c>
      <c r="D167" s="2436" t="s">
        <v>307</v>
      </c>
    </row>
    <row r="168" spans="2:4" x14ac:dyDescent="0.25">
      <c r="B168" s="2435">
        <v>46085</v>
      </c>
      <c r="C168" s="2437" t="s">
        <v>478</v>
      </c>
      <c r="D168" s="2436" t="s">
        <v>303</v>
      </c>
    </row>
    <row r="169" spans="2:4" x14ac:dyDescent="0.25">
      <c r="B169" s="2435">
        <v>44010</v>
      </c>
      <c r="C169" s="2437" t="s">
        <v>479</v>
      </c>
      <c r="D169" s="2436" t="s">
        <v>303</v>
      </c>
    </row>
    <row r="170" spans="2:4" x14ac:dyDescent="0.25">
      <c r="B170" s="2435">
        <v>99045</v>
      </c>
      <c r="C170" s="2437" t="s">
        <v>480</v>
      </c>
      <c r="D170" s="2436" t="s">
        <v>311</v>
      </c>
    </row>
    <row r="171" spans="2:4" x14ac:dyDescent="0.25">
      <c r="B171" s="2435">
        <v>45093</v>
      </c>
      <c r="C171" s="2437" t="s">
        <v>481</v>
      </c>
      <c r="D171" s="2436" t="s">
        <v>303</v>
      </c>
    </row>
    <row r="172" spans="2:4" x14ac:dyDescent="0.25">
      <c r="B172" s="2435">
        <v>99060</v>
      </c>
      <c r="C172" s="2437" t="s">
        <v>482</v>
      </c>
      <c r="D172" s="2436" t="s">
        <v>311</v>
      </c>
    </row>
    <row r="173" spans="2:4" x14ac:dyDescent="0.25">
      <c r="B173" s="2435">
        <v>83075</v>
      </c>
      <c r="C173" s="2437" t="s">
        <v>483</v>
      </c>
      <c r="D173" s="2436" t="s">
        <v>317</v>
      </c>
    </row>
    <row r="174" spans="2:4" x14ac:dyDescent="0.25">
      <c r="B174" s="2435">
        <v>69050</v>
      </c>
      <c r="C174" s="2437" t="s">
        <v>484</v>
      </c>
      <c r="D174" s="2436" t="s">
        <v>305</v>
      </c>
    </row>
    <row r="175" spans="2:4" x14ac:dyDescent="0.25">
      <c r="B175" s="2435">
        <v>62053</v>
      </c>
      <c r="C175" s="2437" t="s">
        <v>485</v>
      </c>
      <c r="D175" s="2436" t="s">
        <v>369</v>
      </c>
    </row>
    <row r="176" spans="2:4" x14ac:dyDescent="0.25">
      <c r="B176" s="2435">
        <v>6025</v>
      </c>
      <c r="C176" s="2437" t="s">
        <v>486</v>
      </c>
      <c r="D176" s="2436" t="s">
        <v>383</v>
      </c>
    </row>
    <row r="177" spans="2:4" x14ac:dyDescent="0.25">
      <c r="B177" s="2435">
        <v>10005</v>
      </c>
      <c r="C177" s="2437" t="s">
        <v>487</v>
      </c>
      <c r="D177" s="2436" t="s">
        <v>315</v>
      </c>
    </row>
    <row r="178" spans="2:4" x14ac:dyDescent="0.25">
      <c r="B178" s="2435">
        <v>77011</v>
      </c>
      <c r="C178" s="2437" t="s">
        <v>488</v>
      </c>
      <c r="D178" s="2436" t="s">
        <v>320</v>
      </c>
    </row>
    <row r="179" spans="2:4" x14ac:dyDescent="0.25">
      <c r="B179" s="2435">
        <v>46112</v>
      </c>
      <c r="C179" s="2437" t="s">
        <v>489</v>
      </c>
      <c r="D179" s="2436" t="s">
        <v>303</v>
      </c>
    </row>
    <row r="180" spans="2:4" x14ac:dyDescent="0.25">
      <c r="B180" s="2435">
        <v>80005</v>
      </c>
      <c r="C180" s="2437" t="s">
        <v>490</v>
      </c>
      <c r="D180" s="2436" t="s">
        <v>317</v>
      </c>
    </row>
    <row r="181" spans="2:4" x14ac:dyDescent="0.25">
      <c r="B181" s="2435">
        <v>94220</v>
      </c>
      <c r="C181" s="2437" t="s">
        <v>491</v>
      </c>
      <c r="D181" s="2436" t="s">
        <v>313</v>
      </c>
    </row>
    <row r="182" spans="2:4" x14ac:dyDescent="0.25">
      <c r="B182" s="2435">
        <v>79097</v>
      </c>
      <c r="C182" s="2437" t="s">
        <v>492</v>
      </c>
      <c r="D182" s="2436" t="s">
        <v>320</v>
      </c>
    </row>
    <row r="183" spans="2:4" x14ac:dyDescent="0.25">
      <c r="B183" s="2435">
        <v>97035</v>
      </c>
      <c r="C183" s="2437" t="s">
        <v>493</v>
      </c>
      <c r="D183" s="2436" t="s">
        <v>309</v>
      </c>
    </row>
    <row r="184" spans="2:4" x14ac:dyDescent="0.25">
      <c r="B184" s="2435">
        <v>95045</v>
      </c>
      <c r="C184" s="2437" t="s">
        <v>494</v>
      </c>
      <c r="D184" s="2436" t="s">
        <v>309</v>
      </c>
    </row>
    <row r="185" spans="2:4" x14ac:dyDescent="0.25">
      <c r="B185" s="2435">
        <v>84060</v>
      </c>
      <c r="C185" s="2437" t="s">
        <v>495</v>
      </c>
      <c r="D185" s="2436" t="s">
        <v>317</v>
      </c>
    </row>
    <row r="186" spans="2:4" x14ac:dyDescent="0.25">
      <c r="B186" s="2435">
        <v>38047</v>
      </c>
      <c r="C186" s="2437" t="s">
        <v>496</v>
      </c>
      <c r="D186" s="2436" t="s">
        <v>329</v>
      </c>
    </row>
    <row r="187" spans="2:4" x14ac:dyDescent="0.25">
      <c r="B187" s="2435">
        <v>22010</v>
      </c>
      <c r="C187" s="2437" t="s">
        <v>497</v>
      </c>
      <c r="D187" s="2436" t="s">
        <v>345</v>
      </c>
    </row>
    <row r="188" spans="2:4" x14ac:dyDescent="0.25">
      <c r="B188" s="2435">
        <v>26005</v>
      </c>
      <c r="C188" s="2437" t="s">
        <v>498</v>
      </c>
      <c r="D188" s="2436" t="s">
        <v>307</v>
      </c>
    </row>
    <row r="189" spans="2:4" x14ac:dyDescent="0.25">
      <c r="B189" s="2435">
        <v>69010</v>
      </c>
      <c r="C189" s="2437" t="s">
        <v>499</v>
      </c>
      <c r="D189" s="2436" t="s">
        <v>305</v>
      </c>
    </row>
    <row r="190" spans="2:4" x14ac:dyDescent="0.25">
      <c r="B190" s="2435">
        <v>96015</v>
      </c>
      <c r="C190" s="2437" t="s">
        <v>500</v>
      </c>
      <c r="D190" s="2436" t="s">
        <v>309</v>
      </c>
    </row>
    <row r="191" spans="2:4" x14ac:dyDescent="0.25">
      <c r="B191" s="2435">
        <v>46010</v>
      </c>
      <c r="C191" s="2437" t="s">
        <v>501</v>
      </c>
      <c r="D191" s="2436" t="s">
        <v>303</v>
      </c>
    </row>
    <row r="192" spans="2:4" x14ac:dyDescent="0.25">
      <c r="B192" s="2435">
        <v>30025</v>
      </c>
      <c r="C192" s="2437" t="s">
        <v>502</v>
      </c>
      <c r="D192" s="2436" t="s">
        <v>303</v>
      </c>
    </row>
    <row r="193" spans="2:4" x14ac:dyDescent="0.25">
      <c r="B193" s="2435">
        <v>85055</v>
      </c>
      <c r="C193" s="2437" t="s">
        <v>503</v>
      </c>
      <c r="D193" s="2436" t="s">
        <v>322</v>
      </c>
    </row>
    <row r="194" spans="2:4" x14ac:dyDescent="0.25">
      <c r="B194" s="2435">
        <v>87020</v>
      </c>
      <c r="C194" s="2437" t="s">
        <v>504</v>
      </c>
      <c r="D194" s="2436" t="s">
        <v>322</v>
      </c>
    </row>
    <row r="195" spans="2:4" x14ac:dyDescent="0.25">
      <c r="B195" s="2435">
        <v>3005</v>
      </c>
      <c r="C195" s="2437" t="s">
        <v>505</v>
      </c>
      <c r="D195" s="2436" t="s">
        <v>383</v>
      </c>
    </row>
    <row r="196" spans="2:4" x14ac:dyDescent="0.25">
      <c r="B196" s="2435">
        <v>81017</v>
      </c>
      <c r="C196" s="2437" t="s">
        <v>506</v>
      </c>
      <c r="D196" s="2436" t="s">
        <v>317</v>
      </c>
    </row>
    <row r="197" spans="2:4" x14ac:dyDescent="0.25">
      <c r="B197" s="2435">
        <v>92055</v>
      </c>
      <c r="C197" s="2437" t="s">
        <v>507</v>
      </c>
      <c r="D197" s="2436" t="s">
        <v>313</v>
      </c>
    </row>
    <row r="198" spans="2:4" x14ac:dyDescent="0.25">
      <c r="B198" s="2435">
        <v>96010</v>
      </c>
      <c r="C198" s="2437" t="s">
        <v>508</v>
      </c>
      <c r="D198" s="2436" t="s">
        <v>309</v>
      </c>
    </row>
    <row r="199" spans="2:4" x14ac:dyDescent="0.25">
      <c r="B199" s="2435">
        <v>69060</v>
      </c>
      <c r="C199" s="2437" t="s">
        <v>509</v>
      </c>
      <c r="D199" s="2436" t="s">
        <v>305</v>
      </c>
    </row>
    <row r="200" spans="2:4" x14ac:dyDescent="0.25">
      <c r="B200" s="2435">
        <v>76025</v>
      </c>
      <c r="C200" s="2437" t="s">
        <v>510</v>
      </c>
      <c r="D200" s="2436" t="s">
        <v>320</v>
      </c>
    </row>
    <row r="201" spans="2:4" x14ac:dyDescent="0.25">
      <c r="B201" s="2435">
        <v>83032</v>
      </c>
      <c r="C201" s="2437" t="s">
        <v>511</v>
      </c>
      <c r="D201" s="2436" t="s">
        <v>317</v>
      </c>
    </row>
    <row r="202" spans="2:4" x14ac:dyDescent="0.25">
      <c r="B202" s="2435">
        <v>47017</v>
      </c>
      <c r="C202" s="2437" t="s">
        <v>512</v>
      </c>
      <c r="D202" s="2436" t="s">
        <v>303</v>
      </c>
    </row>
    <row r="203" spans="2:4" x14ac:dyDescent="0.25">
      <c r="B203" s="2435">
        <v>2015</v>
      </c>
      <c r="C203" s="2437" t="s">
        <v>513</v>
      </c>
      <c r="D203" s="2436" t="s">
        <v>383</v>
      </c>
    </row>
    <row r="204" spans="2:4" x14ac:dyDescent="0.25">
      <c r="B204" s="2435">
        <v>35040</v>
      </c>
      <c r="C204" s="2437" t="s">
        <v>514</v>
      </c>
      <c r="D204" s="2436" t="s">
        <v>352</v>
      </c>
    </row>
    <row r="205" spans="2:4" x14ac:dyDescent="0.25">
      <c r="B205" s="2435">
        <v>3020</v>
      </c>
      <c r="C205" s="2437" t="s">
        <v>515</v>
      </c>
      <c r="D205" s="2436" t="s">
        <v>383</v>
      </c>
    </row>
    <row r="206" spans="2:4" x14ac:dyDescent="0.25">
      <c r="B206" s="2435">
        <v>9060</v>
      </c>
      <c r="C206" s="2437" t="s">
        <v>516</v>
      </c>
      <c r="D206" s="2436" t="s">
        <v>315</v>
      </c>
    </row>
    <row r="207" spans="2:4" x14ac:dyDescent="0.25">
      <c r="B207" s="2435">
        <v>83095</v>
      </c>
      <c r="C207" s="2437" t="s">
        <v>517</v>
      </c>
      <c r="D207" s="2436" t="s">
        <v>317</v>
      </c>
    </row>
    <row r="208" spans="2:4" x14ac:dyDescent="0.25">
      <c r="B208" s="2435">
        <v>50065</v>
      </c>
      <c r="C208" s="2437" t="s">
        <v>518</v>
      </c>
      <c r="D208" s="2436" t="s">
        <v>329</v>
      </c>
    </row>
    <row r="209" spans="2:4" x14ac:dyDescent="0.25">
      <c r="B209" s="2435">
        <v>76055</v>
      </c>
      <c r="C209" s="2437" t="s">
        <v>519</v>
      </c>
      <c r="D209" s="2436" t="s">
        <v>320</v>
      </c>
    </row>
    <row r="210" spans="2:4" x14ac:dyDescent="0.25">
      <c r="B210" s="2435">
        <v>76052</v>
      </c>
      <c r="C210" s="2437" t="s">
        <v>520</v>
      </c>
      <c r="D210" s="2436" t="s">
        <v>320</v>
      </c>
    </row>
    <row r="211" spans="2:4" x14ac:dyDescent="0.25">
      <c r="B211" s="2435">
        <v>98014</v>
      </c>
      <c r="C211" s="2437" t="s">
        <v>521</v>
      </c>
      <c r="D211" s="2436" t="s">
        <v>309</v>
      </c>
    </row>
    <row r="212" spans="2:4" x14ac:dyDescent="0.25">
      <c r="B212" s="2435">
        <v>1042</v>
      </c>
      <c r="C212" s="2437" t="s">
        <v>522</v>
      </c>
      <c r="D212" s="2436" t="s">
        <v>383</v>
      </c>
    </row>
    <row r="213" spans="2:4" x14ac:dyDescent="0.25">
      <c r="B213" s="2435">
        <v>8015</v>
      </c>
      <c r="C213" s="2437" t="s">
        <v>523</v>
      </c>
      <c r="D213" s="2436" t="s">
        <v>315</v>
      </c>
    </row>
    <row r="214" spans="2:4" x14ac:dyDescent="0.25">
      <c r="B214" s="2435">
        <v>85095</v>
      </c>
      <c r="C214" s="2437" t="s">
        <v>524</v>
      </c>
      <c r="D214" s="2436" t="s">
        <v>322</v>
      </c>
    </row>
    <row r="215" spans="2:4" x14ac:dyDescent="0.25">
      <c r="B215" s="2435">
        <v>39010</v>
      </c>
      <c r="C215" s="2437" t="s">
        <v>525</v>
      </c>
      <c r="D215" s="2436" t="s">
        <v>329</v>
      </c>
    </row>
    <row r="216" spans="2:4" x14ac:dyDescent="0.25">
      <c r="B216" s="2435">
        <v>41075</v>
      </c>
      <c r="C216" s="2437" t="s">
        <v>526</v>
      </c>
      <c r="D216" s="2436" t="s">
        <v>303</v>
      </c>
    </row>
    <row r="217" spans="2:4" x14ac:dyDescent="0.25">
      <c r="B217" s="2435">
        <v>66062</v>
      </c>
      <c r="C217" s="2437" t="s">
        <v>527</v>
      </c>
      <c r="D217" s="2436" t="s">
        <v>342</v>
      </c>
    </row>
    <row r="218" spans="2:4" x14ac:dyDescent="0.25">
      <c r="B218" s="2435">
        <v>40005</v>
      </c>
      <c r="C218" s="2437" t="s">
        <v>528</v>
      </c>
      <c r="D218" s="2436" t="s">
        <v>303</v>
      </c>
    </row>
    <row r="219" spans="2:4" x14ac:dyDescent="0.25">
      <c r="B219" s="2435">
        <v>76065</v>
      </c>
      <c r="C219" s="2437" t="s">
        <v>529</v>
      </c>
      <c r="D219" s="2436" t="s">
        <v>320</v>
      </c>
    </row>
    <row r="220" spans="2:4" x14ac:dyDescent="0.25">
      <c r="B220" s="2435">
        <v>45043</v>
      </c>
      <c r="C220" s="2437" t="s">
        <v>530</v>
      </c>
      <c r="D220" s="2436" t="s">
        <v>303</v>
      </c>
    </row>
    <row r="221" spans="2:4" x14ac:dyDescent="0.25">
      <c r="B221" s="2435">
        <v>45055</v>
      </c>
      <c r="C221" s="2437" t="s">
        <v>530</v>
      </c>
      <c r="D221" s="2436" t="s">
        <v>303</v>
      </c>
    </row>
    <row r="222" spans="2:4" x14ac:dyDescent="0.25">
      <c r="B222" s="2435">
        <v>69005</v>
      </c>
      <c r="C222" s="2437" t="s">
        <v>531</v>
      </c>
      <c r="D222" s="2436" t="s">
        <v>305</v>
      </c>
    </row>
    <row r="223" spans="2:4" x14ac:dyDescent="0.25">
      <c r="B223" s="2435">
        <v>98040</v>
      </c>
      <c r="C223" s="2437" t="s">
        <v>532</v>
      </c>
      <c r="D223" s="2436" t="s">
        <v>309</v>
      </c>
    </row>
    <row r="224" spans="2:4" x14ac:dyDescent="0.25">
      <c r="B224" s="2435">
        <v>93020</v>
      </c>
      <c r="C224" s="2437" t="s">
        <v>533</v>
      </c>
      <c r="D224" s="2436" t="s">
        <v>313</v>
      </c>
    </row>
    <row r="225" spans="2:4" x14ac:dyDescent="0.25">
      <c r="B225" s="2435">
        <v>93025</v>
      </c>
      <c r="C225" s="2437" t="s">
        <v>534</v>
      </c>
      <c r="D225" s="2436" t="s">
        <v>313</v>
      </c>
    </row>
    <row r="226" spans="2:4" x14ac:dyDescent="0.25">
      <c r="B226" s="2435">
        <v>68015</v>
      </c>
      <c r="C226" s="2437" t="s">
        <v>535</v>
      </c>
      <c r="D226" s="2436" t="s">
        <v>305</v>
      </c>
    </row>
    <row r="227" spans="2:4" x14ac:dyDescent="0.25">
      <c r="B227" s="2435">
        <v>68010</v>
      </c>
      <c r="C227" s="2437" t="s">
        <v>535</v>
      </c>
      <c r="D227" s="2436" t="s">
        <v>305</v>
      </c>
    </row>
    <row r="228" spans="2:4" x14ac:dyDescent="0.25">
      <c r="B228" s="2435">
        <v>56042</v>
      </c>
      <c r="C228" s="2437" t="s">
        <v>536</v>
      </c>
      <c r="D228" s="2436" t="s">
        <v>305</v>
      </c>
    </row>
    <row r="229" spans="2:4" x14ac:dyDescent="0.25">
      <c r="B229" s="2435">
        <v>35035</v>
      </c>
      <c r="C229" s="2437" t="s">
        <v>537</v>
      </c>
      <c r="D229" s="2436" t="s">
        <v>352</v>
      </c>
    </row>
    <row r="230" spans="2:4" x14ac:dyDescent="0.25">
      <c r="B230" s="2435">
        <v>69045</v>
      </c>
      <c r="C230" s="2437" t="s">
        <v>538</v>
      </c>
      <c r="D230" s="2436" t="s">
        <v>305</v>
      </c>
    </row>
    <row r="231" spans="2:4" x14ac:dyDescent="0.25">
      <c r="B231" s="2435">
        <v>19070</v>
      </c>
      <c r="C231" s="2437" t="s">
        <v>539</v>
      </c>
      <c r="D231" s="2436" t="s">
        <v>307</v>
      </c>
    </row>
    <row r="232" spans="2:4" x14ac:dyDescent="0.25">
      <c r="B232" s="2435">
        <v>5025</v>
      </c>
      <c r="C232" s="2437" t="s">
        <v>540</v>
      </c>
      <c r="D232" s="2436" t="s">
        <v>383</v>
      </c>
    </row>
    <row r="233" spans="2:4" x14ac:dyDescent="0.25">
      <c r="B233" s="2435">
        <v>5020</v>
      </c>
      <c r="C233" s="2437" t="s">
        <v>541</v>
      </c>
      <c r="D233" s="2436" t="s">
        <v>383</v>
      </c>
    </row>
    <row r="234" spans="2:4" x14ac:dyDescent="0.25">
      <c r="B234" s="2435">
        <v>69025</v>
      </c>
      <c r="C234" s="2437" t="s">
        <v>542</v>
      </c>
      <c r="D234" s="2436" t="s">
        <v>305</v>
      </c>
    </row>
    <row r="235" spans="2:4" x14ac:dyDescent="0.25">
      <c r="B235" s="2435">
        <v>78065</v>
      </c>
      <c r="C235" s="2437" t="s">
        <v>543</v>
      </c>
      <c r="D235" s="2436" t="s">
        <v>320</v>
      </c>
    </row>
    <row r="236" spans="2:4" x14ac:dyDescent="0.25">
      <c r="B236" s="2435">
        <v>71100</v>
      </c>
      <c r="C236" s="2437" t="s">
        <v>544</v>
      </c>
      <c r="D236" s="2436" t="s">
        <v>305</v>
      </c>
    </row>
    <row r="237" spans="2:4" x14ac:dyDescent="0.25">
      <c r="B237" s="2435">
        <v>69055</v>
      </c>
      <c r="C237" s="2437" t="s">
        <v>545</v>
      </c>
      <c r="D237" s="2436" t="s">
        <v>305</v>
      </c>
    </row>
    <row r="238" spans="2:4" x14ac:dyDescent="0.25">
      <c r="B238" s="2435">
        <v>99085</v>
      </c>
      <c r="C238" s="2437" t="s">
        <v>546</v>
      </c>
      <c r="D238" s="2436" t="s">
        <v>311</v>
      </c>
    </row>
    <row r="239" spans="2:4" x14ac:dyDescent="0.25">
      <c r="B239" s="2435">
        <v>32058</v>
      </c>
      <c r="C239" s="2437" t="s">
        <v>547</v>
      </c>
      <c r="D239" s="2436" t="s">
        <v>329</v>
      </c>
    </row>
    <row r="240" spans="2:4" x14ac:dyDescent="0.25">
      <c r="B240" s="2435">
        <v>31040</v>
      </c>
      <c r="C240" s="2437" t="s">
        <v>548</v>
      </c>
      <c r="D240" s="2436" t="s">
        <v>307</v>
      </c>
    </row>
    <row r="241" spans="2:4" x14ac:dyDescent="0.25">
      <c r="B241" s="2435">
        <v>78042</v>
      </c>
      <c r="C241" s="2437" t="s">
        <v>549</v>
      </c>
      <c r="D241" s="2436" t="s">
        <v>320</v>
      </c>
    </row>
    <row r="242" spans="2:4" x14ac:dyDescent="0.25">
      <c r="B242" s="2435">
        <v>99140</v>
      </c>
      <c r="C242" s="2437" t="s">
        <v>550</v>
      </c>
      <c r="D242" s="2436" t="s">
        <v>311</v>
      </c>
    </row>
    <row r="243" spans="2:4" x14ac:dyDescent="0.25">
      <c r="B243" s="2435">
        <v>61025</v>
      </c>
      <c r="C243" s="2437" t="s">
        <v>551</v>
      </c>
      <c r="D243" s="2436" t="s">
        <v>369</v>
      </c>
    </row>
    <row r="244" spans="2:4" x14ac:dyDescent="0.25">
      <c r="B244" s="2435">
        <v>14050</v>
      </c>
      <c r="C244" s="2437" t="s">
        <v>552</v>
      </c>
      <c r="D244" s="2436" t="s">
        <v>315</v>
      </c>
    </row>
    <row r="245" spans="2:4" x14ac:dyDescent="0.25">
      <c r="B245" s="2435">
        <v>99090</v>
      </c>
      <c r="C245" s="2437" t="s">
        <v>553</v>
      </c>
      <c r="D245" s="2436" t="s">
        <v>311</v>
      </c>
    </row>
    <row r="246" spans="2:4" x14ac:dyDescent="0.25">
      <c r="B246" s="2435">
        <v>99130</v>
      </c>
      <c r="C246" s="2437" t="s">
        <v>554</v>
      </c>
      <c r="D246" s="2436" t="s">
        <v>311</v>
      </c>
    </row>
    <row r="247" spans="2:4" x14ac:dyDescent="0.25">
      <c r="B247" s="2435">
        <v>99110</v>
      </c>
      <c r="C247" s="2437" t="s">
        <v>555</v>
      </c>
      <c r="D247" s="2436" t="s">
        <v>311</v>
      </c>
    </row>
    <row r="248" spans="2:4" x14ac:dyDescent="0.25">
      <c r="B248" s="2435">
        <v>99065</v>
      </c>
      <c r="C248" s="2437" t="s">
        <v>556</v>
      </c>
      <c r="D248" s="2436" t="s">
        <v>311</v>
      </c>
    </row>
    <row r="249" spans="2:4" x14ac:dyDescent="0.25">
      <c r="B249" s="2435">
        <v>83015</v>
      </c>
      <c r="C249" s="2437" t="s">
        <v>557</v>
      </c>
      <c r="D249" s="2436" t="s">
        <v>317</v>
      </c>
    </row>
    <row r="250" spans="2:4" x14ac:dyDescent="0.25">
      <c r="B250" s="2435">
        <v>79025</v>
      </c>
      <c r="C250" s="2437" t="s">
        <v>558</v>
      </c>
      <c r="D250" s="2436" t="s">
        <v>320</v>
      </c>
    </row>
    <row r="251" spans="2:4" x14ac:dyDescent="0.25">
      <c r="B251" s="2435">
        <v>42070</v>
      </c>
      <c r="C251" s="2437" t="s">
        <v>559</v>
      </c>
      <c r="D251" s="2436" t="s">
        <v>303</v>
      </c>
    </row>
    <row r="252" spans="2:4" x14ac:dyDescent="0.25">
      <c r="B252" s="2435">
        <v>39097</v>
      </c>
      <c r="C252" s="2437" t="s">
        <v>560</v>
      </c>
      <c r="D252" s="2436" t="s">
        <v>329</v>
      </c>
    </row>
    <row r="253" spans="2:4" x14ac:dyDescent="0.25">
      <c r="B253" s="2435">
        <v>31105</v>
      </c>
      <c r="C253" s="2437" t="s">
        <v>561</v>
      </c>
      <c r="D253" s="2436" t="s">
        <v>307</v>
      </c>
    </row>
    <row r="254" spans="2:4" x14ac:dyDescent="0.25">
      <c r="B254" s="2435">
        <v>85010</v>
      </c>
      <c r="C254" s="2437" t="s">
        <v>562</v>
      </c>
      <c r="D254" s="2436" t="s">
        <v>322</v>
      </c>
    </row>
    <row r="255" spans="2:4" x14ac:dyDescent="0.25">
      <c r="B255" s="2435">
        <v>66102</v>
      </c>
      <c r="C255" s="2437" t="s">
        <v>563</v>
      </c>
      <c r="D255" s="2436" t="s">
        <v>342</v>
      </c>
    </row>
    <row r="256" spans="2:4" x14ac:dyDescent="0.25">
      <c r="B256" s="2435">
        <v>99095</v>
      </c>
      <c r="C256" s="2437" t="s">
        <v>564</v>
      </c>
      <c r="D256" s="2436" t="s">
        <v>311</v>
      </c>
    </row>
    <row r="257" spans="2:4" x14ac:dyDescent="0.25">
      <c r="B257" s="2435">
        <v>99075</v>
      </c>
      <c r="C257" s="2437" t="s">
        <v>565</v>
      </c>
      <c r="D257" s="2436" t="s">
        <v>311</v>
      </c>
    </row>
    <row r="258" spans="2:4" x14ac:dyDescent="0.25">
      <c r="B258" s="2435">
        <v>90017</v>
      </c>
      <c r="C258" s="2437" t="s">
        <v>566</v>
      </c>
      <c r="D258" s="2436" t="s">
        <v>352</v>
      </c>
    </row>
    <row r="259" spans="2:4" x14ac:dyDescent="0.25">
      <c r="B259" s="2435">
        <v>78115</v>
      </c>
      <c r="C259" s="2437" t="s">
        <v>567</v>
      </c>
      <c r="D259" s="2436" t="s">
        <v>320</v>
      </c>
    </row>
    <row r="260" spans="2:4" x14ac:dyDescent="0.25">
      <c r="B260" s="2435">
        <v>88030</v>
      </c>
      <c r="C260" s="2437" t="s">
        <v>568</v>
      </c>
      <c r="D260" s="2436" t="s">
        <v>322</v>
      </c>
    </row>
    <row r="261" spans="2:4" x14ac:dyDescent="0.25">
      <c r="B261" s="2435">
        <v>91050</v>
      </c>
      <c r="C261" s="2437" t="s">
        <v>569</v>
      </c>
      <c r="D261" s="2436" t="s">
        <v>313</v>
      </c>
    </row>
    <row r="262" spans="2:4" x14ac:dyDescent="0.25">
      <c r="B262" s="2435">
        <v>19090</v>
      </c>
      <c r="C262" s="2437" t="s">
        <v>570</v>
      </c>
      <c r="D262" s="2436" t="s">
        <v>307</v>
      </c>
    </row>
    <row r="263" spans="2:4" x14ac:dyDescent="0.25">
      <c r="B263" s="2435">
        <v>29030</v>
      </c>
      <c r="C263" s="2437" t="s">
        <v>571</v>
      </c>
      <c r="D263" s="2436" t="s">
        <v>307</v>
      </c>
    </row>
    <row r="264" spans="2:4" x14ac:dyDescent="0.25">
      <c r="B264" s="2435">
        <v>79047</v>
      </c>
      <c r="C264" s="2437" t="s">
        <v>572</v>
      </c>
      <c r="D264" s="2436" t="s">
        <v>320</v>
      </c>
    </row>
    <row r="265" spans="2:4" x14ac:dyDescent="0.25">
      <c r="B265" s="2435">
        <v>15013</v>
      </c>
      <c r="C265" s="2437" t="s">
        <v>573</v>
      </c>
      <c r="D265" s="2436" t="s">
        <v>345</v>
      </c>
    </row>
    <row r="266" spans="2:4" x14ac:dyDescent="0.25">
      <c r="B266" s="2435">
        <v>4030</v>
      </c>
      <c r="C266" s="2437" t="s">
        <v>574</v>
      </c>
      <c r="D266" s="2436" t="s">
        <v>383</v>
      </c>
    </row>
    <row r="267" spans="2:4" x14ac:dyDescent="0.25">
      <c r="B267" s="2435">
        <v>78130</v>
      </c>
      <c r="C267" s="2437" t="s">
        <v>575</v>
      </c>
      <c r="D267" s="2436" t="s">
        <v>320</v>
      </c>
    </row>
    <row r="268" spans="2:4" x14ac:dyDescent="0.25">
      <c r="B268" s="2435">
        <v>88012</v>
      </c>
      <c r="C268" s="2437" t="s">
        <v>576</v>
      </c>
      <c r="D268" s="2436" t="s">
        <v>322</v>
      </c>
    </row>
    <row r="269" spans="2:4" x14ac:dyDescent="0.25">
      <c r="B269" s="2435">
        <v>88045</v>
      </c>
      <c r="C269" s="2437" t="s">
        <v>577</v>
      </c>
      <c r="D269" s="2436" t="s">
        <v>322</v>
      </c>
    </row>
    <row r="270" spans="2:4" x14ac:dyDescent="0.25">
      <c r="B270" s="2435">
        <v>41027</v>
      </c>
      <c r="C270" s="2437" t="s">
        <v>578</v>
      </c>
      <c r="D270" s="2436" t="s">
        <v>303</v>
      </c>
    </row>
    <row r="271" spans="2:4" x14ac:dyDescent="0.25">
      <c r="B271" s="2435">
        <v>82035</v>
      </c>
      <c r="C271" s="2437" t="s">
        <v>579</v>
      </c>
      <c r="D271" s="2436" t="s">
        <v>317</v>
      </c>
    </row>
    <row r="272" spans="2:4" x14ac:dyDescent="0.25">
      <c r="B272" s="2435">
        <v>14085</v>
      </c>
      <c r="C272" s="2437" t="s">
        <v>580</v>
      </c>
      <c r="D272" s="2436" t="s">
        <v>315</v>
      </c>
    </row>
    <row r="273" spans="2:4" x14ac:dyDescent="0.25">
      <c r="B273" s="2435">
        <v>67015</v>
      </c>
      <c r="C273" s="2437" t="s">
        <v>581</v>
      </c>
      <c r="D273" s="2436" t="s">
        <v>305</v>
      </c>
    </row>
    <row r="274" spans="2:4" x14ac:dyDescent="0.25">
      <c r="B274" s="2435">
        <v>54035</v>
      </c>
      <c r="C274" s="2437" t="s">
        <v>582</v>
      </c>
      <c r="D274" s="2436" t="s">
        <v>305</v>
      </c>
    </row>
    <row r="275" spans="2:4" x14ac:dyDescent="0.25">
      <c r="B275" s="2435">
        <v>9005</v>
      </c>
      <c r="C275" s="2437" t="s">
        <v>583</v>
      </c>
      <c r="D275" s="2436" t="s">
        <v>315</v>
      </c>
    </row>
    <row r="276" spans="2:4" x14ac:dyDescent="0.25">
      <c r="B276" s="2435">
        <v>87080</v>
      </c>
      <c r="C276" s="2437" t="s">
        <v>584</v>
      </c>
      <c r="D276" s="2436" t="s">
        <v>322</v>
      </c>
    </row>
    <row r="277" spans="2:4" x14ac:dyDescent="0.25">
      <c r="B277" s="2435">
        <v>87090</v>
      </c>
      <c r="C277" s="2437" t="s">
        <v>585</v>
      </c>
      <c r="D277" s="2436" t="s">
        <v>322</v>
      </c>
    </row>
    <row r="278" spans="2:4" x14ac:dyDescent="0.25">
      <c r="B278" s="2435">
        <v>10010</v>
      </c>
      <c r="C278" s="2437" t="s">
        <v>586</v>
      </c>
      <c r="D278" s="2436" t="s">
        <v>315</v>
      </c>
    </row>
    <row r="279" spans="2:4" x14ac:dyDescent="0.25">
      <c r="B279" s="2435">
        <v>90012</v>
      </c>
      <c r="C279" s="2437" t="s">
        <v>587</v>
      </c>
      <c r="D279" s="2436" t="s">
        <v>352</v>
      </c>
    </row>
    <row r="280" spans="2:4" x14ac:dyDescent="0.25">
      <c r="B280" s="2435">
        <v>52050</v>
      </c>
      <c r="C280" s="2437" t="s">
        <v>588</v>
      </c>
      <c r="D280" s="2436" t="s">
        <v>369</v>
      </c>
    </row>
    <row r="281" spans="2:4" x14ac:dyDescent="0.25">
      <c r="B281" s="2435">
        <v>50085</v>
      </c>
      <c r="C281" s="2437" t="s">
        <v>589</v>
      </c>
      <c r="D281" s="2436" t="s">
        <v>329</v>
      </c>
    </row>
    <row r="282" spans="2:4" x14ac:dyDescent="0.25">
      <c r="B282" s="2435">
        <v>78120</v>
      </c>
      <c r="C282" s="2437" t="s">
        <v>590</v>
      </c>
      <c r="D282" s="2436" t="s">
        <v>320</v>
      </c>
    </row>
    <row r="283" spans="2:4" x14ac:dyDescent="0.25">
      <c r="B283" s="2435">
        <v>93055</v>
      </c>
      <c r="C283" s="2437" t="s">
        <v>591</v>
      </c>
      <c r="D283" s="2436" t="s">
        <v>313</v>
      </c>
    </row>
    <row r="284" spans="2:4" x14ac:dyDescent="0.25">
      <c r="B284" s="2435">
        <v>7057</v>
      </c>
      <c r="C284" s="2437" t="s">
        <v>592</v>
      </c>
      <c r="D284" s="2436" t="s">
        <v>315</v>
      </c>
    </row>
    <row r="285" spans="2:4" x14ac:dyDescent="0.25">
      <c r="B285" s="2435">
        <v>35010</v>
      </c>
      <c r="C285" s="2437" t="s">
        <v>593</v>
      </c>
      <c r="D285" s="2436" t="s">
        <v>352</v>
      </c>
    </row>
    <row r="286" spans="2:4" x14ac:dyDescent="0.25">
      <c r="B286" s="2435">
        <v>22040</v>
      </c>
      <c r="C286" s="2437" t="s">
        <v>594</v>
      </c>
      <c r="D286" s="2436" t="s">
        <v>345</v>
      </c>
    </row>
    <row r="287" spans="2:4" x14ac:dyDescent="0.25">
      <c r="B287" s="2435">
        <v>91005</v>
      </c>
      <c r="C287" s="2437" t="s">
        <v>595</v>
      </c>
      <c r="D287" s="2436" t="s">
        <v>313</v>
      </c>
    </row>
    <row r="288" spans="2:4" x14ac:dyDescent="0.25">
      <c r="B288" s="2435">
        <v>46075</v>
      </c>
      <c r="C288" s="2437" t="s">
        <v>596</v>
      </c>
      <c r="D288" s="2436" t="s">
        <v>303</v>
      </c>
    </row>
    <row r="289" spans="2:4" x14ac:dyDescent="0.25">
      <c r="B289" s="2435">
        <v>22030</v>
      </c>
      <c r="C289" s="2437" t="s">
        <v>597</v>
      </c>
      <c r="D289" s="2436" t="s">
        <v>345</v>
      </c>
    </row>
    <row r="290" spans="2:4" x14ac:dyDescent="0.25">
      <c r="B290" s="2435">
        <v>13060</v>
      </c>
      <c r="C290" s="2437" t="s">
        <v>598</v>
      </c>
      <c r="D290" s="2436" t="s">
        <v>315</v>
      </c>
    </row>
    <row r="291" spans="2:4" x14ac:dyDescent="0.25">
      <c r="B291" s="2435">
        <v>79078</v>
      </c>
      <c r="C291" s="2437" t="s">
        <v>599</v>
      </c>
      <c r="D291" s="2436" t="s">
        <v>320</v>
      </c>
    </row>
    <row r="292" spans="2:4" x14ac:dyDescent="0.25">
      <c r="B292" s="2435">
        <v>80130</v>
      </c>
      <c r="C292" s="2437" t="s">
        <v>600</v>
      </c>
      <c r="D292" s="2436" t="s">
        <v>317</v>
      </c>
    </row>
    <row r="293" spans="2:4" x14ac:dyDescent="0.25">
      <c r="B293" s="2435">
        <v>77055</v>
      </c>
      <c r="C293" s="2437" t="s">
        <v>601</v>
      </c>
      <c r="D293" s="2436" t="s">
        <v>320</v>
      </c>
    </row>
    <row r="294" spans="2:4" x14ac:dyDescent="0.25">
      <c r="B294" s="2435">
        <v>30080</v>
      </c>
      <c r="C294" s="2437" t="s">
        <v>602</v>
      </c>
      <c r="D294" s="2436" t="s">
        <v>303</v>
      </c>
    </row>
    <row r="295" spans="2:4" x14ac:dyDescent="0.25">
      <c r="B295" s="2435">
        <v>79015</v>
      </c>
      <c r="C295" s="2437" t="s">
        <v>603</v>
      </c>
      <c r="D295" s="2436" t="s">
        <v>320</v>
      </c>
    </row>
    <row r="296" spans="2:4" x14ac:dyDescent="0.25">
      <c r="B296" s="2435">
        <v>90027</v>
      </c>
      <c r="C296" s="2437" t="s">
        <v>604</v>
      </c>
      <c r="D296" s="2436" t="s">
        <v>352</v>
      </c>
    </row>
    <row r="297" spans="2:4" x14ac:dyDescent="0.25">
      <c r="B297" s="2435">
        <v>28053</v>
      </c>
      <c r="C297" s="2437" t="s">
        <v>605</v>
      </c>
      <c r="D297" s="2436" t="s">
        <v>307</v>
      </c>
    </row>
    <row r="298" spans="2:4" x14ac:dyDescent="0.25">
      <c r="B298" s="2435">
        <v>18010</v>
      </c>
      <c r="C298" s="2437" t="s">
        <v>606</v>
      </c>
      <c r="D298" s="2436" t="s">
        <v>307</v>
      </c>
    </row>
    <row r="299" spans="2:4" x14ac:dyDescent="0.25">
      <c r="B299" s="2435">
        <v>76020</v>
      </c>
      <c r="C299" s="2437" t="s">
        <v>607</v>
      </c>
      <c r="D299" s="2436" t="s">
        <v>320</v>
      </c>
    </row>
    <row r="300" spans="2:4" x14ac:dyDescent="0.25">
      <c r="B300" s="2435">
        <v>30030</v>
      </c>
      <c r="C300" s="2437" t="s">
        <v>608</v>
      </c>
      <c r="D300" s="2436" t="s">
        <v>303</v>
      </c>
    </row>
    <row r="301" spans="2:4" x14ac:dyDescent="0.25">
      <c r="B301" s="2435">
        <v>56023</v>
      </c>
      <c r="C301" s="2437" t="s">
        <v>609</v>
      </c>
      <c r="D301" s="2436" t="s">
        <v>305</v>
      </c>
    </row>
    <row r="302" spans="2:4" x14ac:dyDescent="0.25">
      <c r="B302" s="2435">
        <v>29095</v>
      </c>
      <c r="C302" s="2437" t="s">
        <v>610</v>
      </c>
      <c r="D302" s="2436" t="s">
        <v>307</v>
      </c>
    </row>
    <row r="303" spans="2:4" x14ac:dyDescent="0.25">
      <c r="B303" s="2435">
        <v>79060</v>
      </c>
      <c r="C303" s="2437" t="s">
        <v>611</v>
      </c>
      <c r="D303" s="2436" t="s">
        <v>320</v>
      </c>
    </row>
    <row r="304" spans="2:4" x14ac:dyDescent="0.25">
      <c r="B304" s="2435">
        <v>83020</v>
      </c>
      <c r="C304" s="2437" t="s">
        <v>612</v>
      </c>
      <c r="D304" s="2436" t="s">
        <v>317</v>
      </c>
    </row>
    <row r="305" spans="2:4" x14ac:dyDescent="0.25">
      <c r="B305" s="2435">
        <v>22015</v>
      </c>
      <c r="C305" s="2437" t="s">
        <v>613</v>
      </c>
      <c r="D305" s="2436" t="s">
        <v>345</v>
      </c>
    </row>
    <row r="306" spans="2:4" x14ac:dyDescent="0.25">
      <c r="B306" s="2435">
        <v>79105</v>
      </c>
      <c r="C306" s="2437" t="s">
        <v>614</v>
      </c>
      <c r="D306" s="2436" t="s">
        <v>320</v>
      </c>
    </row>
    <row r="307" spans="2:4" x14ac:dyDescent="0.25">
      <c r="B307" s="2435">
        <v>34120</v>
      </c>
      <c r="C307" s="2437" t="s">
        <v>615</v>
      </c>
      <c r="D307" s="2436" t="s">
        <v>345</v>
      </c>
    </row>
    <row r="308" spans="2:4" x14ac:dyDescent="0.25">
      <c r="B308" s="2435">
        <v>80095</v>
      </c>
      <c r="C308" s="2437" t="s">
        <v>616</v>
      </c>
      <c r="D308" s="2436" t="s">
        <v>317</v>
      </c>
    </row>
    <row r="309" spans="2:4" x14ac:dyDescent="0.25">
      <c r="B309" s="2435">
        <v>78095</v>
      </c>
      <c r="C309" s="2437" t="s">
        <v>617</v>
      </c>
      <c r="D309" s="2436" t="s">
        <v>320</v>
      </c>
    </row>
    <row r="310" spans="2:4" x14ac:dyDescent="0.25">
      <c r="B310" s="2435">
        <v>78127</v>
      </c>
      <c r="C310" s="2437" t="s">
        <v>618</v>
      </c>
      <c r="D310" s="2436" t="s">
        <v>320</v>
      </c>
    </row>
    <row r="311" spans="2:4" x14ac:dyDescent="0.25">
      <c r="B311" s="2435">
        <v>85070</v>
      </c>
      <c r="C311" s="2437" t="s">
        <v>619</v>
      </c>
      <c r="D311" s="2436" t="s">
        <v>322</v>
      </c>
    </row>
    <row r="312" spans="2:4" x14ac:dyDescent="0.25">
      <c r="B312" s="2435">
        <v>93060</v>
      </c>
      <c r="C312" s="2437" t="s">
        <v>620</v>
      </c>
      <c r="D312" s="2436" t="s">
        <v>313</v>
      </c>
    </row>
    <row r="313" spans="2:4" x14ac:dyDescent="0.25">
      <c r="B313" s="2435">
        <v>30095</v>
      </c>
      <c r="C313" s="2437" t="s">
        <v>621</v>
      </c>
      <c r="D313" s="2436" t="s">
        <v>303</v>
      </c>
    </row>
    <row r="314" spans="2:4" x14ac:dyDescent="0.25">
      <c r="B314" s="2435">
        <v>23057</v>
      </c>
      <c r="C314" s="2437" t="s">
        <v>622</v>
      </c>
      <c r="D314" s="2436" t="s">
        <v>345</v>
      </c>
    </row>
    <row r="315" spans="2:4" x14ac:dyDescent="0.25">
      <c r="B315" s="2435">
        <v>88035</v>
      </c>
      <c r="C315" s="2437" t="s">
        <v>623</v>
      </c>
      <c r="D315" s="2436" t="s">
        <v>322</v>
      </c>
    </row>
    <row r="316" spans="2:4" x14ac:dyDescent="0.25">
      <c r="B316" s="2435">
        <v>82005</v>
      </c>
      <c r="C316" s="2437" t="s">
        <v>624</v>
      </c>
      <c r="D316" s="2436" t="s">
        <v>317</v>
      </c>
    </row>
    <row r="317" spans="2:4" x14ac:dyDescent="0.25">
      <c r="B317" s="2435">
        <v>21040</v>
      </c>
      <c r="C317" s="2437" t="s">
        <v>624</v>
      </c>
      <c r="D317" s="2436" t="s">
        <v>345</v>
      </c>
    </row>
    <row r="318" spans="2:4" x14ac:dyDescent="0.25">
      <c r="B318" s="2435">
        <v>52017</v>
      </c>
      <c r="C318" s="2437" t="s">
        <v>625</v>
      </c>
      <c r="D318" s="2436" t="s">
        <v>369</v>
      </c>
    </row>
    <row r="319" spans="2:4" x14ac:dyDescent="0.25">
      <c r="B319" s="2435">
        <v>94210</v>
      </c>
      <c r="C319" s="2437" t="s">
        <v>626</v>
      </c>
      <c r="D319" s="2436" t="s">
        <v>313</v>
      </c>
    </row>
    <row r="320" spans="2:4" x14ac:dyDescent="0.25">
      <c r="B320" s="2435">
        <v>78015</v>
      </c>
      <c r="C320" s="2437" t="s">
        <v>627</v>
      </c>
      <c r="D320" s="2436" t="s">
        <v>320</v>
      </c>
    </row>
    <row r="321" spans="2:4" x14ac:dyDescent="0.25">
      <c r="B321" s="2435">
        <v>94265</v>
      </c>
      <c r="C321" s="2437" t="s">
        <v>628</v>
      </c>
      <c r="D321" s="2436" t="s">
        <v>313</v>
      </c>
    </row>
    <row r="322" spans="2:4" x14ac:dyDescent="0.25">
      <c r="B322" s="2435">
        <v>79050</v>
      </c>
      <c r="C322" s="2437" t="s">
        <v>629</v>
      </c>
      <c r="D322" s="2436" t="s">
        <v>320</v>
      </c>
    </row>
    <row r="323" spans="2:4" x14ac:dyDescent="0.25">
      <c r="B323" s="2435">
        <v>93065</v>
      </c>
      <c r="C323" s="2437" t="s">
        <v>630</v>
      </c>
      <c r="D323" s="2436" t="s">
        <v>313</v>
      </c>
    </row>
    <row r="324" spans="2:4" x14ac:dyDescent="0.25">
      <c r="B324" s="2435">
        <v>6060</v>
      </c>
      <c r="C324" s="2437" t="s">
        <v>631</v>
      </c>
      <c r="D324" s="2436" t="s">
        <v>383</v>
      </c>
    </row>
    <row r="325" spans="2:4" x14ac:dyDescent="0.25">
      <c r="B325" s="2435">
        <v>60028</v>
      </c>
      <c r="C325" s="2437" t="s">
        <v>632</v>
      </c>
      <c r="D325" s="2436" t="s">
        <v>369</v>
      </c>
    </row>
    <row r="326" spans="2:4" x14ac:dyDescent="0.25">
      <c r="B326" s="2435">
        <v>85060</v>
      </c>
      <c r="C326" s="2437" t="s">
        <v>633</v>
      </c>
      <c r="D326" s="2436" t="s">
        <v>322</v>
      </c>
    </row>
    <row r="327" spans="2:4" x14ac:dyDescent="0.25">
      <c r="B327" s="2435">
        <v>88080</v>
      </c>
      <c r="C327" s="2437" t="s">
        <v>634</v>
      </c>
      <c r="D327" s="2436" t="s">
        <v>322</v>
      </c>
    </row>
    <row r="328" spans="2:4" x14ac:dyDescent="0.25">
      <c r="B328" s="2435">
        <v>33060</v>
      </c>
      <c r="C328" s="2437" t="s">
        <v>635</v>
      </c>
      <c r="D328" s="2436" t="s">
        <v>307</v>
      </c>
    </row>
    <row r="329" spans="2:4" x14ac:dyDescent="0.25">
      <c r="B329" s="2435">
        <v>32072</v>
      </c>
      <c r="C329" s="2437" t="s">
        <v>636</v>
      </c>
      <c r="D329" s="2436" t="s">
        <v>329</v>
      </c>
    </row>
    <row r="330" spans="2:4" x14ac:dyDescent="0.25">
      <c r="B330" s="2435">
        <v>65005</v>
      </c>
      <c r="C330" s="2437" t="s">
        <v>637</v>
      </c>
      <c r="D330" s="2436" t="s">
        <v>638</v>
      </c>
    </row>
    <row r="331" spans="2:4" x14ac:dyDescent="0.25">
      <c r="B331" s="2435">
        <v>52007</v>
      </c>
      <c r="C331" s="2437" t="s">
        <v>639</v>
      </c>
      <c r="D331" s="2436" t="s">
        <v>369</v>
      </c>
    </row>
    <row r="332" spans="2:4" x14ac:dyDescent="0.25">
      <c r="B332" s="2435">
        <v>49025</v>
      </c>
      <c r="C332" s="2437" t="s">
        <v>640</v>
      </c>
      <c r="D332" s="2436" t="s">
        <v>329</v>
      </c>
    </row>
    <row r="333" spans="2:4" x14ac:dyDescent="0.25">
      <c r="B333" s="2435">
        <v>85052</v>
      </c>
      <c r="C333" s="2437" t="s">
        <v>641</v>
      </c>
      <c r="D333" s="2436" t="s">
        <v>322</v>
      </c>
    </row>
    <row r="334" spans="2:4" x14ac:dyDescent="0.25">
      <c r="B334" s="2435">
        <v>42045</v>
      </c>
      <c r="C334" s="2437" t="s">
        <v>642</v>
      </c>
      <c r="D334" s="2436" t="s">
        <v>303</v>
      </c>
    </row>
    <row r="335" spans="2:4" x14ac:dyDescent="0.25">
      <c r="B335" s="2435">
        <v>99005</v>
      </c>
      <c r="C335" s="2437" t="s">
        <v>643</v>
      </c>
      <c r="D335" s="2436" t="s">
        <v>311</v>
      </c>
    </row>
    <row r="336" spans="2:4" x14ac:dyDescent="0.25">
      <c r="B336" s="2435">
        <v>33123</v>
      </c>
      <c r="C336" s="2437" t="s">
        <v>644</v>
      </c>
      <c r="D336" s="2436" t="s">
        <v>307</v>
      </c>
    </row>
    <row r="337" spans="2:4" x14ac:dyDescent="0.25">
      <c r="B337" s="2435">
        <v>49020</v>
      </c>
      <c r="C337" s="2437" t="s">
        <v>645</v>
      </c>
      <c r="D337" s="2436" t="s">
        <v>329</v>
      </c>
    </row>
    <row r="338" spans="2:4" x14ac:dyDescent="0.25">
      <c r="B338" s="2435">
        <v>13050</v>
      </c>
      <c r="C338" s="2437" t="s">
        <v>646</v>
      </c>
      <c r="D338" s="2436" t="s">
        <v>315</v>
      </c>
    </row>
    <row r="339" spans="2:4" x14ac:dyDescent="0.25">
      <c r="B339" s="2435">
        <v>38020</v>
      </c>
      <c r="C339" s="2437" t="s">
        <v>647</v>
      </c>
      <c r="D339" s="2436" t="s">
        <v>329</v>
      </c>
    </row>
    <row r="340" spans="2:4" x14ac:dyDescent="0.25">
      <c r="B340" s="2435">
        <v>60037</v>
      </c>
      <c r="C340" s="2437" t="s">
        <v>648</v>
      </c>
      <c r="D340" s="2436" t="s">
        <v>369</v>
      </c>
    </row>
    <row r="341" spans="2:4" x14ac:dyDescent="0.25">
      <c r="B341" s="2435">
        <v>67055</v>
      </c>
      <c r="C341" s="2437" t="s">
        <v>649</v>
      </c>
      <c r="D341" s="2436" t="s">
        <v>305</v>
      </c>
    </row>
    <row r="342" spans="2:4" x14ac:dyDescent="0.25">
      <c r="B342" s="2435">
        <v>95018</v>
      </c>
      <c r="C342" s="2437" t="s">
        <v>650</v>
      </c>
      <c r="D342" s="2436" t="s">
        <v>309</v>
      </c>
    </row>
    <row r="343" spans="2:4" x14ac:dyDescent="0.25">
      <c r="B343" s="2435">
        <v>71050</v>
      </c>
      <c r="C343" s="2437" t="s">
        <v>651</v>
      </c>
      <c r="D343" s="2436" t="s">
        <v>305</v>
      </c>
    </row>
    <row r="344" spans="2:4" x14ac:dyDescent="0.25">
      <c r="B344" s="2435">
        <v>71033</v>
      </c>
      <c r="C344" s="2437" t="s">
        <v>652</v>
      </c>
      <c r="D344" s="2436" t="s">
        <v>305</v>
      </c>
    </row>
    <row r="345" spans="2:4" x14ac:dyDescent="0.25">
      <c r="B345" s="2435">
        <v>16048</v>
      </c>
      <c r="C345" s="2437" t="s">
        <v>653</v>
      </c>
      <c r="D345" s="2436" t="s">
        <v>345</v>
      </c>
    </row>
    <row r="346" spans="2:4" x14ac:dyDescent="0.25">
      <c r="B346" s="2435">
        <v>95025</v>
      </c>
      <c r="C346" s="2437" t="s">
        <v>654</v>
      </c>
      <c r="D346" s="2436" t="s">
        <v>309</v>
      </c>
    </row>
    <row r="347" spans="2:4" x14ac:dyDescent="0.25">
      <c r="B347" s="2435">
        <v>9015</v>
      </c>
      <c r="C347" s="2437" t="s">
        <v>655</v>
      </c>
      <c r="D347" s="2436" t="s">
        <v>315</v>
      </c>
    </row>
    <row r="348" spans="2:4" x14ac:dyDescent="0.25">
      <c r="B348" s="2435">
        <v>1023</v>
      </c>
      <c r="C348" s="2437" t="s">
        <v>656</v>
      </c>
      <c r="D348" s="2436" t="s">
        <v>383</v>
      </c>
    </row>
    <row r="349" spans="2:4" x14ac:dyDescent="0.25">
      <c r="B349" s="2435">
        <v>8005</v>
      </c>
      <c r="C349" s="2437" t="s">
        <v>657</v>
      </c>
      <c r="D349" s="2436" t="s">
        <v>315</v>
      </c>
    </row>
    <row r="350" spans="2:4" x14ac:dyDescent="0.25">
      <c r="B350" s="2435">
        <v>25213</v>
      </c>
      <c r="C350" s="2437" t="s">
        <v>658</v>
      </c>
      <c r="D350" s="2436" t="s">
        <v>307</v>
      </c>
    </row>
    <row r="351" spans="2:4" x14ac:dyDescent="0.25">
      <c r="B351" s="2435">
        <v>71095</v>
      </c>
      <c r="C351" s="2437" t="s">
        <v>659</v>
      </c>
      <c r="D351" s="2436" t="s">
        <v>305</v>
      </c>
    </row>
    <row r="352" spans="2:4" x14ac:dyDescent="0.25">
      <c r="B352" s="2435">
        <v>98020</v>
      </c>
      <c r="C352" s="2437" t="s">
        <v>660</v>
      </c>
      <c r="D352" s="2436" t="s">
        <v>309</v>
      </c>
    </row>
    <row r="353" spans="2:4" x14ac:dyDescent="0.25">
      <c r="B353" s="2435">
        <v>66092</v>
      </c>
      <c r="C353" s="2437" t="s">
        <v>661</v>
      </c>
      <c r="D353" s="2436" t="s">
        <v>342</v>
      </c>
    </row>
    <row r="354" spans="2:4" x14ac:dyDescent="0.25">
      <c r="B354" s="2435">
        <v>84035</v>
      </c>
      <c r="C354" s="2437" t="s">
        <v>662</v>
      </c>
      <c r="D354" s="2436" t="s">
        <v>317</v>
      </c>
    </row>
    <row r="355" spans="2:4" x14ac:dyDescent="0.25">
      <c r="B355" s="2435">
        <v>71060</v>
      </c>
      <c r="C355" s="2437" t="s">
        <v>663</v>
      </c>
      <c r="D355" s="2436" t="s">
        <v>305</v>
      </c>
    </row>
    <row r="356" spans="2:4" x14ac:dyDescent="0.25">
      <c r="B356" s="2435">
        <v>41085</v>
      </c>
      <c r="C356" s="2437" t="s">
        <v>664</v>
      </c>
      <c r="D356" s="2436" t="s">
        <v>303</v>
      </c>
    </row>
    <row r="357" spans="2:4" x14ac:dyDescent="0.25">
      <c r="B357" s="2435">
        <v>84082</v>
      </c>
      <c r="C357" s="2437" t="s">
        <v>665</v>
      </c>
      <c r="D357" s="2436" t="s">
        <v>317</v>
      </c>
    </row>
    <row r="358" spans="2:4" x14ac:dyDescent="0.25">
      <c r="B358" s="2435">
        <v>16023</v>
      </c>
      <c r="C358" s="2437" t="s">
        <v>666</v>
      </c>
      <c r="D358" s="2436" t="s">
        <v>345</v>
      </c>
    </row>
    <row r="359" spans="2:4" x14ac:dyDescent="0.25">
      <c r="B359" s="2435">
        <v>17078</v>
      </c>
      <c r="C359" s="2437" t="s">
        <v>667</v>
      </c>
      <c r="D359" s="2436" t="s">
        <v>307</v>
      </c>
    </row>
    <row r="360" spans="2:4" x14ac:dyDescent="0.25">
      <c r="B360" s="2435">
        <v>12043</v>
      </c>
      <c r="C360" s="2437" t="s">
        <v>668</v>
      </c>
      <c r="D360" s="2436" t="s">
        <v>315</v>
      </c>
    </row>
    <row r="361" spans="2:4" x14ac:dyDescent="0.25">
      <c r="B361" s="2435">
        <v>84040</v>
      </c>
      <c r="C361" s="2437" t="s">
        <v>669</v>
      </c>
      <c r="D361" s="2436" t="s">
        <v>317</v>
      </c>
    </row>
    <row r="362" spans="2:4" x14ac:dyDescent="0.25">
      <c r="B362" s="2435">
        <v>80055</v>
      </c>
      <c r="C362" s="2437" t="s">
        <v>670</v>
      </c>
      <c r="D362" s="2436" t="s">
        <v>317</v>
      </c>
    </row>
    <row r="363" spans="2:4" x14ac:dyDescent="0.25">
      <c r="B363" s="2435">
        <v>80060</v>
      </c>
      <c r="C363" s="2437" t="s">
        <v>671</v>
      </c>
      <c r="D363" s="2436" t="s">
        <v>317</v>
      </c>
    </row>
    <row r="364" spans="2:4" x14ac:dyDescent="0.25">
      <c r="B364" s="2435">
        <v>98045</v>
      </c>
      <c r="C364" s="2437" t="s">
        <v>672</v>
      </c>
      <c r="D364" s="2436" t="s">
        <v>309</v>
      </c>
    </row>
    <row r="365" spans="2:4" x14ac:dyDescent="0.25">
      <c r="B365" s="2435">
        <v>95032</v>
      </c>
      <c r="C365" s="2437" t="s">
        <v>673</v>
      </c>
      <c r="D365" s="2436" t="s">
        <v>309</v>
      </c>
    </row>
    <row r="366" spans="2:4" x14ac:dyDescent="0.25">
      <c r="B366" s="2435">
        <v>58227</v>
      </c>
      <c r="C366" s="2437" t="s">
        <v>674</v>
      </c>
      <c r="D366" s="2436" t="s">
        <v>305</v>
      </c>
    </row>
    <row r="367" spans="2:4" x14ac:dyDescent="0.25">
      <c r="B367" s="2435">
        <v>73025</v>
      </c>
      <c r="C367" s="2437" t="s">
        <v>675</v>
      </c>
      <c r="D367" s="2436" t="s">
        <v>320</v>
      </c>
    </row>
    <row r="368" spans="2:4" x14ac:dyDescent="0.25">
      <c r="B368" s="2435">
        <v>85037</v>
      </c>
      <c r="C368" s="2437" t="s">
        <v>676</v>
      </c>
      <c r="D368" s="2436" t="s">
        <v>322</v>
      </c>
    </row>
    <row r="369" spans="2:4" x14ac:dyDescent="0.25">
      <c r="B369" s="2435">
        <v>33115</v>
      </c>
      <c r="C369" s="2437" t="s">
        <v>677</v>
      </c>
      <c r="D369" s="2436" t="s">
        <v>307</v>
      </c>
    </row>
    <row r="370" spans="2:4" x14ac:dyDescent="0.25">
      <c r="B370" s="2435">
        <v>51015</v>
      </c>
      <c r="C370" s="2437" t="s">
        <v>678</v>
      </c>
      <c r="D370" s="2436" t="s">
        <v>352</v>
      </c>
    </row>
    <row r="371" spans="2:4" x14ac:dyDescent="0.25">
      <c r="B371" s="2435">
        <v>83010</v>
      </c>
      <c r="C371" s="2437" t="s">
        <v>679</v>
      </c>
      <c r="D371" s="2436" t="s">
        <v>317</v>
      </c>
    </row>
    <row r="372" spans="2:4" x14ac:dyDescent="0.25">
      <c r="B372" s="2435">
        <v>32065</v>
      </c>
      <c r="C372" s="2437" t="s">
        <v>680</v>
      </c>
      <c r="D372" s="2436" t="s">
        <v>329</v>
      </c>
    </row>
    <row r="373" spans="2:4" x14ac:dyDescent="0.25">
      <c r="B373" s="2435">
        <v>87058</v>
      </c>
      <c r="C373" s="2437" t="s">
        <v>681</v>
      </c>
      <c r="D373" s="2436" t="s">
        <v>322</v>
      </c>
    </row>
    <row r="374" spans="2:4" x14ac:dyDescent="0.25">
      <c r="B374" s="2435">
        <v>39165</v>
      </c>
      <c r="C374" s="2437" t="s">
        <v>682</v>
      </c>
      <c r="D374" s="2436" t="s">
        <v>329</v>
      </c>
    </row>
    <row r="375" spans="2:4" x14ac:dyDescent="0.25">
      <c r="B375" s="2435">
        <v>45072</v>
      </c>
      <c r="C375" s="2437" t="s">
        <v>683</v>
      </c>
      <c r="D375" s="2436" t="s">
        <v>303</v>
      </c>
    </row>
    <row r="376" spans="2:4" x14ac:dyDescent="0.25">
      <c r="B376" s="2435">
        <v>89015</v>
      </c>
      <c r="C376" s="2437" t="s">
        <v>684</v>
      </c>
      <c r="D376" s="2436" t="s">
        <v>322</v>
      </c>
    </row>
    <row r="377" spans="2:4" x14ac:dyDescent="0.25">
      <c r="B377" s="2435">
        <v>52095</v>
      </c>
      <c r="C377" s="2437" t="s">
        <v>685</v>
      </c>
      <c r="D377" s="2436" t="s">
        <v>369</v>
      </c>
    </row>
    <row r="378" spans="2:4" x14ac:dyDescent="0.25">
      <c r="B378" s="2435">
        <v>83065</v>
      </c>
      <c r="C378" s="2437" t="s">
        <v>686</v>
      </c>
      <c r="D378" s="2436" t="s">
        <v>317</v>
      </c>
    </row>
    <row r="379" spans="2:4" x14ac:dyDescent="0.25">
      <c r="B379" s="2435">
        <v>38028</v>
      </c>
      <c r="C379" s="2437" t="s">
        <v>687</v>
      </c>
      <c r="D379" s="2436" t="s">
        <v>329</v>
      </c>
    </row>
    <row r="380" spans="2:4" x14ac:dyDescent="0.25">
      <c r="B380" s="2435">
        <v>84065</v>
      </c>
      <c r="C380" s="2437" t="s">
        <v>688</v>
      </c>
      <c r="D380" s="2436" t="s">
        <v>317</v>
      </c>
    </row>
    <row r="381" spans="2:4" x14ac:dyDescent="0.25">
      <c r="B381" s="2435">
        <v>6005</v>
      </c>
      <c r="C381" s="2437" t="s">
        <v>689</v>
      </c>
      <c r="D381" s="2436" t="s">
        <v>383</v>
      </c>
    </row>
    <row r="382" spans="2:4" x14ac:dyDescent="0.25">
      <c r="B382" s="2435">
        <v>42065</v>
      </c>
      <c r="C382" s="2437" t="s">
        <v>690</v>
      </c>
      <c r="D382" s="2436" t="s">
        <v>303</v>
      </c>
    </row>
    <row r="383" spans="2:4" x14ac:dyDescent="0.25">
      <c r="B383" s="2435">
        <v>55048</v>
      </c>
      <c r="C383" s="2437" t="s">
        <v>691</v>
      </c>
      <c r="D383" s="2436" t="s">
        <v>305</v>
      </c>
    </row>
    <row r="384" spans="2:4" x14ac:dyDescent="0.25">
      <c r="B384" s="2435">
        <v>4025</v>
      </c>
      <c r="C384" s="2437" t="s">
        <v>692</v>
      </c>
      <c r="D384" s="2436" t="s">
        <v>383</v>
      </c>
    </row>
    <row r="385" spans="2:4" x14ac:dyDescent="0.25">
      <c r="B385" s="2435">
        <v>30035</v>
      </c>
      <c r="C385" s="2437" t="s">
        <v>693</v>
      </c>
      <c r="D385" s="2436" t="s">
        <v>303</v>
      </c>
    </row>
    <row r="386" spans="2:4" x14ac:dyDescent="0.25">
      <c r="B386" s="2435">
        <v>44060</v>
      </c>
      <c r="C386" s="2437" t="s">
        <v>694</v>
      </c>
      <c r="D386" s="2436" t="s">
        <v>303</v>
      </c>
    </row>
    <row r="387" spans="2:4" x14ac:dyDescent="0.25">
      <c r="B387" s="2435">
        <v>64015</v>
      </c>
      <c r="C387" s="2437" t="s">
        <v>695</v>
      </c>
      <c r="D387" s="2436" t="s">
        <v>369</v>
      </c>
    </row>
    <row r="388" spans="2:4" x14ac:dyDescent="0.25">
      <c r="B388" s="2435">
        <v>51008</v>
      </c>
      <c r="C388" s="2437" t="s">
        <v>696</v>
      </c>
      <c r="D388" s="2436" t="s">
        <v>352</v>
      </c>
    </row>
    <row r="389" spans="2:4" x14ac:dyDescent="0.25">
      <c r="B389" s="2435">
        <v>53010</v>
      </c>
      <c r="C389" s="2437" t="s">
        <v>697</v>
      </c>
      <c r="D389" s="2436" t="s">
        <v>305</v>
      </c>
    </row>
    <row r="390" spans="2:4" x14ac:dyDescent="0.25">
      <c r="B390" s="2435">
        <v>99015</v>
      </c>
      <c r="C390" s="2437" t="s">
        <v>698</v>
      </c>
      <c r="D390" s="2436" t="s">
        <v>311</v>
      </c>
    </row>
    <row r="391" spans="2:4" x14ac:dyDescent="0.25">
      <c r="B391" s="2435">
        <v>8053</v>
      </c>
      <c r="C391" s="2437" t="s">
        <v>699</v>
      </c>
      <c r="D391" s="2436" t="s">
        <v>315</v>
      </c>
    </row>
    <row r="392" spans="2:4" x14ac:dyDescent="0.25">
      <c r="B392" s="2435">
        <v>6045</v>
      </c>
      <c r="C392" s="2437" t="s">
        <v>700</v>
      </c>
      <c r="D392" s="2436" t="s">
        <v>383</v>
      </c>
    </row>
    <row r="393" spans="2:4" x14ac:dyDescent="0.25">
      <c r="B393" s="2435">
        <v>80065</v>
      </c>
      <c r="C393" s="2437" t="s">
        <v>701</v>
      </c>
      <c r="D393" s="2436" t="s">
        <v>317</v>
      </c>
    </row>
    <row r="394" spans="2:4" x14ac:dyDescent="0.25">
      <c r="B394" s="2435">
        <v>57025</v>
      </c>
      <c r="C394" s="2437" t="s">
        <v>702</v>
      </c>
      <c r="D394" s="2436" t="s">
        <v>305</v>
      </c>
    </row>
    <row r="395" spans="2:4" x14ac:dyDescent="0.25">
      <c r="B395" s="2435">
        <v>42075</v>
      </c>
      <c r="C395" s="2437" t="s">
        <v>703</v>
      </c>
      <c r="D395" s="2436" t="s">
        <v>303</v>
      </c>
    </row>
    <row r="396" spans="2:4" x14ac:dyDescent="0.25">
      <c r="B396" s="2435">
        <v>67045</v>
      </c>
      <c r="C396" s="2437" t="s">
        <v>704</v>
      </c>
      <c r="D396" s="2436" t="s">
        <v>305</v>
      </c>
    </row>
    <row r="397" spans="2:4" x14ac:dyDescent="0.25">
      <c r="B397" s="2435">
        <v>83060</v>
      </c>
      <c r="C397" s="2437" t="s">
        <v>705</v>
      </c>
      <c r="D397" s="2436" t="s">
        <v>317</v>
      </c>
    </row>
    <row r="398" spans="2:4" x14ac:dyDescent="0.25">
      <c r="B398" s="2435">
        <v>93012</v>
      </c>
      <c r="C398" s="2437" t="s">
        <v>706</v>
      </c>
      <c r="D398" s="2436" t="s">
        <v>313</v>
      </c>
    </row>
    <row r="399" spans="2:4" x14ac:dyDescent="0.25">
      <c r="B399" s="2435">
        <v>9048</v>
      </c>
      <c r="C399" s="2437" t="s">
        <v>707</v>
      </c>
      <c r="D399" s="2436" t="s">
        <v>315</v>
      </c>
    </row>
    <row r="400" spans="2:4" x14ac:dyDescent="0.25">
      <c r="B400" s="2435">
        <v>30040</v>
      </c>
      <c r="C400" s="2437" t="s">
        <v>708</v>
      </c>
      <c r="D400" s="2436" t="s">
        <v>303</v>
      </c>
    </row>
    <row r="401" spans="2:4" x14ac:dyDescent="0.25">
      <c r="B401" s="2435">
        <v>76030</v>
      </c>
      <c r="C401" s="2437" t="s">
        <v>709</v>
      </c>
      <c r="D401" s="2436" t="s">
        <v>320</v>
      </c>
    </row>
    <row r="402" spans="2:4" x14ac:dyDescent="0.25">
      <c r="B402" s="2435">
        <v>74005</v>
      </c>
      <c r="C402" s="2437" t="s">
        <v>710</v>
      </c>
      <c r="D402" s="2436" t="s">
        <v>320</v>
      </c>
    </row>
    <row r="403" spans="2:4" x14ac:dyDescent="0.25">
      <c r="B403" s="2435">
        <v>99030</v>
      </c>
      <c r="C403" s="2437" t="s">
        <v>711</v>
      </c>
      <c r="D403" s="2436" t="s">
        <v>311</v>
      </c>
    </row>
    <row r="404" spans="2:4" x14ac:dyDescent="0.25">
      <c r="B404" s="2435">
        <v>85075</v>
      </c>
      <c r="C404" s="2437" t="s">
        <v>712</v>
      </c>
      <c r="D404" s="2436" t="s">
        <v>322</v>
      </c>
    </row>
    <row r="405" spans="2:4" x14ac:dyDescent="0.25">
      <c r="B405" s="2435">
        <v>78047</v>
      </c>
      <c r="C405" s="2437" t="s">
        <v>713</v>
      </c>
      <c r="D405" s="2436" t="s">
        <v>320</v>
      </c>
    </row>
    <row r="406" spans="2:4" x14ac:dyDescent="0.25">
      <c r="B406" s="2435">
        <v>78055</v>
      </c>
      <c r="C406" s="2437" t="s">
        <v>714</v>
      </c>
      <c r="D406" s="2436" t="s">
        <v>320</v>
      </c>
    </row>
    <row r="407" spans="2:4" x14ac:dyDescent="0.25">
      <c r="B407" s="2435">
        <v>14005</v>
      </c>
      <c r="C407" s="2437" t="s">
        <v>715</v>
      </c>
      <c r="D407" s="2436" t="s">
        <v>315</v>
      </c>
    </row>
    <row r="408" spans="2:4" x14ac:dyDescent="0.25">
      <c r="B408" s="2435">
        <v>83088</v>
      </c>
      <c r="C408" s="2437" t="s">
        <v>716</v>
      </c>
      <c r="D408" s="2436" t="s">
        <v>317</v>
      </c>
    </row>
    <row r="409" spans="2:4" x14ac:dyDescent="0.25">
      <c r="B409" s="2435">
        <v>80010</v>
      </c>
      <c r="C409" s="2437" t="s">
        <v>717</v>
      </c>
      <c r="D409" s="2436" t="s">
        <v>317</v>
      </c>
    </row>
    <row r="410" spans="2:4" x14ac:dyDescent="0.25">
      <c r="B410" s="2435">
        <v>9077</v>
      </c>
      <c r="C410" s="2437" t="s">
        <v>718</v>
      </c>
      <c r="D410" s="2436" t="s">
        <v>315</v>
      </c>
    </row>
    <row r="411" spans="2:4" x14ac:dyDescent="0.25">
      <c r="B411" s="2435">
        <v>79088</v>
      </c>
      <c r="C411" s="2437" t="s">
        <v>719</v>
      </c>
      <c r="D411" s="2436" t="s">
        <v>320</v>
      </c>
    </row>
    <row r="412" spans="2:4" x14ac:dyDescent="0.25">
      <c r="B412" s="2435">
        <v>18050</v>
      </c>
      <c r="C412" s="2437" t="s">
        <v>720</v>
      </c>
      <c r="D412" s="2436" t="s">
        <v>307</v>
      </c>
    </row>
    <row r="413" spans="2:4" x14ac:dyDescent="0.25">
      <c r="B413" s="2435">
        <v>80090</v>
      </c>
      <c r="C413" s="2437" t="s">
        <v>721</v>
      </c>
      <c r="D413" s="2436" t="s">
        <v>317</v>
      </c>
    </row>
    <row r="414" spans="2:4" x14ac:dyDescent="0.25">
      <c r="B414" s="2435">
        <v>66023</v>
      </c>
      <c r="C414" s="2437" t="s">
        <v>722</v>
      </c>
      <c r="D414" s="2436" t="s">
        <v>342</v>
      </c>
    </row>
    <row r="415" spans="2:4" x14ac:dyDescent="0.25">
      <c r="B415" s="2435">
        <v>66007</v>
      </c>
      <c r="C415" s="2437" t="s">
        <v>723</v>
      </c>
      <c r="D415" s="2436" t="s">
        <v>342</v>
      </c>
    </row>
    <row r="416" spans="2:4" x14ac:dyDescent="0.25">
      <c r="B416" s="2435">
        <v>66047</v>
      </c>
      <c r="C416" s="2437" t="s">
        <v>724</v>
      </c>
      <c r="D416" s="2436" t="s">
        <v>342</v>
      </c>
    </row>
    <row r="417" spans="2:4" x14ac:dyDescent="0.25">
      <c r="B417" s="2435">
        <v>66072</v>
      </c>
      <c r="C417" s="2437" t="s">
        <v>725</v>
      </c>
      <c r="D417" s="2436" t="s">
        <v>342</v>
      </c>
    </row>
    <row r="418" spans="2:4" x14ac:dyDescent="0.25">
      <c r="B418" s="2435">
        <v>56097</v>
      </c>
      <c r="C418" s="2437" t="s">
        <v>726</v>
      </c>
      <c r="D418" s="2436" t="s">
        <v>305</v>
      </c>
    </row>
    <row r="419" spans="2:4" x14ac:dyDescent="0.25">
      <c r="B419" s="2435">
        <v>57035</v>
      </c>
      <c r="C419" s="2437" t="s">
        <v>727</v>
      </c>
      <c r="D419" s="2436" t="s">
        <v>305</v>
      </c>
    </row>
    <row r="420" spans="2:4" x14ac:dyDescent="0.25">
      <c r="B420" s="2435">
        <v>79110</v>
      </c>
      <c r="C420" s="2437" t="s">
        <v>728</v>
      </c>
      <c r="D420" s="2436" t="s">
        <v>320</v>
      </c>
    </row>
    <row r="421" spans="2:4" x14ac:dyDescent="0.25">
      <c r="B421" s="2435">
        <v>4015</v>
      </c>
      <c r="C421" s="2437" t="s">
        <v>729</v>
      </c>
      <c r="D421" s="2436" t="s">
        <v>383</v>
      </c>
    </row>
    <row r="422" spans="2:4" x14ac:dyDescent="0.25">
      <c r="B422" s="2435">
        <v>78102</v>
      </c>
      <c r="C422" s="2437" t="s">
        <v>730</v>
      </c>
      <c r="D422" s="2436" t="s">
        <v>320</v>
      </c>
    </row>
    <row r="423" spans="2:4" x14ac:dyDescent="0.25">
      <c r="B423" s="2435">
        <v>77050</v>
      </c>
      <c r="C423" s="2437" t="s">
        <v>731</v>
      </c>
      <c r="D423" s="2436" t="s">
        <v>320</v>
      </c>
    </row>
    <row r="424" spans="2:4" x14ac:dyDescent="0.25">
      <c r="B424" s="2435">
        <v>80085</v>
      </c>
      <c r="C424" s="2437" t="s">
        <v>732</v>
      </c>
      <c r="D424" s="2436" t="s">
        <v>317</v>
      </c>
    </row>
    <row r="425" spans="2:4" x14ac:dyDescent="0.25">
      <c r="B425" s="2435">
        <v>3025</v>
      </c>
      <c r="C425" s="2437" t="s">
        <v>733</v>
      </c>
      <c r="D425" s="2436" t="s">
        <v>383</v>
      </c>
    </row>
    <row r="426" spans="2:4" x14ac:dyDescent="0.25">
      <c r="B426" s="2435">
        <v>80110</v>
      </c>
      <c r="C426" s="2437" t="s">
        <v>734</v>
      </c>
      <c r="D426" s="2436" t="s">
        <v>317</v>
      </c>
    </row>
    <row r="427" spans="2:4" x14ac:dyDescent="0.25">
      <c r="B427" s="2435">
        <v>30045</v>
      </c>
      <c r="C427" s="2437" t="s">
        <v>735</v>
      </c>
      <c r="D427" s="2436" t="s">
        <v>303</v>
      </c>
    </row>
    <row r="428" spans="2:4" x14ac:dyDescent="0.25">
      <c r="B428" s="2435">
        <v>68030</v>
      </c>
      <c r="C428" s="2437" t="s">
        <v>736</v>
      </c>
      <c r="D428" s="2436" t="s">
        <v>305</v>
      </c>
    </row>
    <row r="429" spans="2:4" x14ac:dyDescent="0.25">
      <c r="B429" s="2435">
        <v>98025</v>
      </c>
      <c r="C429" s="2437" t="s">
        <v>737</v>
      </c>
      <c r="D429" s="2436" t="s">
        <v>309</v>
      </c>
    </row>
    <row r="430" spans="2:4" x14ac:dyDescent="0.25">
      <c r="B430" s="2435">
        <v>19010</v>
      </c>
      <c r="C430" s="2437" t="s">
        <v>738</v>
      </c>
      <c r="D430" s="2436" t="s">
        <v>307</v>
      </c>
    </row>
    <row r="431" spans="2:4" x14ac:dyDescent="0.25">
      <c r="B431" s="2435">
        <v>80015</v>
      </c>
      <c r="C431" s="2437" t="s">
        <v>739</v>
      </c>
      <c r="D431" s="2436" t="s">
        <v>317</v>
      </c>
    </row>
    <row r="432" spans="2:4" x14ac:dyDescent="0.25">
      <c r="B432" s="2435">
        <v>33085</v>
      </c>
      <c r="C432" s="2437" t="s">
        <v>740</v>
      </c>
      <c r="D432" s="2436" t="s">
        <v>307</v>
      </c>
    </row>
    <row r="433" spans="2:4" x14ac:dyDescent="0.25">
      <c r="B433" s="2435">
        <v>85100</v>
      </c>
      <c r="C433" s="2437" t="s">
        <v>741</v>
      </c>
      <c r="D433" s="2436" t="s">
        <v>322</v>
      </c>
    </row>
    <row r="434" spans="2:4" x14ac:dyDescent="0.25">
      <c r="B434" s="2435">
        <v>99040</v>
      </c>
      <c r="C434" s="2437" t="s">
        <v>742</v>
      </c>
      <c r="D434" s="2436" t="s">
        <v>311</v>
      </c>
    </row>
    <row r="435" spans="2:4" x14ac:dyDescent="0.25">
      <c r="B435" s="2435">
        <v>34007</v>
      </c>
      <c r="C435" s="2437" t="s">
        <v>743</v>
      </c>
      <c r="D435" s="2436" t="s">
        <v>345</v>
      </c>
    </row>
    <row r="436" spans="2:4" x14ac:dyDescent="0.25">
      <c r="B436" s="2435">
        <v>5040</v>
      </c>
      <c r="C436" s="2437" t="s">
        <v>744</v>
      </c>
      <c r="D436" s="2436" t="s">
        <v>383</v>
      </c>
    </row>
    <row r="437" spans="2:4" x14ac:dyDescent="0.25">
      <c r="B437" s="2435">
        <v>5070</v>
      </c>
      <c r="C437" s="2437" t="s">
        <v>745</v>
      </c>
      <c r="D437" s="2436" t="s">
        <v>383</v>
      </c>
    </row>
    <row r="438" spans="2:4" x14ac:dyDescent="0.25">
      <c r="B438" s="2435">
        <v>41037</v>
      </c>
      <c r="C438" s="2437" t="s">
        <v>746</v>
      </c>
      <c r="D438" s="2436" t="s">
        <v>303</v>
      </c>
    </row>
    <row r="439" spans="2:4" x14ac:dyDescent="0.25">
      <c r="B439" s="2435">
        <v>50072</v>
      </c>
      <c r="C439" s="2437" t="s">
        <v>747</v>
      </c>
      <c r="D439" s="2436" t="s">
        <v>329</v>
      </c>
    </row>
    <row r="440" spans="2:4" x14ac:dyDescent="0.25">
      <c r="B440" s="2435">
        <v>79030</v>
      </c>
      <c r="C440" s="2437" t="s">
        <v>748</v>
      </c>
      <c r="D440" s="2436" t="s">
        <v>320</v>
      </c>
    </row>
    <row r="441" spans="2:4" x14ac:dyDescent="0.25">
      <c r="B441" s="2435">
        <v>92040</v>
      </c>
      <c r="C441" s="2437" t="s">
        <v>749</v>
      </c>
      <c r="D441" s="2436" t="s">
        <v>313</v>
      </c>
    </row>
    <row r="442" spans="2:4" x14ac:dyDescent="0.25">
      <c r="B442" s="2435">
        <v>87115</v>
      </c>
      <c r="C442" s="2437" t="s">
        <v>750</v>
      </c>
      <c r="D442" s="2436" t="s">
        <v>322</v>
      </c>
    </row>
    <row r="443" spans="2:4" x14ac:dyDescent="0.25">
      <c r="B443" s="2435">
        <v>45050</v>
      </c>
      <c r="C443" s="2437" t="s">
        <v>751</v>
      </c>
      <c r="D443" s="2436" t="s">
        <v>303</v>
      </c>
    </row>
    <row r="444" spans="2:4" x14ac:dyDescent="0.25">
      <c r="B444" s="2435">
        <v>39015</v>
      </c>
      <c r="C444" s="2437" t="s">
        <v>752</v>
      </c>
      <c r="D444" s="2436" t="s">
        <v>329</v>
      </c>
    </row>
    <row r="445" spans="2:4" x14ac:dyDescent="0.25">
      <c r="B445" s="2435">
        <v>62055</v>
      </c>
      <c r="C445" s="2437" t="s">
        <v>753</v>
      </c>
      <c r="D445" s="2436" t="s">
        <v>369</v>
      </c>
    </row>
    <row r="446" spans="2:4" x14ac:dyDescent="0.25">
      <c r="B446" s="2435">
        <v>80020</v>
      </c>
      <c r="C446" s="2437" t="s">
        <v>754</v>
      </c>
      <c r="D446" s="2436" t="s">
        <v>317</v>
      </c>
    </row>
    <row r="447" spans="2:4" x14ac:dyDescent="0.25">
      <c r="B447" s="2435">
        <v>80087</v>
      </c>
      <c r="C447" s="2437" t="s">
        <v>755</v>
      </c>
      <c r="D447" s="2436" t="s">
        <v>317</v>
      </c>
    </row>
    <row r="448" spans="2:4" x14ac:dyDescent="0.25">
      <c r="B448" s="2435">
        <v>71065</v>
      </c>
      <c r="C448" s="2437" t="s">
        <v>756</v>
      </c>
      <c r="D448" s="2436" t="s">
        <v>305</v>
      </c>
    </row>
    <row r="449" spans="2:4" x14ac:dyDescent="0.25">
      <c r="B449" s="2435">
        <v>92060</v>
      </c>
      <c r="C449" s="2437" t="s">
        <v>757</v>
      </c>
      <c r="D449" s="2436" t="s">
        <v>313</v>
      </c>
    </row>
    <row r="450" spans="2:4" x14ac:dyDescent="0.25">
      <c r="B450" s="2435">
        <v>61045</v>
      </c>
      <c r="C450" s="2437" t="s">
        <v>758</v>
      </c>
      <c r="D450" s="2436" t="s">
        <v>369</v>
      </c>
    </row>
    <row r="451" spans="2:4" x14ac:dyDescent="0.25">
      <c r="B451" s="2435">
        <v>32080</v>
      </c>
      <c r="C451" s="2437" t="s">
        <v>758</v>
      </c>
      <c r="D451" s="2436" t="s">
        <v>329</v>
      </c>
    </row>
    <row r="452" spans="2:4" x14ac:dyDescent="0.25">
      <c r="B452" s="2435">
        <v>35005</v>
      </c>
      <c r="C452" s="2437" t="s">
        <v>759</v>
      </c>
      <c r="D452" s="2436" t="s">
        <v>352</v>
      </c>
    </row>
    <row r="453" spans="2:4" x14ac:dyDescent="0.25">
      <c r="B453" s="2435">
        <v>79010</v>
      </c>
      <c r="C453" s="2437" t="s">
        <v>760</v>
      </c>
      <c r="D453" s="2436" t="s">
        <v>320</v>
      </c>
    </row>
    <row r="454" spans="2:4" x14ac:dyDescent="0.25">
      <c r="B454" s="2435">
        <v>23015</v>
      </c>
      <c r="C454" s="2437" t="s">
        <v>761</v>
      </c>
      <c r="D454" s="2436" t="s">
        <v>345</v>
      </c>
    </row>
    <row r="455" spans="2:4" x14ac:dyDescent="0.25">
      <c r="B455" s="2435">
        <v>30010</v>
      </c>
      <c r="C455" s="2437" t="s">
        <v>762</v>
      </c>
      <c r="D455" s="2436" t="s">
        <v>303</v>
      </c>
    </row>
    <row r="456" spans="2:4" x14ac:dyDescent="0.25">
      <c r="B456" s="2435">
        <v>15025</v>
      </c>
      <c r="C456" s="2437" t="s">
        <v>763</v>
      </c>
      <c r="D456" s="2436" t="s">
        <v>345</v>
      </c>
    </row>
    <row r="457" spans="2:4" x14ac:dyDescent="0.25">
      <c r="B457" s="2435">
        <v>11045</v>
      </c>
      <c r="C457" s="2437" t="s">
        <v>764</v>
      </c>
      <c r="D457" s="2436" t="s">
        <v>315</v>
      </c>
    </row>
    <row r="458" spans="2:4" x14ac:dyDescent="0.25">
      <c r="B458" s="2435">
        <v>29120</v>
      </c>
      <c r="C458" s="2437" t="s">
        <v>765</v>
      </c>
      <c r="D458" s="2436" t="s">
        <v>307</v>
      </c>
    </row>
    <row r="459" spans="2:4" x14ac:dyDescent="0.25">
      <c r="B459" s="2435">
        <v>61030</v>
      </c>
      <c r="C459" s="2437" t="s">
        <v>766</v>
      </c>
      <c r="D459" s="2436" t="s">
        <v>369</v>
      </c>
    </row>
    <row r="460" spans="2:4" x14ac:dyDescent="0.25">
      <c r="B460" s="2435">
        <v>12045</v>
      </c>
      <c r="C460" s="2437" t="s">
        <v>767</v>
      </c>
      <c r="D460" s="2436" t="s">
        <v>315</v>
      </c>
    </row>
    <row r="461" spans="2:4" x14ac:dyDescent="0.25">
      <c r="B461" s="2435">
        <v>46100</v>
      </c>
      <c r="C461" s="2437" t="s">
        <v>768</v>
      </c>
      <c r="D461" s="2436" t="s">
        <v>303</v>
      </c>
    </row>
    <row r="462" spans="2:4" x14ac:dyDescent="0.25">
      <c r="B462" s="2435">
        <v>49080</v>
      </c>
      <c r="C462" s="2437" t="s">
        <v>769</v>
      </c>
      <c r="D462" s="2436" t="s">
        <v>329</v>
      </c>
    </row>
    <row r="463" spans="2:4" x14ac:dyDescent="0.25">
      <c r="B463" s="2435">
        <v>49075</v>
      </c>
      <c r="C463" s="2437" t="s">
        <v>769</v>
      </c>
      <c r="D463" s="2436" t="s">
        <v>329</v>
      </c>
    </row>
    <row r="464" spans="2:4" x14ac:dyDescent="0.25">
      <c r="B464" s="2435">
        <v>79005</v>
      </c>
      <c r="C464" s="2437" t="s">
        <v>770</v>
      </c>
      <c r="D464" s="2436" t="s">
        <v>320</v>
      </c>
    </row>
    <row r="465" spans="2:4" x14ac:dyDescent="0.25">
      <c r="B465" s="2435">
        <v>37235</v>
      </c>
      <c r="C465" s="2437" t="s">
        <v>771</v>
      </c>
      <c r="D465" s="2436" t="s">
        <v>352</v>
      </c>
    </row>
    <row r="466" spans="2:4" x14ac:dyDescent="0.25">
      <c r="B466" s="2435">
        <v>85090</v>
      </c>
      <c r="C466" s="2437" t="s">
        <v>772</v>
      </c>
      <c r="D466" s="2436" t="s">
        <v>322</v>
      </c>
    </row>
    <row r="467" spans="2:4" x14ac:dyDescent="0.25">
      <c r="B467" s="2435">
        <v>12080</v>
      </c>
      <c r="C467" s="2437" t="s">
        <v>773</v>
      </c>
      <c r="D467" s="2436" t="s">
        <v>315</v>
      </c>
    </row>
    <row r="468" spans="2:4" x14ac:dyDescent="0.25">
      <c r="B468" s="2435">
        <v>18040</v>
      </c>
      <c r="C468" s="2437" t="s">
        <v>774</v>
      </c>
      <c r="D468" s="2436" t="s">
        <v>307</v>
      </c>
    </row>
    <row r="469" spans="2:4" x14ac:dyDescent="0.25">
      <c r="B469" s="2435">
        <v>6020</v>
      </c>
      <c r="C469" s="2437" t="s">
        <v>775</v>
      </c>
      <c r="D469" s="2436" t="s">
        <v>383</v>
      </c>
    </row>
    <row r="470" spans="2:4" x14ac:dyDescent="0.25">
      <c r="B470" s="2435">
        <v>56015</v>
      </c>
      <c r="C470" s="2437" t="s">
        <v>776</v>
      </c>
      <c r="D470" s="2436" t="s">
        <v>305</v>
      </c>
    </row>
    <row r="471" spans="2:4" x14ac:dyDescent="0.25">
      <c r="B471" s="2435">
        <v>45020</v>
      </c>
      <c r="C471" s="2437" t="s">
        <v>777</v>
      </c>
      <c r="D471" s="2436" t="s">
        <v>303</v>
      </c>
    </row>
    <row r="472" spans="2:4" x14ac:dyDescent="0.25">
      <c r="B472" s="2435">
        <v>72032</v>
      </c>
      <c r="C472" s="2437" t="s">
        <v>778</v>
      </c>
      <c r="D472" s="2436" t="s">
        <v>320</v>
      </c>
    </row>
    <row r="473" spans="2:4" x14ac:dyDescent="0.25">
      <c r="B473" s="2435">
        <v>45115</v>
      </c>
      <c r="C473" s="2437" t="s">
        <v>779</v>
      </c>
      <c r="D473" s="2436" t="s">
        <v>303</v>
      </c>
    </row>
    <row r="474" spans="2:4" x14ac:dyDescent="0.25">
      <c r="B474" s="2435">
        <v>69037</v>
      </c>
      <c r="C474" s="2437" t="s">
        <v>780</v>
      </c>
      <c r="D474" s="2436" t="s">
        <v>305</v>
      </c>
    </row>
    <row r="475" spans="2:4" x14ac:dyDescent="0.25">
      <c r="B475" s="2435">
        <v>84055</v>
      </c>
      <c r="C475" s="2437" t="s">
        <v>781</v>
      </c>
      <c r="D475" s="2436" t="s">
        <v>317</v>
      </c>
    </row>
    <row r="476" spans="2:4" x14ac:dyDescent="0.25">
      <c r="B476" s="2435">
        <v>57030</v>
      </c>
      <c r="C476" s="2437" t="s">
        <v>782</v>
      </c>
      <c r="D476" s="2436" t="s">
        <v>305</v>
      </c>
    </row>
    <row r="477" spans="2:4" x14ac:dyDescent="0.25">
      <c r="B477" s="2435">
        <v>13015</v>
      </c>
      <c r="C477" s="2437" t="s">
        <v>783</v>
      </c>
      <c r="D477" s="2436" t="s">
        <v>315</v>
      </c>
    </row>
    <row r="478" spans="2:4" x14ac:dyDescent="0.25">
      <c r="B478" s="2435">
        <v>9040</v>
      </c>
      <c r="C478" s="2437" t="s">
        <v>784</v>
      </c>
      <c r="D478" s="2436" t="s">
        <v>315</v>
      </c>
    </row>
    <row r="479" spans="2:4" x14ac:dyDescent="0.25">
      <c r="B479" s="2435">
        <v>87025</v>
      </c>
      <c r="C479" s="2437" t="s">
        <v>785</v>
      </c>
      <c r="D479" s="2436" t="s">
        <v>322</v>
      </c>
    </row>
    <row r="480" spans="2:4" x14ac:dyDescent="0.25">
      <c r="B480" s="2435">
        <v>80037</v>
      </c>
      <c r="C480" s="2437" t="s">
        <v>786</v>
      </c>
      <c r="D480" s="2436" t="s">
        <v>317</v>
      </c>
    </row>
    <row r="481" spans="2:4" x14ac:dyDescent="0.25">
      <c r="B481" s="2435">
        <v>38055</v>
      </c>
      <c r="C481" s="2437" t="s">
        <v>787</v>
      </c>
      <c r="D481" s="2436" t="s">
        <v>329</v>
      </c>
    </row>
    <row r="482" spans="2:4" x14ac:dyDescent="0.25">
      <c r="B482" s="2435">
        <v>5032</v>
      </c>
      <c r="C482" s="2437" t="s">
        <v>788</v>
      </c>
      <c r="D482" s="2436" t="s">
        <v>383</v>
      </c>
    </row>
    <row r="483" spans="2:4" x14ac:dyDescent="0.25">
      <c r="B483" s="2435">
        <v>2005</v>
      </c>
      <c r="C483" s="2437" t="s">
        <v>789</v>
      </c>
      <c r="D483" s="2436" t="s">
        <v>383</v>
      </c>
    </row>
    <row r="484" spans="2:4" x14ac:dyDescent="0.25">
      <c r="B484" s="2435">
        <v>92010</v>
      </c>
      <c r="C484" s="2437" t="s">
        <v>790</v>
      </c>
      <c r="D484" s="2436" t="s">
        <v>313</v>
      </c>
    </row>
    <row r="485" spans="2:4" x14ac:dyDescent="0.25">
      <c r="B485" s="2435">
        <v>16005</v>
      </c>
      <c r="C485" s="2437" t="s">
        <v>791</v>
      </c>
      <c r="D485" s="2436" t="s">
        <v>345</v>
      </c>
    </row>
    <row r="486" spans="2:4" x14ac:dyDescent="0.25">
      <c r="B486" s="2435">
        <v>3015</v>
      </c>
      <c r="C486" s="2437" t="s">
        <v>792</v>
      </c>
      <c r="D486" s="2436" t="s">
        <v>383</v>
      </c>
    </row>
    <row r="487" spans="2:4" x14ac:dyDescent="0.25">
      <c r="B487" s="2435">
        <v>94205</v>
      </c>
      <c r="C487" s="2437" t="s">
        <v>793</v>
      </c>
      <c r="D487" s="2436" t="s">
        <v>313</v>
      </c>
    </row>
    <row r="488" spans="2:4" x14ac:dyDescent="0.25">
      <c r="B488" s="2435">
        <v>77030</v>
      </c>
      <c r="C488" s="2437" t="s">
        <v>794</v>
      </c>
      <c r="D488" s="2436" t="s">
        <v>320</v>
      </c>
    </row>
    <row r="489" spans="2:4" x14ac:dyDescent="0.25">
      <c r="B489" s="2435">
        <v>50113</v>
      </c>
      <c r="C489" s="2437" t="s">
        <v>795</v>
      </c>
      <c r="D489" s="2436" t="s">
        <v>329</v>
      </c>
    </row>
    <row r="490" spans="2:4" x14ac:dyDescent="0.25">
      <c r="B490" s="2435">
        <v>46025</v>
      </c>
      <c r="C490" s="2437" t="s">
        <v>796</v>
      </c>
      <c r="D490" s="2436" t="s">
        <v>303</v>
      </c>
    </row>
    <row r="491" spans="2:4" x14ac:dyDescent="0.25">
      <c r="B491" s="2435">
        <v>71070</v>
      </c>
      <c r="C491" s="2437" t="s">
        <v>797</v>
      </c>
      <c r="D491" s="2436" t="s">
        <v>305</v>
      </c>
    </row>
    <row r="492" spans="2:4" x14ac:dyDescent="0.25">
      <c r="B492" s="2435">
        <v>30020</v>
      </c>
      <c r="C492" s="2437" t="s">
        <v>798</v>
      </c>
      <c r="D492" s="2436" t="s">
        <v>303</v>
      </c>
    </row>
    <row r="493" spans="2:4" x14ac:dyDescent="0.25">
      <c r="B493" s="2435">
        <v>80045</v>
      </c>
      <c r="C493" s="2437" t="s">
        <v>799</v>
      </c>
      <c r="D493" s="2436" t="s">
        <v>317</v>
      </c>
    </row>
    <row r="494" spans="2:4" x14ac:dyDescent="0.25">
      <c r="B494" s="2435">
        <v>32045</v>
      </c>
      <c r="C494" s="2437" t="s">
        <v>800</v>
      </c>
      <c r="D494" s="2436" t="s">
        <v>329</v>
      </c>
    </row>
    <row r="495" spans="2:4" x14ac:dyDescent="0.25">
      <c r="B495" s="2435">
        <v>32040</v>
      </c>
      <c r="C495" s="2437" t="s">
        <v>800</v>
      </c>
      <c r="D495" s="2436" t="s">
        <v>329</v>
      </c>
    </row>
    <row r="496" spans="2:4" x14ac:dyDescent="0.25">
      <c r="B496" s="2435">
        <v>13095</v>
      </c>
      <c r="C496" s="2437" t="s">
        <v>801</v>
      </c>
      <c r="D496" s="2436" t="s">
        <v>315</v>
      </c>
    </row>
    <row r="497" spans="2:4" x14ac:dyDescent="0.25">
      <c r="B497" s="2435">
        <v>6030</v>
      </c>
      <c r="C497" s="2437" t="s">
        <v>802</v>
      </c>
      <c r="D497" s="2436" t="s">
        <v>383</v>
      </c>
    </row>
    <row r="498" spans="2:4" x14ac:dyDescent="0.25">
      <c r="B498" s="2435">
        <v>96030</v>
      </c>
      <c r="C498" s="2437" t="s">
        <v>803</v>
      </c>
      <c r="D498" s="2436" t="s">
        <v>309</v>
      </c>
    </row>
    <row r="499" spans="2:4" x14ac:dyDescent="0.25">
      <c r="B499" s="2435">
        <v>72020</v>
      </c>
      <c r="C499" s="2437" t="s">
        <v>804</v>
      </c>
      <c r="D499" s="2436" t="s">
        <v>320</v>
      </c>
    </row>
    <row r="500" spans="2:4" x14ac:dyDescent="0.25">
      <c r="B500" s="2435">
        <v>66097</v>
      </c>
      <c r="C500" s="2437" t="s">
        <v>805</v>
      </c>
      <c r="D500" s="2436" t="s">
        <v>342</v>
      </c>
    </row>
    <row r="501" spans="2:4" x14ac:dyDescent="0.25">
      <c r="B501" s="2435">
        <v>71055</v>
      </c>
      <c r="C501" s="2437" t="s">
        <v>806</v>
      </c>
      <c r="D501" s="2436" t="s">
        <v>305</v>
      </c>
    </row>
    <row r="502" spans="2:4" x14ac:dyDescent="0.25">
      <c r="B502" s="2435">
        <v>71140</v>
      </c>
      <c r="C502" s="2437" t="s">
        <v>807</v>
      </c>
      <c r="D502" s="2436" t="s">
        <v>305</v>
      </c>
    </row>
    <row r="503" spans="2:4" x14ac:dyDescent="0.25">
      <c r="B503" s="2435">
        <v>96025</v>
      </c>
      <c r="C503" s="2437" t="s">
        <v>808</v>
      </c>
      <c r="D503" s="2436" t="s">
        <v>309</v>
      </c>
    </row>
    <row r="504" spans="2:4" x14ac:dyDescent="0.25">
      <c r="B504" s="2435">
        <v>82030</v>
      </c>
      <c r="C504" s="2437" t="s">
        <v>809</v>
      </c>
      <c r="D504" s="2436" t="s">
        <v>317</v>
      </c>
    </row>
    <row r="505" spans="2:4" x14ac:dyDescent="0.25">
      <c r="B505" s="2435">
        <v>34017</v>
      </c>
      <c r="C505" s="2437" t="s">
        <v>810</v>
      </c>
      <c r="D505" s="2436" t="s">
        <v>345</v>
      </c>
    </row>
    <row r="506" spans="2:4" x14ac:dyDescent="0.25">
      <c r="B506" s="2435">
        <v>84020</v>
      </c>
      <c r="C506" s="2437" t="s">
        <v>811</v>
      </c>
      <c r="D506" s="2436" t="s">
        <v>317</v>
      </c>
    </row>
    <row r="507" spans="2:4" x14ac:dyDescent="0.25">
      <c r="B507" s="2435">
        <v>97022</v>
      </c>
      <c r="C507" s="2437" t="s">
        <v>812</v>
      </c>
      <c r="D507" s="2436" t="s">
        <v>309</v>
      </c>
    </row>
    <row r="508" spans="2:4" x14ac:dyDescent="0.25">
      <c r="B508" s="2435">
        <v>2047</v>
      </c>
      <c r="C508" s="2437" t="s">
        <v>813</v>
      </c>
      <c r="D508" s="2436" t="s">
        <v>383</v>
      </c>
    </row>
    <row r="509" spans="2:4" x14ac:dyDescent="0.25">
      <c r="B509" s="2435">
        <v>34048</v>
      </c>
      <c r="C509" s="2437" t="s">
        <v>814</v>
      </c>
      <c r="D509" s="2436" t="s">
        <v>345</v>
      </c>
    </row>
    <row r="510" spans="2:4" x14ac:dyDescent="0.25">
      <c r="B510" s="2435">
        <v>95040</v>
      </c>
      <c r="C510" s="2437" t="s">
        <v>815</v>
      </c>
      <c r="D510" s="2436" t="s">
        <v>309</v>
      </c>
    </row>
    <row r="511" spans="2:4" x14ac:dyDescent="0.25">
      <c r="B511" s="2435">
        <v>45030</v>
      </c>
      <c r="C511" s="2437" t="s">
        <v>816</v>
      </c>
      <c r="D511" s="2436" t="s">
        <v>303</v>
      </c>
    </row>
    <row r="512" spans="2:4" x14ac:dyDescent="0.25">
      <c r="B512" s="2435">
        <v>87035</v>
      </c>
      <c r="C512" s="2437" t="s">
        <v>817</v>
      </c>
      <c r="D512" s="2436" t="s">
        <v>322</v>
      </c>
    </row>
    <row r="513" spans="2:4" x14ac:dyDescent="0.25">
      <c r="B513" s="2435">
        <v>88090</v>
      </c>
      <c r="C513" s="2437" t="s">
        <v>818</v>
      </c>
      <c r="D513" s="2436" t="s">
        <v>322</v>
      </c>
    </row>
    <row r="514" spans="2:4" x14ac:dyDescent="0.25">
      <c r="B514" s="2435">
        <v>75040</v>
      </c>
      <c r="C514" s="2437" t="s">
        <v>819</v>
      </c>
      <c r="D514" s="2436" t="s">
        <v>320</v>
      </c>
    </row>
    <row r="515" spans="2:4" x14ac:dyDescent="0.25">
      <c r="B515" s="2435">
        <v>9065</v>
      </c>
      <c r="C515" s="2437" t="s">
        <v>820</v>
      </c>
      <c r="D515" s="2436" t="s">
        <v>315</v>
      </c>
    </row>
    <row r="516" spans="2:4" x14ac:dyDescent="0.25">
      <c r="B516" s="2435">
        <v>32033</v>
      </c>
      <c r="C516" s="2437" t="s">
        <v>821</v>
      </c>
      <c r="D516" s="2436" t="s">
        <v>329</v>
      </c>
    </row>
    <row r="517" spans="2:4" x14ac:dyDescent="0.25">
      <c r="B517" s="2435">
        <v>99120</v>
      </c>
      <c r="C517" s="2437" t="s">
        <v>822</v>
      </c>
      <c r="D517" s="2436" t="s">
        <v>311</v>
      </c>
    </row>
    <row r="518" spans="2:4" x14ac:dyDescent="0.25">
      <c r="B518" s="2435">
        <v>99115</v>
      </c>
      <c r="C518" s="2437" t="s">
        <v>823</v>
      </c>
      <c r="D518" s="2436" t="s">
        <v>311</v>
      </c>
    </row>
    <row r="519" spans="2:4" x14ac:dyDescent="0.25">
      <c r="B519" s="2435">
        <v>23027</v>
      </c>
      <c r="C519" s="2437" t="s">
        <v>824</v>
      </c>
      <c r="D519" s="2436" t="s">
        <v>345</v>
      </c>
    </row>
    <row r="520" spans="2:4" x14ac:dyDescent="0.25">
      <c r="B520" s="2435">
        <v>42032</v>
      </c>
      <c r="C520" s="2437" t="s">
        <v>825</v>
      </c>
      <c r="D520" s="2436" t="s">
        <v>303</v>
      </c>
    </row>
    <row r="521" spans="2:4" x14ac:dyDescent="0.25">
      <c r="B521" s="2435">
        <v>96040</v>
      </c>
      <c r="C521" s="2437" t="s">
        <v>826</v>
      </c>
      <c r="D521" s="2436" t="s">
        <v>309</v>
      </c>
    </row>
    <row r="522" spans="2:4" x14ac:dyDescent="0.25">
      <c r="B522" s="2435">
        <v>87010</v>
      </c>
      <c r="C522" s="2437" t="s">
        <v>827</v>
      </c>
      <c r="D522" s="2436" t="s">
        <v>322</v>
      </c>
    </row>
    <row r="523" spans="2:4" x14ac:dyDescent="0.25">
      <c r="B523" s="2435">
        <v>84100</v>
      </c>
      <c r="C523" s="2437" t="s">
        <v>828</v>
      </c>
      <c r="D523" s="2436" t="s">
        <v>317</v>
      </c>
    </row>
    <row r="524" spans="2:4" x14ac:dyDescent="0.25">
      <c r="B524" s="2435">
        <v>62037</v>
      </c>
      <c r="C524" s="2437" t="s">
        <v>829</v>
      </c>
      <c r="D524" s="2436" t="s">
        <v>369</v>
      </c>
    </row>
    <row r="525" spans="2:4" x14ac:dyDescent="0.25">
      <c r="B525" s="2435">
        <v>85105</v>
      </c>
      <c r="C525" s="2437" t="s">
        <v>830</v>
      </c>
      <c r="D525" s="2436" t="s">
        <v>322</v>
      </c>
    </row>
    <row r="526" spans="2:4" x14ac:dyDescent="0.25">
      <c r="B526" s="2435">
        <v>60013</v>
      </c>
      <c r="C526" s="2437" t="s">
        <v>831</v>
      </c>
      <c r="D526" s="2436" t="s">
        <v>369</v>
      </c>
    </row>
    <row r="527" spans="2:4" x14ac:dyDescent="0.25">
      <c r="B527" s="2435">
        <v>55057</v>
      </c>
      <c r="C527" s="2437" t="s">
        <v>832</v>
      </c>
      <c r="D527" s="2436" t="s">
        <v>305</v>
      </c>
    </row>
    <row r="528" spans="2:4" x14ac:dyDescent="0.25">
      <c r="B528" s="2435">
        <v>42098</v>
      </c>
      <c r="C528" s="2437" t="s">
        <v>833</v>
      </c>
      <c r="D528" s="2436" t="s">
        <v>303</v>
      </c>
    </row>
    <row r="529" spans="2:4" x14ac:dyDescent="0.25">
      <c r="B529" s="2435">
        <v>71133</v>
      </c>
      <c r="C529" s="2437" t="s">
        <v>834</v>
      </c>
      <c r="D529" s="2436" t="s">
        <v>305</v>
      </c>
    </row>
    <row r="530" spans="2:4" x14ac:dyDescent="0.25">
      <c r="B530" s="2435">
        <v>10043</v>
      </c>
      <c r="C530" s="2437" t="s">
        <v>835</v>
      </c>
      <c r="D530" s="2436" t="s">
        <v>315</v>
      </c>
    </row>
    <row r="531" spans="2:4" x14ac:dyDescent="0.25">
      <c r="B531" s="2435">
        <v>80078</v>
      </c>
      <c r="C531" s="2437" t="s">
        <v>836</v>
      </c>
      <c r="D531" s="2436" t="s">
        <v>317</v>
      </c>
    </row>
    <row r="532" spans="2:4" x14ac:dyDescent="0.25">
      <c r="B532" s="2435">
        <v>6035</v>
      </c>
      <c r="C532" s="2437" t="s">
        <v>837</v>
      </c>
      <c r="D532" s="2436" t="s">
        <v>383</v>
      </c>
    </row>
    <row r="533" spans="2:4" x14ac:dyDescent="0.25">
      <c r="B533" s="2435">
        <v>4020</v>
      </c>
      <c r="C533" s="2437" t="s">
        <v>838</v>
      </c>
      <c r="D533" s="2436" t="s">
        <v>383</v>
      </c>
    </row>
    <row r="534" spans="2:4" x14ac:dyDescent="0.25">
      <c r="B534" s="2435">
        <v>34135</v>
      </c>
      <c r="C534" s="2437" t="s">
        <v>839</v>
      </c>
      <c r="D534" s="2436" t="s">
        <v>345</v>
      </c>
    </row>
    <row r="535" spans="2:4" x14ac:dyDescent="0.25">
      <c r="B535" s="2435">
        <v>98055</v>
      </c>
      <c r="C535" s="2437" t="s">
        <v>840</v>
      </c>
      <c r="D535" s="2436" t="s">
        <v>309</v>
      </c>
    </row>
    <row r="536" spans="2:4" x14ac:dyDescent="0.25">
      <c r="B536" s="2435">
        <v>71005</v>
      </c>
      <c r="C536" s="2437" t="s">
        <v>841</v>
      </c>
      <c r="D536" s="2436" t="s">
        <v>305</v>
      </c>
    </row>
    <row r="537" spans="2:4" x14ac:dyDescent="0.25">
      <c r="B537" s="2435">
        <v>13025</v>
      </c>
      <c r="C537" s="2437" t="s">
        <v>842</v>
      </c>
      <c r="D537" s="2436" t="s">
        <v>315</v>
      </c>
    </row>
    <row r="538" spans="2:4" x14ac:dyDescent="0.25">
      <c r="B538" s="2435">
        <v>12072</v>
      </c>
      <c r="C538" s="2437" t="s">
        <v>843</v>
      </c>
      <c r="D538" s="2436" t="s">
        <v>315</v>
      </c>
    </row>
    <row r="539" spans="2:4" x14ac:dyDescent="0.25">
      <c r="B539" s="2435">
        <v>94215</v>
      </c>
      <c r="C539" s="2437" t="s">
        <v>844</v>
      </c>
      <c r="D539" s="2436" t="s">
        <v>313</v>
      </c>
    </row>
    <row r="540" spans="2:4" x14ac:dyDescent="0.25">
      <c r="B540" s="2435">
        <v>89010</v>
      </c>
      <c r="C540" s="2437" t="s">
        <v>845</v>
      </c>
      <c r="D540" s="2436" t="s">
        <v>322</v>
      </c>
    </row>
    <row r="541" spans="2:4" x14ac:dyDescent="0.25">
      <c r="B541" s="2435">
        <v>14065</v>
      </c>
      <c r="C541" s="2437" t="s">
        <v>846</v>
      </c>
      <c r="D541" s="2436" t="s">
        <v>315</v>
      </c>
    </row>
    <row r="542" spans="2:4" x14ac:dyDescent="0.25">
      <c r="B542" s="2435">
        <v>79037</v>
      </c>
      <c r="C542" s="2437" t="s">
        <v>847</v>
      </c>
      <c r="D542" s="2436" t="s">
        <v>320</v>
      </c>
    </row>
    <row r="543" spans="2:4" x14ac:dyDescent="0.25">
      <c r="B543" s="2435">
        <v>98050</v>
      </c>
      <c r="C543" s="2437" t="s">
        <v>848</v>
      </c>
      <c r="D543" s="2436" t="s">
        <v>309</v>
      </c>
    </row>
    <row r="544" spans="2:4" x14ac:dyDescent="0.25">
      <c r="B544" s="2435">
        <v>91025</v>
      </c>
      <c r="C544" s="2437" t="s">
        <v>849</v>
      </c>
      <c r="D544" s="2436" t="s">
        <v>313</v>
      </c>
    </row>
    <row r="545" spans="2:4" x14ac:dyDescent="0.25">
      <c r="B545" s="2435">
        <v>87015</v>
      </c>
      <c r="C545" s="2437" t="s">
        <v>850</v>
      </c>
      <c r="D545" s="2436" t="s">
        <v>322</v>
      </c>
    </row>
    <row r="546" spans="2:4" x14ac:dyDescent="0.25">
      <c r="B546" s="2435">
        <v>73020</v>
      </c>
      <c r="C546" s="2437" t="s">
        <v>851</v>
      </c>
      <c r="D546" s="2436" t="s">
        <v>320</v>
      </c>
    </row>
    <row r="547" spans="2:4" x14ac:dyDescent="0.25">
      <c r="B547" s="2435">
        <v>55037</v>
      </c>
      <c r="C547" s="2437" t="s">
        <v>852</v>
      </c>
      <c r="D547" s="2436" t="s">
        <v>305</v>
      </c>
    </row>
    <row r="548" spans="2:4" x14ac:dyDescent="0.25">
      <c r="B548" s="2435">
        <v>86042</v>
      </c>
      <c r="C548" s="2437" t="s">
        <v>853</v>
      </c>
      <c r="D548" s="2436" t="s">
        <v>322</v>
      </c>
    </row>
    <row r="549" spans="2:4" x14ac:dyDescent="0.25">
      <c r="B549" s="2435">
        <v>48015</v>
      </c>
      <c r="C549" s="2437" t="s">
        <v>854</v>
      </c>
      <c r="D549" s="2436" t="s">
        <v>305</v>
      </c>
    </row>
    <row r="550" spans="2:4" x14ac:dyDescent="0.25">
      <c r="B550" s="2435">
        <v>48010</v>
      </c>
      <c r="C550" s="2437" t="s">
        <v>855</v>
      </c>
      <c r="D550" s="2436" t="s">
        <v>305</v>
      </c>
    </row>
    <row r="551" spans="2:4" x14ac:dyDescent="0.25">
      <c r="B551" s="2435">
        <v>47047</v>
      </c>
      <c r="C551" s="2437" t="s">
        <v>856</v>
      </c>
      <c r="D551" s="2436" t="s">
        <v>303</v>
      </c>
    </row>
    <row r="552" spans="2:4" x14ac:dyDescent="0.25">
      <c r="B552" s="2435">
        <v>95010</v>
      </c>
      <c r="C552" s="2437" t="s">
        <v>857</v>
      </c>
      <c r="D552" s="2436" t="s">
        <v>309</v>
      </c>
    </row>
    <row r="553" spans="2:4" x14ac:dyDescent="0.25">
      <c r="B553" s="2435">
        <v>31130</v>
      </c>
      <c r="C553" s="2437" t="s">
        <v>858</v>
      </c>
      <c r="D553" s="2436" t="s">
        <v>307</v>
      </c>
    </row>
    <row r="554" spans="2:4" x14ac:dyDescent="0.25">
      <c r="B554" s="2435">
        <v>94068</v>
      </c>
      <c r="C554" s="2437" t="s">
        <v>859</v>
      </c>
      <c r="D554" s="2436" t="s">
        <v>313</v>
      </c>
    </row>
    <row r="555" spans="2:4" x14ac:dyDescent="0.25">
      <c r="B555" s="2435">
        <v>17015</v>
      </c>
      <c r="C555" s="2437" t="s">
        <v>860</v>
      </c>
      <c r="D555" s="2436" t="s">
        <v>307</v>
      </c>
    </row>
    <row r="556" spans="2:4" x14ac:dyDescent="0.25">
      <c r="B556" s="2435">
        <v>8030</v>
      </c>
      <c r="C556" s="2437" t="s">
        <v>861</v>
      </c>
      <c r="D556" s="2436" t="s">
        <v>315</v>
      </c>
    </row>
    <row r="557" spans="2:4" x14ac:dyDescent="0.25">
      <c r="B557" s="2435">
        <v>35015</v>
      </c>
      <c r="C557" s="2437" t="s">
        <v>862</v>
      </c>
      <c r="D557" s="2436" t="s">
        <v>352</v>
      </c>
    </row>
    <row r="558" spans="2:4" x14ac:dyDescent="0.25">
      <c r="B558" s="2435">
        <v>77065</v>
      </c>
      <c r="C558" s="2437" t="s">
        <v>863</v>
      </c>
      <c r="D558" s="2436" t="s">
        <v>320</v>
      </c>
    </row>
    <row r="559" spans="2:4" x14ac:dyDescent="0.25">
      <c r="B559" s="2435">
        <v>40010</v>
      </c>
      <c r="C559" s="2437" t="s">
        <v>864</v>
      </c>
      <c r="D559" s="2436" t="s">
        <v>303</v>
      </c>
    </row>
    <row r="560" spans="2:4" x14ac:dyDescent="0.25">
      <c r="B560" s="2435">
        <v>31095</v>
      </c>
      <c r="C560" s="2437" t="s">
        <v>865</v>
      </c>
      <c r="D560" s="2436" t="s">
        <v>307</v>
      </c>
    </row>
    <row r="561" spans="2:4" x14ac:dyDescent="0.25">
      <c r="B561" s="2435">
        <v>33045</v>
      </c>
      <c r="C561" s="2437" t="s">
        <v>866</v>
      </c>
      <c r="D561" s="2436" t="s">
        <v>307</v>
      </c>
    </row>
    <row r="562" spans="2:4" x14ac:dyDescent="0.25">
      <c r="B562" s="2435">
        <v>53015</v>
      </c>
      <c r="C562" s="2437" t="s">
        <v>867</v>
      </c>
      <c r="D562" s="2436" t="s">
        <v>305</v>
      </c>
    </row>
    <row r="563" spans="2:4" x14ac:dyDescent="0.25">
      <c r="B563" s="2435">
        <v>15030</v>
      </c>
      <c r="C563" s="2437" t="s">
        <v>868</v>
      </c>
      <c r="D563" s="2436" t="s">
        <v>345</v>
      </c>
    </row>
    <row r="564" spans="2:4" x14ac:dyDescent="0.25">
      <c r="B564" s="2435">
        <v>79022</v>
      </c>
      <c r="C564" s="2437" t="s">
        <v>869</v>
      </c>
      <c r="D564" s="2436" t="s">
        <v>320</v>
      </c>
    </row>
    <row r="565" spans="2:4" x14ac:dyDescent="0.25">
      <c r="B565" s="2435">
        <v>34097</v>
      </c>
      <c r="C565" s="2437" t="s">
        <v>870</v>
      </c>
      <c r="D565" s="2436" t="s">
        <v>345</v>
      </c>
    </row>
    <row r="566" spans="2:4" x14ac:dyDescent="0.25">
      <c r="B566" s="2435">
        <v>39085</v>
      </c>
      <c r="C566" s="2437" t="s">
        <v>871</v>
      </c>
      <c r="D566" s="2436" t="s">
        <v>329</v>
      </c>
    </row>
    <row r="567" spans="2:4" x14ac:dyDescent="0.25">
      <c r="B567" s="2435">
        <v>56055</v>
      </c>
      <c r="C567" s="2437" t="s">
        <v>872</v>
      </c>
      <c r="D567" s="2436" t="s">
        <v>305</v>
      </c>
    </row>
    <row r="568" spans="2:4" x14ac:dyDescent="0.25">
      <c r="B568" s="2435">
        <v>14035</v>
      </c>
      <c r="C568" s="2437" t="s">
        <v>873</v>
      </c>
      <c r="D568" s="2436" t="s">
        <v>315</v>
      </c>
    </row>
    <row r="569" spans="2:4" x14ac:dyDescent="0.25">
      <c r="B569" s="2435">
        <v>7065</v>
      </c>
      <c r="C569" s="2437" t="s">
        <v>874</v>
      </c>
      <c r="D569" s="2436" t="s">
        <v>315</v>
      </c>
    </row>
    <row r="570" spans="2:4" x14ac:dyDescent="0.25">
      <c r="B570" s="2435">
        <v>63023</v>
      </c>
      <c r="C570" s="2437" t="s">
        <v>875</v>
      </c>
      <c r="D570" s="2436" t="s">
        <v>369</v>
      </c>
    </row>
    <row r="571" spans="2:4" x14ac:dyDescent="0.25">
      <c r="B571" s="2435">
        <v>6050</v>
      </c>
      <c r="C571" s="2437" t="s">
        <v>876</v>
      </c>
      <c r="D571" s="2436" t="s">
        <v>383</v>
      </c>
    </row>
    <row r="572" spans="2:4" x14ac:dyDescent="0.25">
      <c r="B572" s="2435">
        <v>51065</v>
      </c>
      <c r="C572" s="2437" t="s">
        <v>877</v>
      </c>
      <c r="D572" s="2436" t="s">
        <v>352</v>
      </c>
    </row>
    <row r="573" spans="2:4" x14ac:dyDescent="0.25">
      <c r="B573" s="2435">
        <v>27015</v>
      </c>
      <c r="C573" s="2437" t="s">
        <v>878</v>
      </c>
      <c r="D573" s="2436" t="s">
        <v>307</v>
      </c>
    </row>
    <row r="574" spans="2:4" x14ac:dyDescent="0.25">
      <c r="B574" s="2435">
        <v>5065</v>
      </c>
      <c r="C574" s="2437" t="s">
        <v>879</v>
      </c>
      <c r="D574" s="2436" t="s">
        <v>383</v>
      </c>
    </row>
    <row r="575" spans="2:4" x14ac:dyDescent="0.25">
      <c r="B575" s="2435">
        <v>47010</v>
      </c>
      <c r="C575" s="2437" t="s">
        <v>880</v>
      </c>
      <c r="D575" s="2436" t="s">
        <v>303</v>
      </c>
    </row>
    <row r="576" spans="2:4" x14ac:dyDescent="0.25">
      <c r="B576" s="2435">
        <v>62025</v>
      </c>
      <c r="C576" s="2437" t="s">
        <v>881</v>
      </c>
      <c r="D576" s="2436" t="s">
        <v>369</v>
      </c>
    </row>
    <row r="577" spans="2:4" x14ac:dyDescent="0.25">
      <c r="B577" s="2435">
        <v>59015</v>
      </c>
      <c r="C577" s="2437" t="s">
        <v>882</v>
      </c>
      <c r="D577" s="2436" t="s">
        <v>305</v>
      </c>
    </row>
    <row r="578" spans="2:4" x14ac:dyDescent="0.25">
      <c r="B578" s="2435">
        <v>94255</v>
      </c>
      <c r="C578" s="2437" t="s">
        <v>883</v>
      </c>
      <c r="D578" s="2436" t="s">
        <v>313</v>
      </c>
    </row>
    <row r="579" spans="2:4" x14ac:dyDescent="0.25">
      <c r="B579" s="2435">
        <v>61040</v>
      </c>
      <c r="C579" s="2437" t="s">
        <v>884</v>
      </c>
      <c r="D579" s="2436" t="s">
        <v>369</v>
      </c>
    </row>
    <row r="580" spans="2:4" x14ac:dyDescent="0.25">
      <c r="B580" s="2435">
        <v>10030</v>
      </c>
      <c r="C580" s="2437" t="s">
        <v>885</v>
      </c>
      <c r="D580" s="2436" t="s">
        <v>315</v>
      </c>
    </row>
    <row r="581" spans="2:4" x14ac:dyDescent="0.25">
      <c r="B581" s="2435">
        <v>80027</v>
      </c>
      <c r="C581" s="2437" t="s">
        <v>886</v>
      </c>
      <c r="D581" s="2436" t="s">
        <v>317</v>
      </c>
    </row>
    <row r="582" spans="2:4" x14ac:dyDescent="0.25">
      <c r="B582" s="2435">
        <v>76008</v>
      </c>
      <c r="C582" s="2437" t="s">
        <v>887</v>
      </c>
      <c r="D582" s="2436" t="s">
        <v>320</v>
      </c>
    </row>
    <row r="583" spans="2:4" x14ac:dyDescent="0.25">
      <c r="B583" s="2435">
        <v>14040</v>
      </c>
      <c r="C583" s="2437" t="s">
        <v>888</v>
      </c>
      <c r="D583" s="2436" t="s">
        <v>315</v>
      </c>
    </row>
    <row r="584" spans="2:4" x14ac:dyDescent="0.25">
      <c r="B584" s="2435">
        <v>6040</v>
      </c>
      <c r="C584" s="2437" t="s">
        <v>889</v>
      </c>
      <c r="D584" s="2436" t="s">
        <v>383</v>
      </c>
    </row>
    <row r="585" spans="2:4" x14ac:dyDescent="0.25">
      <c r="B585" s="2435">
        <v>91010</v>
      </c>
      <c r="C585" s="2437" t="s">
        <v>890</v>
      </c>
      <c r="D585" s="2436" t="s">
        <v>313</v>
      </c>
    </row>
    <row r="586" spans="2:4" x14ac:dyDescent="0.25">
      <c r="B586" s="2435">
        <v>69070</v>
      </c>
      <c r="C586" s="2437" t="s">
        <v>891</v>
      </c>
      <c r="D586" s="2436" t="s">
        <v>305</v>
      </c>
    </row>
    <row r="587" spans="2:4" x14ac:dyDescent="0.25">
      <c r="B587" s="2435">
        <v>19062</v>
      </c>
      <c r="C587" s="2437" t="s">
        <v>892</v>
      </c>
      <c r="D587" s="2436" t="s">
        <v>307</v>
      </c>
    </row>
    <row r="588" spans="2:4" x14ac:dyDescent="0.25">
      <c r="B588" s="2435">
        <v>33095</v>
      </c>
      <c r="C588" s="2437" t="s">
        <v>893</v>
      </c>
      <c r="D588" s="2436" t="s">
        <v>307</v>
      </c>
    </row>
    <row r="589" spans="2:4" x14ac:dyDescent="0.25">
      <c r="B589" s="2435">
        <v>18070</v>
      </c>
      <c r="C589" s="2437" t="s">
        <v>894</v>
      </c>
      <c r="D589" s="2436" t="s">
        <v>307</v>
      </c>
    </row>
    <row r="590" spans="2:4" x14ac:dyDescent="0.25">
      <c r="B590" s="2435">
        <v>57075</v>
      </c>
      <c r="C590" s="2437" t="s">
        <v>895</v>
      </c>
      <c r="D590" s="2436" t="s">
        <v>305</v>
      </c>
    </row>
    <row r="591" spans="2:4" x14ac:dyDescent="0.25">
      <c r="B591" s="2435">
        <v>12015</v>
      </c>
      <c r="C591" s="2437" t="s">
        <v>896</v>
      </c>
      <c r="D591" s="2436" t="s">
        <v>315</v>
      </c>
    </row>
    <row r="592" spans="2:4" x14ac:dyDescent="0.25">
      <c r="B592" s="2435">
        <v>33090</v>
      </c>
      <c r="C592" s="2437" t="s">
        <v>897</v>
      </c>
      <c r="D592" s="2436" t="s">
        <v>307</v>
      </c>
    </row>
    <row r="593" spans="2:4" x14ac:dyDescent="0.25">
      <c r="B593" s="2435">
        <v>46017</v>
      </c>
      <c r="C593" s="2437" t="s">
        <v>898</v>
      </c>
      <c r="D593" s="2436" t="s">
        <v>303</v>
      </c>
    </row>
    <row r="594" spans="2:4" x14ac:dyDescent="0.25">
      <c r="B594" s="2435">
        <v>12065</v>
      </c>
      <c r="C594" s="2437" t="s">
        <v>899</v>
      </c>
      <c r="D594" s="2436" t="s">
        <v>315</v>
      </c>
    </row>
    <row r="595" spans="2:4" x14ac:dyDescent="0.25">
      <c r="B595" s="2435">
        <v>13100</v>
      </c>
      <c r="C595" s="2437" t="s">
        <v>900</v>
      </c>
      <c r="D595" s="2436" t="s">
        <v>315</v>
      </c>
    </row>
    <row r="596" spans="2:4" x14ac:dyDescent="0.25">
      <c r="B596" s="2435">
        <v>17055</v>
      </c>
      <c r="C596" s="2437" t="s">
        <v>901</v>
      </c>
      <c r="D596" s="2436" t="s">
        <v>307</v>
      </c>
    </row>
    <row r="597" spans="2:4" x14ac:dyDescent="0.25">
      <c r="B597" s="2435">
        <v>92005</v>
      </c>
      <c r="C597" s="2437" t="s">
        <v>902</v>
      </c>
      <c r="D597" s="2436" t="s">
        <v>313</v>
      </c>
    </row>
    <row r="598" spans="2:4" x14ac:dyDescent="0.25">
      <c r="B598" s="2435">
        <v>98012</v>
      </c>
      <c r="C598" s="2437" t="s">
        <v>902</v>
      </c>
      <c r="D598" s="2436" t="s">
        <v>309</v>
      </c>
    </row>
    <row r="599" spans="2:4" x14ac:dyDescent="0.25">
      <c r="B599" s="2435">
        <v>23072</v>
      </c>
      <c r="C599" s="2437" t="s">
        <v>903</v>
      </c>
      <c r="D599" s="2436" t="s">
        <v>345</v>
      </c>
    </row>
    <row r="600" spans="2:4" x14ac:dyDescent="0.25">
      <c r="B600" s="2435">
        <v>30005</v>
      </c>
      <c r="C600" s="2437" t="s">
        <v>904</v>
      </c>
      <c r="D600" s="2436" t="s">
        <v>303</v>
      </c>
    </row>
    <row r="601" spans="2:4" x14ac:dyDescent="0.25">
      <c r="B601" s="2435">
        <v>51025</v>
      </c>
      <c r="C601" s="2437" t="s">
        <v>905</v>
      </c>
      <c r="D601" s="2436" t="s">
        <v>352</v>
      </c>
    </row>
    <row r="602" spans="2:4" x14ac:dyDescent="0.25">
      <c r="B602" s="2435">
        <v>54105</v>
      </c>
      <c r="C602" s="2437" t="s">
        <v>906</v>
      </c>
      <c r="D602" s="2436" t="s">
        <v>305</v>
      </c>
    </row>
    <row r="603" spans="2:4" x14ac:dyDescent="0.25">
      <c r="B603" s="2435">
        <v>52055</v>
      </c>
      <c r="C603" s="2437" t="s">
        <v>907</v>
      </c>
      <c r="D603" s="2436" t="s">
        <v>369</v>
      </c>
    </row>
    <row r="604" spans="2:4" x14ac:dyDescent="0.25">
      <c r="B604" s="2435">
        <v>34038</v>
      </c>
      <c r="C604" s="2437" t="s">
        <v>908</v>
      </c>
      <c r="D604" s="2436" t="s">
        <v>345</v>
      </c>
    </row>
    <row r="605" spans="2:4" x14ac:dyDescent="0.25">
      <c r="B605" s="2435">
        <v>57020</v>
      </c>
      <c r="C605" s="2437" t="s">
        <v>909</v>
      </c>
      <c r="D605" s="2436" t="s">
        <v>305</v>
      </c>
    </row>
    <row r="606" spans="2:4" x14ac:dyDescent="0.25">
      <c r="B606" s="2435">
        <v>28025</v>
      </c>
      <c r="C606" s="2437" t="s">
        <v>910</v>
      </c>
      <c r="D606" s="2436" t="s">
        <v>307</v>
      </c>
    </row>
    <row r="607" spans="2:4" x14ac:dyDescent="0.25">
      <c r="B607" s="2435">
        <v>45080</v>
      </c>
      <c r="C607" s="2437" t="s">
        <v>911</v>
      </c>
      <c r="D607" s="2436" t="s">
        <v>303</v>
      </c>
    </row>
    <row r="608" spans="2:4" x14ac:dyDescent="0.25">
      <c r="B608" s="2435">
        <v>29100</v>
      </c>
      <c r="C608" s="2437" t="s">
        <v>912</v>
      </c>
      <c r="D608" s="2436" t="s">
        <v>307</v>
      </c>
    </row>
    <row r="609" spans="2:4" x14ac:dyDescent="0.25">
      <c r="B609" s="2435">
        <v>26055</v>
      </c>
      <c r="C609" s="2437" t="s">
        <v>913</v>
      </c>
      <c r="D609" s="2436" t="s">
        <v>307</v>
      </c>
    </row>
    <row r="610" spans="2:4" x14ac:dyDescent="0.25">
      <c r="B610" s="2435">
        <v>68005</v>
      </c>
      <c r="C610" s="2437" t="s">
        <v>914</v>
      </c>
      <c r="D610" s="2436" t="s">
        <v>305</v>
      </c>
    </row>
    <row r="611" spans="2:4" x14ac:dyDescent="0.25">
      <c r="B611" s="2435">
        <v>54115</v>
      </c>
      <c r="C611" s="2437" t="s">
        <v>915</v>
      </c>
      <c r="D611" s="2436" t="s">
        <v>305</v>
      </c>
    </row>
    <row r="612" spans="2:4" x14ac:dyDescent="0.25">
      <c r="B612" s="2435">
        <v>56065</v>
      </c>
      <c r="C612" s="2437" t="s">
        <v>916</v>
      </c>
      <c r="D612" s="2436" t="s">
        <v>305</v>
      </c>
    </row>
    <row r="613" spans="2:4" x14ac:dyDescent="0.25">
      <c r="B613" s="2435">
        <v>49125</v>
      </c>
      <c r="C613" s="2437" t="s">
        <v>917</v>
      </c>
      <c r="D613" s="2436" t="s">
        <v>329</v>
      </c>
    </row>
    <row r="614" spans="2:4" x14ac:dyDescent="0.25">
      <c r="B614" s="2435">
        <v>51085</v>
      </c>
      <c r="C614" s="2437" t="s">
        <v>918</v>
      </c>
      <c r="D614" s="2436" t="s">
        <v>352</v>
      </c>
    </row>
    <row r="615" spans="2:4" x14ac:dyDescent="0.25">
      <c r="B615" s="2435">
        <v>93030</v>
      </c>
      <c r="C615" s="2437" t="s">
        <v>919</v>
      </c>
      <c r="D615" s="2436" t="s">
        <v>313</v>
      </c>
    </row>
    <row r="616" spans="2:4" x14ac:dyDescent="0.25">
      <c r="B616" s="2435">
        <v>85045</v>
      </c>
      <c r="C616" s="2437" t="s">
        <v>920</v>
      </c>
      <c r="D616" s="2436" t="s">
        <v>322</v>
      </c>
    </row>
    <row r="617" spans="2:4" x14ac:dyDescent="0.25">
      <c r="B617" s="2435">
        <v>14010</v>
      </c>
      <c r="C617" s="2437" t="s">
        <v>921</v>
      </c>
      <c r="D617" s="2436" t="s">
        <v>315</v>
      </c>
    </row>
    <row r="618" spans="2:4" x14ac:dyDescent="0.25">
      <c r="B618" s="2435">
        <v>58037</v>
      </c>
      <c r="C618" s="2437" t="s">
        <v>922</v>
      </c>
      <c r="D618" s="2436" t="s">
        <v>305</v>
      </c>
    </row>
    <row r="619" spans="2:4" x14ac:dyDescent="0.25">
      <c r="B619" s="2435">
        <v>63055</v>
      </c>
      <c r="C619" s="2437" t="s">
        <v>923</v>
      </c>
      <c r="D619" s="2436" t="s">
        <v>369</v>
      </c>
    </row>
    <row r="620" spans="2:4" x14ac:dyDescent="0.25">
      <c r="B620" s="2435">
        <v>40025</v>
      </c>
      <c r="C620" s="2437" t="s">
        <v>924</v>
      </c>
      <c r="D620" s="2436" t="s">
        <v>303</v>
      </c>
    </row>
    <row r="621" spans="2:4" x14ac:dyDescent="0.25">
      <c r="B621" s="2435">
        <v>28070</v>
      </c>
      <c r="C621" s="2437" t="s">
        <v>925</v>
      </c>
      <c r="D621" s="2436" t="s">
        <v>307</v>
      </c>
    </row>
    <row r="622" spans="2:4" x14ac:dyDescent="0.25">
      <c r="B622" s="2435">
        <v>34078</v>
      </c>
      <c r="C622" s="2437" t="s">
        <v>926</v>
      </c>
      <c r="D622" s="2436" t="s">
        <v>345</v>
      </c>
    </row>
    <row r="623" spans="2:4" x14ac:dyDescent="0.25">
      <c r="B623" s="2435">
        <v>50030</v>
      </c>
      <c r="C623" s="2437" t="s">
        <v>927</v>
      </c>
      <c r="D623" s="2436" t="s">
        <v>329</v>
      </c>
    </row>
    <row r="624" spans="2:4" x14ac:dyDescent="0.25">
      <c r="B624" s="2435">
        <v>50035</v>
      </c>
      <c r="C624" s="2437" t="s">
        <v>927</v>
      </c>
      <c r="D624" s="2436" t="s">
        <v>329</v>
      </c>
    </row>
    <row r="625" spans="2:4" x14ac:dyDescent="0.25">
      <c r="B625" s="2435">
        <v>55023</v>
      </c>
      <c r="C625" s="2437" t="s">
        <v>928</v>
      </c>
      <c r="D625" s="2436" t="s">
        <v>305</v>
      </c>
    </row>
    <row r="626" spans="2:4" x14ac:dyDescent="0.25">
      <c r="B626" s="2435">
        <v>61035</v>
      </c>
      <c r="C626" s="2437" t="s">
        <v>929</v>
      </c>
      <c r="D626" s="2436" t="s">
        <v>369</v>
      </c>
    </row>
    <row r="627" spans="2:4" x14ac:dyDescent="0.25">
      <c r="B627" s="2435">
        <v>19097</v>
      </c>
      <c r="C627" s="2437" t="s">
        <v>930</v>
      </c>
      <c r="D627" s="2436" t="s">
        <v>307</v>
      </c>
    </row>
    <row r="628" spans="2:4" x14ac:dyDescent="0.25">
      <c r="B628" s="2435">
        <v>94260</v>
      </c>
      <c r="C628" s="2437" t="s">
        <v>931</v>
      </c>
      <c r="D628" s="2436" t="s">
        <v>313</v>
      </c>
    </row>
    <row r="629" spans="2:4" x14ac:dyDescent="0.25">
      <c r="B629" s="2435">
        <v>9010</v>
      </c>
      <c r="C629" s="2437" t="s">
        <v>932</v>
      </c>
      <c r="D629" s="2436" t="s">
        <v>315</v>
      </c>
    </row>
    <row r="630" spans="2:4" x14ac:dyDescent="0.25">
      <c r="B630" s="2435">
        <v>57057</v>
      </c>
      <c r="C630" s="2437" t="s">
        <v>933</v>
      </c>
      <c r="D630" s="2436" t="s">
        <v>305</v>
      </c>
    </row>
    <row r="631" spans="2:4" x14ac:dyDescent="0.25">
      <c r="B631" s="2435">
        <v>39060</v>
      </c>
      <c r="C631" s="2437" t="s">
        <v>934</v>
      </c>
      <c r="D631" s="2436" t="s">
        <v>329</v>
      </c>
    </row>
    <row r="632" spans="2:4" x14ac:dyDescent="0.25">
      <c r="B632" s="2435">
        <v>69017</v>
      </c>
      <c r="C632" s="2437" t="s">
        <v>935</v>
      </c>
      <c r="D632" s="2436" t="s">
        <v>305</v>
      </c>
    </row>
    <row r="633" spans="2:4" x14ac:dyDescent="0.25">
      <c r="B633" s="2435">
        <v>42100</v>
      </c>
      <c r="C633" s="2437" t="s">
        <v>936</v>
      </c>
      <c r="D633" s="2436" t="s">
        <v>303</v>
      </c>
    </row>
    <row r="634" spans="2:4" x14ac:dyDescent="0.25">
      <c r="B634" s="2435">
        <v>11005</v>
      </c>
      <c r="C634" s="2437" t="s">
        <v>937</v>
      </c>
      <c r="D634" s="2436" t="s">
        <v>315</v>
      </c>
    </row>
    <row r="635" spans="2:4" x14ac:dyDescent="0.25">
      <c r="B635" s="2435">
        <v>7090</v>
      </c>
      <c r="C635" s="2437" t="s">
        <v>938</v>
      </c>
      <c r="D635" s="2436" t="s">
        <v>315</v>
      </c>
    </row>
    <row r="636" spans="2:4" x14ac:dyDescent="0.25">
      <c r="B636" s="2435">
        <v>52075</v>
      </c>
      <c r="C636" s="2437" t="s">
        <v>939</v>
      </c>
      <c r="D636" s="2436" t="s">
        <v>369</v>
      </c>
    </row>
    <row r="637" spans="2:4" x14ac:dyDescent="0.25">
      <c r="B637" s="2435">
        <v>71045</v>
      </c>
      <c r="C637" s="2437" t="s">
        <v>940</v>
      </c>
      <c r="D637" s="2436" t="s">
        <v>305</v>
      </c>
    </row>
    <row r="638" spans="2:4" x14ac:dyDescent="0.25">
      <c r="B638" s="2435">
        <v>75005</v>
      </c>
      <c r="C638" s="2437" t="s">
        <v>941</v>
      </c>
      <c r="D638" s="2436" t="s">
        <v>320</v>
      </c>
    </row>
    <row r="639" spans="2:4" x14ac:dyDescent="0.25">
      <c r="B639" s="2435">
        <v>62065</v>
      </c>
      <c r="C639" s="2437" t="s">
        <v>942</v>
      </c>
      <c r="D639" s="2436" t="s">
        <v>369</v>
      </c>
    </row>
    <row r="640" spans="2:4" x14ac:dyDescent="0.25">
      <c r="B640" s="2435">
        <v>29057</v>
      </c>
      <c r="C640" s="2437" t="s">
        <v>943</v>
      </c>
      <c r="D640" s="2436" t="s">
        <v>307</v>
      </c>
    </row>
    <row r="641" spans="2:4" x14ac:dyDescent="0.25">
      <c r="B641" s="2435">
        <v>67035</v>
      </c>
      <c r="C641" s="2437" t="s">
        <v>944</v>
      </c>
      <c r="D641" s="2436" t="s">
        <v>305</v>
      </c>
    </row>
    <row r="642" spans="2:4" x14ac:dyDescent="0.25">
      <c r="B642" s="2435">
        <v>52062</v>
      </c>
      <c r="C642" s="2437" t="s">
        <v>945</v>
      </c>
      <c r="D642" s="2436" t="s">
        <v>369</v>
      </c>
    </row>
    <row r="643" spans="2:4" x14ac:dyDescent="0.25">
      <c r="B643" s="2435">
        <v>28040</v>
      </c>
      <c r="C643" s="2437" t="s">
        <v>946</v>
      </c>
      <c r="D643" s="2436" t="s">
        <v>307</v>
      </c>
    </row>
    <row r="644" spans="2:4" x14ac:dyDescent="0.25">
      <c r="B644" s="2435">
        <v>12005</v>
      </c>
      <c r="C644" s="2437" t="s">
        <v>946</v>
      </c>
      <c r="D644" s="2436" t="s">
        <v>315</v>
      </c>
    </row>
    <row r="645" spans="2:4" x14ac:dyDescent="0.25">
      <c r="B645" s="2435">
        <v>68035</v>
      </c>
      <c r="C645" s="2437" t="s">
        <v>947</v>
      </c>
      <c r="D645" s="2436" t="s">
        <v>305</v>
      </c>
    </row>
    <row r="646" spans="2:4" x14ac:dyDescent="0.25">
      <c r="B646" s="2435">
        <v>17045</v>
      </c>
      <c r="C646" s="2437" t="s">
        <v>948</v>
      </c>
      <c r="D646" s="2436" t="s">
        <v>307</v>
      </c>
    </row>
    <row r="647" spans="2:4" x14ac:dyDescent="0.25">
      <c r="B647" s="2435">
        <v>49070</v>
      </c>
      <c r="C647" s="2437" t="s">
        <v>949</v>
      </c>
      <c r="D647" s="2436" t="s">
        <v>329</v>
      </c>
    </row>
    <row r="648" spans="2:4" x14ac:dyDescent="0.25">
      <c r="B648" s="2435">
        <v>54017</v>
      </c>
      <c r="C648" s="2437" t="s">
        <v>950</v>
      </c>
      <c r="D648" s="2436" t="s">
        <v>305</v>
      </c>
    </row>
    <row r="649" spans="2:4" x14ac:dyDescent="0.25">
      <c r="B649" s="2435">
        <v>7105</v>
      </c>
      <c r="C649" s="2437" t="s">
        <v>950</v>
      </c>
      <c r="D649" s="2436" t="s">
        <v>315</v>
      </c>
    </row>
    <row r="650" spans="2:4" x14ac:dyDescent="0.25">
      <c r="B650" s="2435">
        <v>17040</v>
      </c>
      <c r="C650" s="2437" t="s">
        <v>951</v>
      </c>
      <c r="D650" s="2436" t="s">
        <v>307</v>
      </c>
    </row>
    <row r="651" spans="2:4" x14ac:dyDescent="0.25">
      <c r="B651" s="2435">
        <v>62075</v>
      </c>
      <c r="C651" s="2437" t="s">
        <v>952</v>
      </c>
      <c r="D651" s="2436" t="s">
        <v>369</v>
      </c>
    </row>
    <row r="652" spans="2:4" x14ac:dyDescent="0.25">
      <c r="B652" s="2435">
        <v>19030</v>
      </c>
      <c r="C652" s="2437" t="s">
        <v>953</v>
      </c>
      <c r="D652" s="2436" t="s">
        <v>307</v>
      </c>
    </row>
    <row r="653" spans="2:4" x14ac:dyDescent="0.25">
      <c r="B653" s="2435">
        <v>53005</v>
      </c>
      <c r="C653" s="2437" t="s">
        <v>954</v>
      </c>
      <c r="D653" s="2436" t="s">
        <v>305</v>
      </c>
    </row>
    <row r="654" spans="2:4" x14ac:dyDescent="0.25">
      <c r="B654" s="2435">
        <v>94245</v>
      </c>
      <c r="C654" s="2437" t="s">
        <v>955</v>
      </c>
      <c r="D654" s="2436" t="s">
        <v>313</v>
      </c>
    </row>
    <row r="655" spans="2:4" x14ac:dyDescent="0.25">
      <c r="B655" s="2435">
        <v>14055</v>
      </c>
      <c r="C655" s="2437" t="s">
        <v>956</v>
      </c>
      <c r="D655" s="2436" t="s">
        <v>315</v>
      </c>
    </row>
    <row r="656" spans="2:4" x14ac:dyDescent="0.25">
      <c r="B656" s="2435">
        <v>42025</v>
      </c>
      <c r="C656" s="2437" t="s">
        <v>957</v>
      </c>
      <c r="D656" s="2436" t="s">
        <v>303</v>
      </c>
    </row>
    <row r="657" spans="2:4" x14ac:dyDescent="0.25">
      <c r="B657" s="2435">
        <v>57068</v>
      </c>
      <c r="C657" s="2437" t="s">
        <v>958</v>
      </c>
      <c r="D657" s="2436" t="s">
        <v>305</v>
      </c>
    </row>
    <row r="658" spans="2:4" x14ac:dyDescent="0.25">
      <c r="B658" s="2435">
        <v>52090</v>
      </c>
      <c r="C658" s="2437" t="s">
        <v>959</v>
      </c>
      <c r="D658" s="2436" t="s">
        <v>369</v>
      </c>
    </row>
    <row r="659" spans="2:4" x14ac:dyDescent="0.25">
      <c r="B659" s="2435">
        <v>54060</v>
      </c>
      <c r="C659" s="2437" t="s">
        <v>960</v>
      </c>
      <c r="D659" s="2436" t="s">
        <v>305</v>
      </c>
    </row>
    <row r="660" spans="2:4" x14ac:dyDescent="0.25">
      <c r="B660" s="2435">
        <v>88065</v>
      </c>
      <c r="C660" s="2437" t="s">
        <v>961</v>
      </c>
      <c r="D660" s="2436" t="s">
        <v>322</v>
      </c>
    </row>
    <row r="661" spans="2:4" x14ac:dyDescent="0.25">
      <c r="B661" s="2435">
        <v>9030</v>
      </c>
      <c r="C661" s="2437" t="s">
        <v>962</v>
      </c>
      <c r="D661" s="2436" t="s">
        <v>315</v>
      </c>
    </row>
    <row r="662" spans="2:4" x14ac:dyDescent="0.25">
      <c r="B662" s="2435">
        <v>62060</v>
      </c>
      <c r="C662" s="2437" t="s">
        <v>962</v>
      </c>
      <c r="D662" s="2436" t="s">
        <v>369</v>
      </c>
    </row>
    <row r="663" spans="2:4" x14ac:dyDescent="0.25">
      <c r="B663" s="2435">
        <v>77022</v>
      </c>
      <c r="C663" s="2437" t="s">
        <v>963</v>
      </c>
      <c r="D663" s="2436" t="s">
        <v>320</v>
      </c>
    </row>
    <row r="664" spans="2:4" x14ac:dyDescent="0.25">
      <c r="B664" s="2435">
        <v>33017</v>
      </c>
      <c r="C664" s="2437" t="s">
        <v>964</v>
      </c>
      <c r="D664" s="2436" t="s">
        <v>307</v>
      </c>
    </row>
    <row r="665" spans="2:4" x14ac:dyDescent="0.25">
      <c r="B665" s="2435">
        <v>78032</v>
      </c>
      <c r="C665" s="2437" t="s">
        <v>965</v>
      </c>
      <c r="D665" s="2436" t="s">
        <v>320</v>
      </c>
    </row>
    <row r="666" spans="2:4" x14ac:dyDescent="0.25">
      <c r="B666" s="2435">
        <v>9035</v>
      </c>
      <c r="C666" s="2437" t="s">
        <v>966</v>
      </c>
      <c r="D666" s="2436" t="s">
        <v>315</v>
      </c>
    </row>
    <row r="667" spans="2:4" x14ac:dyDescent="0.25">
      <c r="B667" s="2435">
        <v>55030</v>
      </c>
      <c r="C667" s="2437" t="s">
        <v>967</v>
      </c>
      <c r="D667" s="2436" t="s">
        <v>305</v>
      </c>
    </row>
    <row r="668" spans="2:4" x14ac:dyDescent="0.25">
      <c r="B668" s="2435">
        <v>51055</v>
      </c>
      <c r="C668" s="2437" t="s">
        <v>968</v>
      </c>
      <c r="D668" s="2436" t="s">
        <v>352</v>
      </c>
    </row>
    <row r="669" spans="2:4" x14ac:dyDescent="0.25">
      <c r="B669" s="2435">
        <v>21030</v>
      </c>
      <c r="C669" s="2437" t="s">
        <v>969</v>
      </c>
      <c r="D669" s="2436" t="s">
        <v>345</v>
      </c>
    </row>
    <row r="670" spans="2:4" x14ac:dyDescent="0.25">
      <c r="B670" s="2435">
        <v>66117</v>
      </c>
      <c r="C670" s="2437" t="s">
        <v>970</v>
      </c>
      <c r="D670" s="2436" t="s">
        <v>342</v>
      </c>
    </row>
    <row r="671" spans="2:4" x14ac:dyDescent="0.25">
      <c r="B671" s="2435">
        <v>37205</v>
      </c>
      <c r="C671" s="2437" t="s">
        <v>971</v>
      </c>
      <c r="D671" s="2436" t="s">
        <v>352</v>
      </c>
    </row>
    <row r="672" spans="2:4" x14ac:dyDescent="0.25">
      <c r="B672" s="2435">
        <v>14090</v>
      </c>
      <c r="C672" s="2437" t="s">
        <v>972</v>
      </c>
      <c r="D672" s="2436" t="s">
        <v>315</v>
      </c>
    </row>
    <row r="673" spans="2:4" x14ac:dyDescent="0.25">
      <c r="B673" s="2435">
        <v>42050</v>
      </c>
      <c r="C673" s="2437" t="s">
        <v>973</v>
      </c>
      <c r="D673" s="2436" t="s">
        <v>303</v>
      </c>
    </row>
    <row r="674" spans="2:4" x14ac:dyDescent="0.25">
      <c r="B674" s="2435">
        <v>56060</v>
      </c>
      <c r="C674" s="2437" t="s">
        <v>974</v>
      </c>
      <c r="D674" s="2436" t="s">
        <v>305</v>
      </c>
    </row>
    <row r="675" spans="2:4" x14ac:dyDescent="0.25">
      <c r="B675" s="2435">
        <v>77035</v>
      </c>
      <c r="C675" s="2437" t="s">
        <v>975</v>
      </c>
      <c r="D675" s="2436" t="s">
        <v>320</v>
      </c>
    </row>
    <row r="676" spans="2:4" x14ac:dyDescent="0.25">
      <c r="B676" s="2435">
        <v>4037</v>
      </c>
      <c r="C676" s="2437" t="s">
        <v>976</v>
      </c>
      <c r="D676" s="2436" t="s">
        <v>383</v>
      </c>
    </row>
    <row r="677" spans="2:4" x14ac:dyDescent="0.25">
      <c r="B677" s="2435">
        <v>53065</v>
      </c>
      <c r="C677" s="2437" t="s">
        <v>977</v>
      </c>
      <c r="D677" s="2436" t="s">
        <v>305</v>
      </c>
    </row>
    <row r="678" spans="2:4" x14ac:dyDescent="0.25">
      <c r="B678" s="2435">
        <v>73035</v>
      </c>
      <c r="C678" s="2437" t="s">
        <v>978</v>
      </c>
      <c r="D678" s="2436" t="s">
        <v>320</v>
      </c>
    </row>
    <row r="679" spans="2:4" x14ac:dyDescent="0.25">
      <c r="B679" s="2435">
        <v>79115</v>
      </c>
      <c r="C679" s="2437" t="s">
        <v>979</v>
      </c>
      <c r="D679" s="2436" t="s">
        <v>320</v>
      </c>
    </row>
    <row r="680" spans="2:4" x14ac:dyDescent="0.25">
      <c r="B680" s="2435">
        <v>18025</v>
      </c>
      <c r="C680" s="2437" t="s">
        <v>980</v>
      </c>
      <c r="D680" s="2436" t="s">
        <v>307</v>
      </c>
    </row>
    <row r="681" spans="2:4" x14ac:dyDescent="0.25">
      <c r="B681" s="2435">
        <v>28015</v>
      </c>
      <c r="C681" s="2437" t="s">
        <v>981</v>
      </c>
      <c r="D681" s="2436" t="s">
        <v>307</v>
      </c>
    </row>
    <row r="682" spans="2:4" x14ac:dyDescent="0.25">
      <c r="B682" s="2435">
        <v>69065</v>
      </c>
      <c r="C682" s="2437" t="s">
        <v>982</v>
      </c>
      <c r="D682" s="2436" t="s">
        <v>305</v>
      </c>
    </row>
    <row r="683" spans="2:4" x14ac:dyDescent="0.25">
      <c r="B683" s="2435">
        <v>62020</v>
      </c>
      <c r="C683" s="2437" t="s">
        <v>983</v>
      </c>
      <c r="D683" s="2436" t="s">
        <v>369</v>
      </c>
    </row>
    <row r="684" spans="2:4" x14ac:dyDescent="0.25">
      <c r="B684" s="2435">
        <v>56105</v>
      </c>
      <c r="C684" s="2437" t="s">
        <v>984</v>
      </c>
      <c r="D684" s="2436" t="s">
        <v>305</v>
      </c>
    </row>
    <row r="685" spans="2:4" x14ac:dyDescent="0.25">
      <c r="B685" s="2435">
        <v>22045</v>
      </c>
      <c r="C685" s="2437" t="s">
        <v>985</v>
      </c>
      <c r="D685" s="2436" t="s">
        <v>345</v>
      </c>
    </row>
    <row r="686" spans="2:4" x14ac:dyDescent="0.25">
      <c r="B686" s="2435">
        <v>49085</v>
      </c>
      <c r="C686" s="2437" t="s">
        <v>986</v>
      </c>
      <c r="D686" s="2436" t="s">
        <v>329</v>
      </c>
    </row>
    <row r="687" spans="2:4" x14ac:dyDescent="0.25">
      <c r="B687" s="2435">
        <v>67030</v>
      </c>
      <c r="C687" s="2437" t="s">
        <v>987</v>
      </c>
      <c r="D687" s="2436" t="s">
        <v>305</v>
      </c>
    </row>
    <row r="688" spans="2:4" x14ac:dyDescent="0.25">
      <c r="B688" s="2435">
        <v>45060</v>
      </c>
      <c r="C688" s="2437" t="s">
        <v>988</v>
      </c>
      <c r="D688" s="2436" t="s">
        <v>303</v>
      </c>
    </row>
    <row r="689" spans="2:4" x14ac:dyDescent="0.25">
      <c r="B689" s="2435">
        <v>38060</v>
      </c>
      <c r="C689" s="2437" t="s">
        <v>989</v>
      </c>
      <c r="D689" s="2436" t="s">
        <v>329</v>
      </c>
    </row>
    <row r="690" spans="2:4" x14ac:dyDescent="0.25">
      <c r="B690" s="2435">
        <v>47055</v>
      </c>
      <c r="C690" s="2437" t="s">
        <v>990</v>
      </c>
      <c r="D690" s="2436" t="s">
        <v>303</v>
      </c>
    </row>
    <row r="691" spans="2:4" x14ac:dyDescent="0.25">
      <c r="B691" s="2435">
        <v>30050</v>
      </c>
      <c r="C691" s="2437" t="s">
        <v>991</v>
      </c>
      <c r="D691" s="2436" t="s">
        <v>303</v>
      </c>
    </row>
    <row r="692" spans="2:4" x14ac:dyDescent="0.25">
      <c r="B692" s="2435">
        <v>48020</v>
      </c>
      <c r="C692" s="2437" t="s">
        <v>992</v>
      </c>
      <c r="D692" s="2436" t="s">
        <v>305</v>
      </c>
    </row>
    <row r="693" spans="2:4" x14ac:dyDescent="0.25">
      <c r="B693" s="2435">
        <v>34105</v>
      </c>
      <c r="C693" s="2437" t="s">
        <v>993</v>
      </c>
      <c r="D693" s="2436" t="s">
        <v>345</v>
      </c>
    </row>
    <row r="694" spans="2:4" x14ac:dyDescent="0.25">
      <c r="B694" s="2435">
        <v>19055</v>
      </c>
      <c r="C694" s="2437" t="s">
        <v>994</v>
      </c>
      <c r="D694" s="2436" t="s">
        <v>307</v>
      </c>
    </row>
    <row r="695" spans="2:4" x14ac:dyDescent="0.25">
      <c r="B695" s="2435">
        <v>68020</v>
      </c>
      <c r="C695" s="2437" t="s">
        <v>995</v>
      </c>
      <c r="D695" s="2436" t="s">
        <v>305</v>
      </c>
    </row>
    <row r="696" spans="2:4" x14ac:dyDescent="0.25">
      <c r="B696" s="2435">
        <v>31060</v>
      </c>
      <c r="C696" s="2437" t="s">
        <v>996</v>
      </c>
      <c r="D696" s="2436" t="s">
        <v>307</v>
      </c>
    </row>
    <row r="697" spans="2:4" x14ac:dyDescent="0.25">
      <c r="B697" s="2435">
        <v>39117</v>
      </c>
      <c r="C697" s="2437" t="s">
        <v>997</v>
      </c>
      <c r="D697" s="2436" t="s">
        <v>329</v>
      </c>
    </row>
    <row r="698" spans="2:4" x14ac:dyDescent="0.25">
      <c r="B698" s="2435">
        <v>33102</v>
      </c>
      <c r="C698" s="2437" t="s">
        <v>998</v>
      </c>
      <c r="D698" s="2436" t="s">
        <v>307</v>
      </c>
    </row>
    <row r="699" spans="2:4" x14ac:dyDescent="0.25">
      <c r="B699" s="2435">
        <v>49100</v>
      </c>
      <c r="C699" s="2437" t="s">
        <v>999</v>
      </c>
      <c r="D699" s="2436" t="s">
        <v>329</v>
      </c>
    </row>
    <row r="700" spans="2:4" x14ac:dyDescent="0.25">
      <c r="B700" s="2435">
        <v>92050</v>
      </c>
      <c r="C700" s="2437" t="s">
        <v>1000</v>
      </c>
      <c r="D700" s="2436" t="s">
        <v>313</v>
      </c>
    </row>
    <row r="701" spans="2:4" x14ac:dyDescent="0.25">
      <c r="B701" s="2435">
        <v>68045</v>
      </c>
      <c r="C701" s="2437" t="s">
        <v>1001</v>
      </c>
      <c r="D701" s="2436" t="s">
        <v>305</v>
      </c>
    </row>
    <row r="702" spans="2:4" x14ac:dyDescent="0.25">
      <c r="B702" s="2435">
        <v>85015</v>
      </c>
      <c r="C702" s="2437" t="s">
        <v>1002</v>
      </c>
      <c r="D702" s="2436" t="s">
        <v>322</v>
      </c>
    </row>
    <row r="703" spans="2:4" x14ac:dyDescent="0.25">
      <c r="B703" s="2435">
        <v>33080</v>
      </c>
      <c r="C703" s="2437" t="s">
        <v>1003</v>
      </c>
      <c r="D703" s="2436" t="s">
        <v>307</v>
      </c>
    </row>
    <row r="704" spans="2:4" x14ac:dyDescent="0.25">
      <c r="B704" s="2435">
        <v>51050</v>
      </c>
      <c r="C704" s="2437" t="s">
        <v>1004</v>
      </c>
      <c r="D704" s="2436" t="s">
        <v>352</v>
      </c>
    </row>
    <row r="705" spans="2:4" x14ac:dyDescent="0.25">
      <c r="B705" s="2435">
        <v>44055</v>
      </c>
      <c r="C705" s="2437" t="s">
        <v>1005</v>
      </c>
      <c r="D705" s="2436" t="s">
        <v>303</v>
      </c>
    </row>
    <row r="706" spans="2:4" x14ac:dyDescent="0.25">
      <c r="B706" s="2435">
        <v>52030</v>
      </c>
      <c r="C706" s="2437" t="s">
        <v>1006</v>
      </c>
      <c r="D706" s="2436" t="s">
        <v>369</v>
      </c>
    </row>
    <row r="707" spans="2:4" x14ac:dyDescent="0.25">
      <c r="B707" s="2435">
        <v>39090</v>
      </c>
      <c r="C707" s="2437" t="s">
        <v>1007</v>
      </c>
      <c r="D707" s="2436" t="s">
        <v>329</v>
      </c>
    </row>
    <row r="708" spans="2:4" x14ac:dyDescent="0.25">
      <c r="B708" s="2435">
        <v>62070</v>
      </c>
      <c r="C708" s="2437" t="s">
        <v>1008</v>
      </c>
      <c r="D708" s="2436" t="s">
        <v>369</v>
      </c>
    </row>
    <row r="709" spans="2:4" x14ac:dyDescent="0.25">
      <c r="B709" s="2435">
        <v>50005</v>
      </c>
      <c r="C709" s="2437" t="s">
        <v>1009</v>
      </c>
      <c r="D709" s="2436" t="s">
        <v>329</v>
      </c>
    </row>
    <row r="710" spans="2:4" x14ac:dyDescent="0.25">
      <c r="B710" s="2435">
        <v>18035</v>
      </c>
      <c r="C710" s="2437" t="s">
        <v>1010</v>
      </c>
      <c r="D710" s="2436" t="s">
        <v>307</v>
      </c>
    </row>
    <row r="711" spans="2:4" x14ac:dyDescent="0.25">
      <c r="B711" s="2435">
        <v>20010</v>
      </c>
      <c r="C711" s="2437" t="s">
        <v>1011</v>
      </c>
      <c r="D711" s="2436" t="s">
        <v>345</v>
      </c>
    </row>
    <row r="712" spans="2:4" x14ac:dyDescent="0.25">
      <c r="B712" s="2435">
        <v>8023</v>
      </c>
      <c r="C712" s="2437" t="s">
        <v>1012</v>
      </c>
      <c r="D712" s="2436" t="s">
        <v>315</v>
      </c>
    </row>
    <row r="713" spans="2:4" x14ac:dyDescent="0.25">
      <c r="B713" s="2435">
        <v>17025</v>
      </c>
      <c r="C713" s="2437" t="s">
        <v>1012</v>
      </c>
      <c r="D713" s="2436" t="s">
        <v>307</v>
      </c>
    </row>
    <row r="714" spans="2:4" x14ac:dyDescent="0.25">
      <c r="B714" s="2435">
        <v>9085</v>
      </c>
      <c r="C714" s="2437" t="s">
        <v>1013</v>
      </c>
      <c r="D714" s="2436" t="s">
        <v>315</v>
      </c>
    </row>
    <row r="715" spans="2:4" x14ac:dyDescent="0.25">
      <c r="B715" s="2435">
        <v>7010</v>
      </c>
      <c r="C715" s="2437" t="s">
        <v>1014</v>
      </c>
      <c r="D715" s="2436" t="s">
        <v>315</v>
      </c>
    </row>
    <row r="716" spans="2:4" x14ac:dyDescent="0.25">
      <c r="B716" s="2435">
        <v>11030</v>
      </c>
      <c r="C716" s="2437" t="s">
        <v>1015</v>
      </c>
      <c r="D716" s="2436" t="s">
        <v>315</v>
      </c>
    </row>
    <row r="717" spans="2:4" x14ac:dyDescent="0.25">
      <c r="B717" s="2435">
        <v>38035</v>
      </c>
      <c r="C717" s="2437" t="s">
        <v>1015</v>
      </c>
      <c r="D717" s="2436" t="s">
        <v>329</v>
      </c>
    </row>
    <row r="718" spans="2:4" x14ac:dyDescent="0.25">
      <c r="B718" s="2435">
        <v>37215</v>
      </c>
      <c r="C718" s="2437" t="s">
        <v>1016</v>
      </c>
      <c r="D718" s="2436" t="s">
        <v>352</v>
      </c>
    </row>
    <row r="719" spans="2:4" x14ac:dyDescent="0.25">
      <c r="B719" s="2435">
        <v>52040</v>
      </c>
      <c r="C719" s="2437" t="s">
        <v>1017</v>
      </c>
      <c r="D719" s="2436" t="s">
        <v>369</v>
      </c>
    </row>
    <row r="720" spans="2:4" x14ac:dyDescent="0.25">
      <c r="B720" s="2435">
        <v>87030</v>
      </c>
      <c r="C720" s="2437" t="s">
        <v>1018</v>
      </c>
      <c r="D720" s="2436" t="s">
        <v>322</v>
      </c>
    </row>
    <row r="721" spans="2:4" x14ac:dyDescent="0.25">
      <c r="B721" s="2435">
        <v>88085</v>
      </c>
      <c r="C721" s="2437" t="s">
        <v>1019</v>
      </c>
      <c r="D721" s="2436" t="s">
        <v>322</v>
      </c>
    </row>
    <row r="722" spans="2:4" x14ac:dyDescent="0.25">
      <c r="B722" s="2435">
        <v>91030</v>
      </c>
      <c r="C722" s="2437" t="s">
        <v>1020</v>
      </c>
      <c r="D722" s="2436" t="s">
        <v>313</v>
      </c>
    </row>
    <row r="723" spans="2:4" x14ac:dyDescent="0.25">
      <c r="B723" s="2435">
        <v>54095</v>
      </c>
      <c r="C723" s="2437" t="s">
        <v>1021</v>
      </c>
      <c r="D723" s="2436" t="s">
        <v>305</v>
      </c>
    </row>
    <row r="724" spans="2:4" x14ac:dyDescent="0.25">
      <c r="B724" s="2435">
        <v>39035</v>
      </c>
      <c r="C724" s="2437" t="s">
        <v>1022</v>
      </c>
      <c r="D724" s="2436" t="s">
        <v>329</v>
      </c>
    </row>
    <row r="725" spans="2:4" x14ac:dyDescent="0.25">
      <c r="B725" s="2435">
        <v>14025</v>
      </c>
      <c r="C725" s="2437" t="s">
        <v>1023</v>
      </c>
      <c r="D725" s="2436" t="s">
        <v>315</v>
      </c>
    </row>
    <row r="726" spans="2:4" x14ac:dyDescent="0.25">
      <c r="B726" s="2435">
        <v>87070</v>
      </c>
      <c r="C726" s="2437" t="s">
        <v>1024</v>
      </c>
      <c r="D726" s="2436" t="s">
        <v>322</v>
      </c>
    </row>
    <row r="727" spans="2:4" x14ac:dyDescent="0.25">
      <c r="B727" s="2435">
        <v>26040</v>
      </c>
      <c r="C727" s="2437" t="s">
        <v>1025</v>
      </c>
      <c r="D727" s="2436" t="s">
        <v>307</v>
      </c>
    </row>
    <row r="728" spans="2:4" x14ac:dyDescent="0.25">
      <c r="B728" s="2435">
        <v>7040</v>
      </c>
      <c r="C728" s="2437" t="s">
        <v>1026</v>
      </c>
      <c r="D728" s="2436" t="s">
        <v>315</v>
      </c>
    </row>
    <row r="729" spans="2:4" x14ac:dyDescent="0.25">
      <c r="B729" s="2435">
        <v>9020</v>
      </c>
      <c r="C729" s="2437" t="s">
        <v>1027</v>
      </c>
      <c r="D729" s="2436" t="s">
        <v>315</v>
      </c>
    </row>
    <row r="730" spans="2:4" x14ac:dyDescent="0.25">
      <c r="B730" s="2435">
        <v>92015</v>
      </c>
      <c r="C730" s="2437" t="s">
        <v>1027</v>
      </c>
      <c r="D730" s="2436" t="s">
        <v>313</v>
      </c>
    </row>
    <row r="731" spans="2:4" x14ac:dyDescent="0.25">
      <c r="B731" s="2435">
        <v>59010</v>
      </c>
      <c r="C731" s="2437" t="s">
        <v>1028</v>
      </c>
      <c r="D731" s="2436" t="s">
        <v>305</v>
      </c>
    </row>
    <row r="732" spans="2:4" x14ac:dyDescent="0.25">
      <c r="B732" s="2435">
        <v>63060</v>
      </c>
      <c r="C732" s="2437" t="s">
        <v>1029</v>
      </c>
      <c r="D732" s="2436" t="s">
        <v>369</v>
      </c>
    </row>
    <row r="733" spans="2:4" x14ac:dyDescent="0.25">
      <c r="B733" s="2435">
        <v>28045</v>
      </c>
      <c r="C733" s="2437" t="s">
        <v>1030</v>
      </c>
      <c r="D733" s="2436" t="s">
        <v>307</v>
      </c>
    </row>
    <row r="734" spans="2:4" x14ac:dyDescent="0.25">
      <c r="B734" s="2435">
        <v>71115</v>
      </c>
      <c r="C734" s="2437" t="s">
        <v>1031</v>
      </c>
      <c r="D734" s="2436" t="s">
        <v>305</v>
      </c>
    </row>
    <row r="735" spans="2:4" x14ac:dyDescent="0.25">
      <c r="B735" s="2435">
        <v>51075</v>
      </c>
      <c r="C735" s="2437" t="s">
        <v>1032</v>
      </c>
      <c r="D735" s="2436" t="s">
        <v>352</v>
      </c>
    </row>
    <row r="736" spans="2:4" x14ac:dyDescent="0.25">
      <c r="B736" s="2435">
        <v>11035</v>
      </c>
      <c r="C736" s="2437" t="s">
        <v>1033</v>
      </c>
      <c r="D736" s="2436" t="s">
        <v>315</v>
      </c>
    </row>
    <row r="737" spans="2:4" x14ac:dyDescent="0.25">
      <c r="B737" s="2435">
        <v>17060</v>
      </c>
      <c r="C737" s="2437" t="s">
        <v>1034</v>
      </c>
      <c r="D737" s="2436" t="s">
        <v>307</v>
      </c>
    </row>
    <row r="738" spans="2:4" x14ac:dyDescent="0.25">
      <c r="B738" s="2435">
        <v>50095</v>
      </c>
      <c r="C738" s="2437" t="s">
        <v>1035</v>
      </c>
      <c r="D738" s="2436" t="s">
        <v>329</v>
      </c>
    </row>
    <row r="739" spans="2:4" x14ac:dyDescent="0.25">
      <c r="B739" s="2435">
        <v>9092</v>
      </c>
      <c r="C739" s="2437" t="s">
        <v>1036</v>
      </c>
      <c r="D739" s="2436" t="s">
        <v>315</v>
      </c>
    </row>
    <row r="740" spans="2:4" x14ac:dyDescent="0.25">
      <c r="B740" s="2435">
        <v>18020</v>
      </c>
      <c r="C740" s="2437" t="s">
        <v>1037</v>
      </c>
      <c r="D740" s="2436" t="s">
        <v>307</v>
      </c>
    </row>
    <row r="741" spans="2:4" x14ac:dyDescent="0.25">
      <c r="B741" s="2435">
        <v>78020</v>
      </c>
      <c r="C741" s="2437" t="s">
        <v>1038</v>
      </c>
      <c r="D741" s="2436" t="s">
        <v>320</v>
      </c>
    </row>
    <row r="742" spans="2:4" x14ac:dyDescent="0.25">
      <c r="B742" s="2435">
        <v>26022</v>
      </c>
      <c r="C742" s="2437" t="s">
        <v>1039</v>
      </c>
      <c r="D742" s="2436" t="s">
        <v>307</v>
      </c>
    </row>
    <row r="743" spans="2:4" x14ac:dyDescent="0.25">
      <c r="B743" s="2435">
        <v>5050</v>
      </c>
      <c r="C743" s="2437" t="s">
        <v>1039</v>
      </c>
      <c r="D743" s="2436" t="s">
        <v>383</v>
      </c>
    </row>
    <row r="744" spans="2:4" x14ac:dyDescent="0.25">
      <c r="B744" s="2435">
        <v>13085</v>
      </c>
      <c r="C744" s="2437" t="s">
        <v>1040</v>
      </c>
      <c r="D744" s="2436" t="s">
        <v>315</v>
      </c>
    </row>
    <row r="745" spans="2:4" x14ac:dyDescent="0.25">
      <c r="B745" s="2435">
        <v>54025</v>
      </c>
      <c r="C745" s="2437" t="s">
        <v>1041</v>
      </c>
      <c r="D745" s="2436" t="s">
        <v>305</v>
      </c>
    </row>
    <row r="746" spans="2:4" x14ac:dyDescent="0.25">
      <c r="B746" s="2435">
        <v>4005</v>
      </c>
      <c r="C746" s="2437" t="s">
        <v>1042</v>
      </c>
      <c r="D746" s="2436" t="s">
        <v>383</v>
      </c>
    </row>
    <row r="747" spans="2:4" x14ac:dyDescent="0.25">
      <c r="B747" s="2435">
        <v>62030</v>
      </c>
      <c r="C747" s="2437" t="s">
        <v>1043</v>
      </c>
      <c r="D747" s="2436" t="s">
        <v>369</v>
      </c>
    </row>
    <row r="748" spans="2:4" x14ac:dyDescent="0.25">
      <c r="B748" s="2435">
        <v>26035</v>
      </c>
      <c r="C748" s="2437" t="s">
        <v>1044</v>
      </c>
      <c r="D748" s="2436" t="s">
        <v>307</v>
      </c>
    </row>
    <row r="749" spans="2:4" x14ac:dyDescent="0.25">
      <c r="B749" s="2435">
        <v>77012</v>
      </c>
      <c r="C749" s="2437" t="s">
        <v>1045</v>
      </c>
      <c r="D749" s="2436" t="s">
        <v>320</v>
      </c>
    </row>
    <row r="750" spans="2:4" x14ac:dyDescent="0.25">
      <c r="B750" s="2435">
        <v>7005</v>
      </c>
      <c r="C750" s="2437" t="s">
        <v>1046</v>
      </c>
      <c r="D750" s="2436" t="s">
        <v>315</v>
      </c>
    </row>
    <row r="751" spans="2:4" x14ac:dyDescent="0.25">
      <c r="B751" s="2435">
        <v>26030</v>
      </c>
      <c r="C751" s="2437" t="s">
        <v>1047</v>
      </c>
      <c r="D751" s="2436" t="s">
        <v>307</v>
      </c>
    </row>
    <row r="752" spans="2:4" x14ac:dyDescent="0.25">
      <c r="B752" s="2435">
        <v>38015</v>
      </c>
      <c r="C752" s="2437" t="s">
        <v>1048</v>
      </c>
      <c r="D752" s="2436" t="s">
        <v>329</v>
      </c>
    </row>
    <row r="753" spans="2:4" x14ac:dyDescent="0.25">
      <c r="B753" s="2435">
        <v>54030</v>
      </c>
      <c r="C753" s="2437" t="s">
        <v>1049</v>
      </c>
      <c r="D753" s="2436" t="s">
        <v>305</v>
      </c>
    </row>
    <row r="754" spans="2:4" x14ac:dyDescent="0.25">
      <c r="B754" s="2435">
        <v>63005</v>
      </c>
      <c r="C754" s="2437" t="s">
        <v>1050</v>
      </c>
      <c r="D754" s="2436" t="s">
        <v>369</v>
      </c>
    </row>
    <row r="755" spans="2:4" x14ac:dyDescent="0.25">
      <c r="B755" s="2435">
        <v>71110</v>
      </c>
      <c r="C755" s="2437" t="s">
        <v>1051</v>
      </c>
      <c r="D755" s="2436" t="s">
        <v>305</v>
      </c>
    </row>
    <row r="756" spans="2:4" x14ac:dyDescent="0.25">
      <c r="B756" s="2435">
        <v>72015</v>
      </c>
      <c r="C756" s="2437" t="s">
        <v>1052</v>
      </c>
      <c r="D756" s="2436" t="s">
        <v>320</v>
      </c>
    </row>
    <row r="757" spans="2:4" x14ac:dyDescent="0.25">
      <c r="B757" s="2435">
        <v>70012</v>
      </c>
      <c r="C757" s="2437" t="s">
        <v>1053</v>
      </c>
      <c r="D757" s="2436" t="s">
        <v>305</v>
      </c>
    </row>
    <row r="758" spans="2:4" x14ac:dyDescent="0.25">
      <c r="B758" s="2435">
        <v>61050</v>
      </c>
      <c r="C758" s="2437" t="s">
        <v>1054</v>
      </c>
      <c r="D758" s="2436" t="s">
        <v>369</v>
      </c>
    </row>
    <row r="759" spans="2:4" x14ac:dyDescent="0.25">
      <c r="B759" s="2435">
        <v>80125</v>
      </c>
      <c r="C759" s="2437" t="s">
        <v>1055</v>
      </c>
      <c r="D759" s="2436" t="s">
        <v>317</v>
      </c>
    </row>
    <row r="760" spans="2:4" x14ac:dyDescent="0.25">
      <c r="B760" s="2435">
        <v>50057</v>
      </c>
      <c r="C760" s="2437" t="s">
        <v>1056</v>
      </c>
      <c r="D760" s="2436" t="s">
        <v>329</v>
      </c>
    </row>
    <row r="761" spans="2:4" x14ac:dyDescent="0.25">
      <c r="B761" s="2435">
        <v>93075</v>
      </c>
      <c r="C761" s="2437" t="s">
        <v>1056</v>
      </c>
      <c r="D761" s="2436" t="s">
        <v>313</v>
      </c>
    </row>
    <row r="762" spans="2:4" x14ac:dyDescent="0.25">
      <c r="B762" s="2435">
        <v>8040</v>
      </c>
      <c r="C762" s="2437" t="s">
        <v>1057</v>
      </c>
      <c r="D762" s="2436" t="s">
        <v>315</v>
      </c>
    </row>
    <row r="763" spans="2:4" x14ac:dyDescent="0.25">
      <c r="B763" s="2435">
        <v>50050</v>
      </c>
      <c r="C763" s="2437" t="s">
        <v>1058</v>
      </c>
      <c r="D763" s="2436" t="s">
        <v>329</v>
      </c>
    </row>
    <row r="764" spans="2:4" x14ac:dyDescent="0.25">
      <c r="B764" s="2435">
        <v>17030</v>
      </c>
      <c r="C764" s="2437" t="s">
        <v>1058</v>
      </c>
      <c r="D764" s="2436" t="s">
        <v>307</v>
      </c>
    </row>
    <row r="765" spans="2:4" x14ac:dyDescent="0.25">
      <c r="B765" s="2435">
        <v>20030</v>
      </c>
      <c r="C765" s="2437" t="s">
        <v>1059</v>
      </c>
      <c r="D765" s="2436" t="s">
        <v>345</v>
      </c>
    </row>
    <row r="766" spans="2:4" x14ac:dyDescent="0.25">
      <c r="B766" s="2435">
        <v>29112</v>
      </c>
      <c r="C766" s="2437" t="s">
        <v>1060</v>
      </c>
      <c r="D766" s="2436" t="s">
        <v>307</v>
      </c>
    </row>
    <row r="767" spans="2:4" x14ac:dyDescent="0.25">
      <c r="B767" s="2435">
        <v>12030</v>
      </c>
      <c r="C767" s="2437" t="s">
        <v>1061</v>
      </c>
      <c r="D767" s="2436" t="s">
        <v>315</v>
      </c>
    </row>
    <row r="768" spans="2:4" x14ac:dyDescent="0.25">
      <c r="B768" s="2435">
        <v>31050</v>
      </c>
      <c r="C768" s="2437" t="s">
        <v>1062</v>
      </c>
      <c r="D768" s="2436" t="s">
        <v>307</v>
      </c>
    </row>
    <row r="769" spans="2:4" x14ac:dyDescent="0.25">
      <c r="B769" s="2435">
        <v>11015</v>
      </c>
      <c r="C769" s="2437" t="s">
        <v>1063</v>
      </c>
      <c r="D769" s="2436" t="s">
        <v>315</v>
      </c>
    </row>
    <row r="770" spans="2:4" x14ac:dyDescent="0.25">
      <c r="B770" s="2435">
        <v>28030</v>
      </c>
      <c r="C770" s="2437" t="s">
        <v>1064</v>
      </c>
      <c r="D770" s="2436" t="s">
        <v>307</v>
      </c>
    </row>
    <row r="771" spans="2:4" x14ac:dyDescent="0.25">
      <c r="B771" s="2435">
        <v>94230</v>
      </c>
      <c r="C771" s="2437" t="s">
        <v>1065</v>
      </c>
      <c r="D771" s="2436" t="s">
        <v>313</v>
      </c>
    </row>
    <row r="772" spans="2:4" x14ac:dyDescent="0.25">
      <c r="B772" s="2435">
        <v>46105</v>
      </c>
      <c r="C772" s="2437" t="s">
        <v>1066</v>
      </c>
      <c r="D772" s="2436" t="s">
        <v>303</v>
      </c>
    </row>
    <row r="773" spans="2:4" x14ac:dyDescent="0.25">
      <c r="B773" s="2435">
        <v>28065</v>
      </c>
      <c r="C773" s="2437" t="s">
        <v>1066</v>
      </c>
      <c r="D773" s="2436" t="s">
        <v>307</v>
      </c>
    </row>
    <row r="774" spans="2:4" x14ac:dyDescent="0.25">
      <c r="B774" s="2435">
        <v>39105</v>
      </c>
      <c r="C774" s="2437" t="s">
        <v>1067</v>
      </c>
      <c r="D774" s="2436" t="s">
        <v>329</v>
      </c>
    </row>
    <row r="775" spans="2:4" x14ac:dyDescent="0.25">
      <c r="B775" s="2435">
        <v>75028</v>
      </c>
      <c r="C775" s="2437" t="s">
        <v>1068</v>
      </c>
      <c r="D775" s="2436" t="s">
        <v>320</v>
      </c>
    </row>
    <row r="776" spans="2:4" x14ac:dyDescent="0.25">
      <c r="B776" s="2435">
        <v>38040</v>
      </c>
      <c r="C776" s="2437" t="s">
        <v>1069</v>
      </c>
      <c r="D776" s="2436" t="s">
        <v>329</v>
      </c>
    </row>
    <row r="777" spans="2:4" x14ac:dyDescent="0.25">
      <c r="B777" s="2435">
        <v>32023</v>
      </c>
      <c r="C777" s="2437" t="s">
        <v>1070</v>
      </c>
      <c r="D777" s="2436" t="s">
        <v>329</v>
      </c>
    </row>
    <row r="778" spans="2:4" x14ac:dyDescent="0.25">
      <c r="B778" s="2435">
        <v>63030</v>
      </c>
      <c r="C778" s="2437" t="s">
        <v>1071</v>
      </c>
      <c r="D778" s="2436" t="s">
        <v>369</v>
      </c>
    </row>
    <row r="779" spans="2:4" x14ac:dyDescent="0.25">
      <c r="B779" s="2435">
        <v>35050</v>
      </c>
      <c r="C779" s="2437" t="s">
        <v>1072</v>
      </c>
      <c r="D779" s="2436" t="s">
        <v>352</v>
      </c>
    </row>
    <row r="780" spans="2:4" x14ac:dyDescent="0.25">
      <c r="B780" s="2435">
        <v>73010</v>
      </c>
      <c r="C780" s="2437" t="s">
        <v>1073</v>
      </c>
      <c r="D780" s="2436" t="s">
        <v>320</v>
      </c>
    </row>
    <row r="781" spans="2:4" x14ac:dyDescent="0.25">
      <c r="B781" s="2435">
        <v>2010</v>
      </c>
      <c r="C781" s="2437" t="s">
        <v>1074</v>
      </c>
      <c r="D781" s="2436" t="s">
        <v>383</v>
      </c>
    </row>
    <row r="782" spans="2:4" x14ac:dyDescent="0.25">
      <c r="B782" s="2435">
        <v>83055</v>
      </c>
      <c r="C782" s="2437" t="s">
        <v>1075</v>
      </c>
      <c r="D782" s="2436" t="s">
        <v>317</v>
      </c>
    </row>
    <row r="783" spans="2:4" x14ac:dyDescent="0.25">
      <c r="B783" s="2435">
        <v>70030</v>
      </c>
      <c r="C783" s="2437" t="s">
        <v>1076</v>
      </c>
      <c r="D783" s="2436" t="s">
        <v>305</v>
      </c>
    </row>
    <row r="784" spans="2:4" x14ac:dyDescent="0.25">
      <c r="B784" s="2435">
        <v>45100</v>
      </c>
      <c r="C784" s="2437" t="s">
        <v>1077</v>
      </c>
      <c r="D784" s="2436" t="s">
        <v>303</v>
      </c>
    </row>
    <row r="785" spans="2:4" x14ac:dyDescent="0.25">
      <c r="B785" s="2435">
        <v>51090</v>
      </c>
      <c r="C785" s="2437" t="s">
        <v>1078</v>
      </c>
      <c r="D785" s="2436" t="s">
        <v>352</v>
      </c>
    </row>
    <row r="786" spans="2:4" x14ac:dyDescent="0.25">
      <c r="B786" s="2435">
        <v>49105</v>
      </c>
      <c r="C786" s="2437" t="s">
        <v>1079</v>
      </c>
      <c r="D786" s="2436" t="s">
        <v>329</v>
      </c>
    </row>
    <row r="787" spans="2:4" x14ac:dyDescent="0.25">
      <c r="B787" s="2435">
        <v>92065</v>
      </c>
      <c r="C787" s="2437" t="s">
        <v>1080</v>
      </c>
      <c r="D787" s="2436" t="s">
        <v>313</v>
      </c>
    </row>
    <row r="788" spans="2:4" x14ac:dyDescent="0.25">
      <c r="B788" s="2435">
        <v>85085</v>
      </c>
      <c r="C788" s="2437" t="s">
        <v>1081</v>
      </c>
      <c r="D788" s="2436" t="s">
        <v>322</v>
      </c>
    </row>
    <row r="789" spans="2:4" x14ac:dyDescent="0.25">
      <c r="B789" s="2435">
        <v>10075</v>
      </c>
      <c r="C789" s="2437" t="s">
        <v>1082</v>
      </c>
      <c r="D789" s="2436" t="s">
        <v>315</v>
      </c>
    </row>
    <row r="790" spans="2:4" x14ac:dyDescent="0.25">
      <c r="B790" s="2435">
        <v>51040</v>
      </c>
      <c r="C790" s="2437" t="s">
        <v>1083</v>
      </c>
      <c r="D790" s="2436" t="s">
        <v>352</v>
      </c>
    </row>
    <row r="791" spans="2:4" x14ac:dyDescent="0.25">
      <c r="B791" s="2435">
        <v>13030</v>
      </c>
      <c r="C791" s="2437" t="s">
        <v>1084</v>
      </c>
      <c r="D791" s="2436" t="s">
        <v>315</v>
      </c>
    </row>
    <row r="792" spans="2:4" x14ac:dyDescent="0.25">
      <c r="B792" s="2435">
        <v>72005</v>
      </c>
      <c r="C792" s="2437" t="s">
        <v>1085</v>
      </c>
      <c r="D792" s="2436" t="s">
        <v>320</v>
      </c>
    </row>
    <row r="793" spans="2:4" x14ac:dyDescent="0.25">
      <c r="B793" s="2435">
        <v>29025</v>
      </c>
      <c r="C793" s="2437" t="s">
        <v>1086</v>
      </c>
      <c r="D793" s="2436" t="s">
        <v>307</v>
      </c>
    </row>
    <row r="794" spans="2:4" x14ac:dyDescent="0.25">
      <c r="B794" s="2435">
        <v>53025</v>
      </c>
      <c r="C794" s="2437" t="s">
        <v>1087</v>
      </c>
      <c r="D794" s="2436" t="s">
        <v>305</v>
      </c>
    </row>
    <row r="795" spans="2:4" x14ac:dyDescent="0.25">
      <c r="B795" s="2435">
        <v>10070</v>
      </c>
      <c r="C795" s="2437" t="s">
        <v>1088</v>
      </c>
      <c r="D795" s="2436" t="s">
        <v>315</v>
      </c>
    </row>
    <row r="796" spans="2:4" x14ac:dyDescent="0.25">
      <c r="B796" s="2435">
        <v>18015</v>
      </c>
      <c r="C796" s="2437" t="s">
        <v>1089</v>
      </c>
      <c r="D796" s="2436" t="s">
        <v>307</v>
      </c>
    </row>
    <row r="797" spans="2:4" x14ac:dyDescent="0.25">
      <c r="B797" s="2435">
        <v>91042</v>
      </c>
      <c r="C797" s="2437" t="s">
        <v>1090</v>
      </c>
      <c r="D797" s="2436" t="s">
        <v>313</v>
      </c>
    </row>
    <row r="798" spans="2:4" x14ac:dyDescent="0.25">
      <c r="B798" s="2435">
        <v>88060</v>
      </c>
      <c r="C798" s="2437" t="s">
        <v>1091</v>
      </c>
      <c r="D798" s="2436" t="s">
        <v>322</v>
      </c>
    </row>
    <row r="799" spans="2:4" x14ac:dyDescent="0.25">
      <c r="B799" s="2435">
        <v>49005</v>
      </c>
      <c r="C799" s="2437" t="s">
        <v>1092</v>
      </c>
      <c r="D799" s="2436" t="s">
        <v>329</v>
      </c>
    </row>
    <row r="800" spans="2:4" x14ac:dyDescent="0.25">
      <c r="B800" s="2435">
        <v>62007</v>
      </c>
      <c r="C800" s="2437" t="s">
        <v>1093</v>
      </c>
      <c r="D800" s="2436" t="s">
        <v>369</v>
      </c>
    </row>
    <row r="801" spans="2:4" x14ac:dyDescent="0.25">
      <c r="B801" s="2435">
        <v>94225</v>
      </c>
      <c r="C801" s="2437" t="s">
        <v>1094</v>
      </c>
      <c r="D801" s="2436" t="s">
        <v>313</v>
      </c>
    </row>
    <row r="802" spans="2:4" x14ac:dyDescent="0.25">
      <c r="B802" s="2435">
        <v>32013</v>
      </c>
      <c r="C802" s="2437" t="s">
        <v>1095</v>
      </c>
      <c r="D802" s="2436" t="s">
        <v>329</v>
      </c>
    </row>
    <row r="803" spans="2:4" x14ac:dyDescent="0.25">
      <c r="B803" s="2435">
        <v>21010</v>
      </c>
      <c r="C803" s="2437" t="s">
        <v>1096</v>
      </c>
      <c r="D803" s="2436" t="s">
        <v>345</v>
      </c>
    </row>
    <row r="804" spans="2:4" x14ac:dyDescent="0.25">
      <c r="B804" s="2435">
        <v>33052</v>
      </c>
      <c r="C804" s="2437" t="s">
        <v>1097</v>
      </c>
      <c r="D804" s="2436" t="s">
        <v>307</v>
      </c>
    </row>
    <row r="805" spans="2:4" x14ac:dyDescent="0.25">
      <c r="B805" s="2435">
        <v>31030</v>
      </c>
      <c r="C805" s="2437" t="s">
        <v>1098</v>
      </c>
      <c r="D805" s="2436" t="s">
        <v>307</v>
      </c>
    </row>
    <row r="806" spans="2:4" x14ac:dyDescent="0.25">
      <c r="B806" s="2435">
        <v>6055</v>
      </c>
      <c r="C806" s="2437" t="s">
        <v>1099</v>
      </c>
      <c r="D806" s="2436" t="s">
        <v>383</v>
      </c>
    </row>
    <row r="807" spans="2:4" x14ac:dyDescent="0.25">
      <c r="B807" s="2435">
        <v>18060</v>
      </c>
      <c r="C807" s="2437" t="s">
        <v>1100</v>
      </c>
      <c r="D807" s="2436" t="s">
        <v>307</v>
      </c>
    </row>
    <row r="808" spans="2:4" x14ac:dyDescent="0.25">
      <c r="B808" s="2435">
        <v>20005</v>
      </c>
      <c r="C808" s="2437" t="s">
        <v>1101</v>
      </c>
      <c r="D808" s="2436" t="s">
        <v>345</v>
      </c>
    </row>
    <row r="809" spans="2:4" x14ac:dyDescent="0.25">
      <c r="B809" s="2435">
        <v>91015</v>
      </c>
      <c r="C809" s="2437" t="s">
        <v>1102</v>
      </c>
      <c r="D809" s="2436" t="s">
        <v>313</v>
      </c>
    </row>
    <row r="810" spans="2:4" x14ac:dyDescent="0.25">
      <c r="B810" s="2435">
        <v>50128</v>
      </c>
      <c r="C810" s="2437" t="s">
        <v>1103</v>
      </c>
      <c r="D810" s="2436" t="s">
        <v>329</v>
      </c>
    </row>
    <row r="811" spans="2:4" x14ac:dyDescent="0.25">
      <c r="B811" s="2435">
        <v>42020</v>
      </c>
      <c r="C811" s="2437" t="s">
        <v>1104</v>
      </c>
      <c r="D811" s="2436" t="s">
        <v>303</v>
      </c>
    </row>
    <row r="812" spans="2:4" x14ac:dyDescent="0.25">
      <c r="B812" s="2435">
        <v>12025</v>
      </c>
      <c r="C812" s="2437" t="s">
        <v>1105</v>
      </c>
      <c r="D812" s="2436" t="s">
        <v>315</v>
      </c>
    </row>
    <row r="813" spans="2:4" x14ac:dyDescent="0.25">
      <c r="B813" s="2435">
        <v>27065</v>
      </c>
      <c r="C813" s="2437" t="s">
        <v>1106</v>
      </c>
      <c r="D813" s="2436" t="s">
        <v>307</v>
      </c>
    </row>
    <row r="814" spans="2:4" x14ac:dyDescent="0.25">
      <c r="B814" s="2435">
        <v>94235</v>
      </c>
      <c r="C814" s="2437" t="s">
        <v>1107</v>
      </c>
      <c r="D814" s="2436" t="s">
        <v>313</v>
      </c>
    </row>
    <row r="815" spans="2:4" x14ac:dyDescent="0.25">
      <c r="B815" s="2435">
        <v>52080</v>
      </c>
      <c r="C815" s="2437" t="s">
        <v>1108</v>
      </c>
      <c r="D815" s="2436" t="s">
        <v>369</v>
      </c>
    </row>
    <row r="816" spans="2:4" x14ac:dyDescent="0.25">
      <c r="B816" s="2435">
        <v>52085</v>
      </c>
      <c r="C816" s="2437" t="s">
        <v>1109</v>
      </c>
      <c r="D816" s="2436" t="s">
        <v>369</v>
      </c>
    </row>
    <row r="817" spans="2:4" x14ac:dyDescent="0.25">
      <c r="B817" s="2435">
        <v>9025</v>
      </c>
      <c r="C817" s="2437" t="s">
        <v>1110</v>
      </c>
      <c r="D817" s="2436" t="s">
        <v>315</v>
      </c>
    </row>
    <row r="818" spans="2:4" x14ac:dyDescent="0.25">
      <c r="B818" s="2435">
        <v>22025</v>
      </c>
      <c r="C818" s="2437" t="s">
        <v>1111</v>
      </c>
      <c r="D818" s="2436" t="s">
        <v>345</v>
      </c>
    </row>
    <row r="819" spans="2:4" x14ac:dyDescent="0.25">
      <c r="B819" s="2435">
        <v>14075</v>
      </c>
      <c r="C819" s="2437" t="s">
        <v>1112</v>
      </c>
      <c r="D819" s="2436" t="s">
        <v>315</v>
      </c>
    </row>
    <row r="820" spans="2:4" x14ac:dyDescent="0.25">
      <c r="B820" s="2435">
        <v>93035</v>
      </c>
      <c r="C820" s="2437" t="s">
        <v>1113</v>
      </c>
      <c r="D820" s="2436" t="s">
        <v>313</v>
      </c>
    </row>
    <row r="821" spans="2:4" x14ac:dyDescent="0.25">
      <c r="B821" s="2435">
        <v>29013</v>
      </c>
      <c r="C821" s="2437" t="s">
        <v>1114</v>
      </c>
      <c r="D821" s="2436" t="s">
        <v>307</v>
      </c>
    </row>
    <row r="822" spans="2:4" x14ac:dyDescent="0.25">
      <c r="B822" s="2435">
        <v>29073</v>
      </c>
      <c r="C822" s="2437" t="s">
        <v>1115</v>
      </c>
      <c r="D822" s="2436" t="s">
        <v>307</v>
      </c>
    </row>
    <row r="823" spans="2:4" x14ac:dyDescent="0.25">
      <c r="B823" s="2435">
        <v>40032</v>
      </c>
      <c r="C823" s="2437" t="s">
        <v>1116</v>
      </c>
      <c r="D823" s="2436" t="s">
        <v>303</v>
      </c>
    </row>
    <row r="824" spans="2:4" x14ac:dyDescent="0.25">
      <c r="B824" s="2435">
        <v>53085</v>
      </c>
      <c r="C824" s="2437" t="s">
        <v>1117</v>
      </c>
      <c r="D824" s="2436" t="s">
        <v>305</v>
      </c>
    </row>
    <row r="825" spans="2:4" x14ac:dyDescent="0.25">
      <c r="B825" s="2435">
        <v>49048</v>
      </c>
      <c r="C825" s="2437" t="s">
        <v>1118</v>
      </c>
      <c r="D825" s="2436" t="s">
        <v>329</v>
      </c>
    </row>
    <row r="826" spans="2:4" x14ac:dyDescent="0.25">
      <c r="B826" s="2435">
        <v>14045</v>
      </c>
      <c r="C826" s="2437" t="s">
        <v>1119</v>
      </c>
      <c r="D826" s="2436" t="s">
        <v>315</v>
      </c>
    </row>
    <row r="827" spans="2:4" x14ac:dyDescent="0.25">
      <c r="B827" s="2435">
        <v>19075</v>
      </c>
      <c r="C827" s="2437" t="s">
        <v>1120</v>
      </c>
      <c r="D827" s="2436" t="s">
        <v>307</v>
      </c>
    </row>
    <row r="828" spans="2:4" x14ac:dyDescent="0.25">
      <c r="B828" s="2435">
        <v>34060</v>
      </c>
      <c r="C828" s="2437" t="s">
        <v>1121</v>
      </c>
      <c r="D828" s="2436" t="s">
        <v>345</v>
      </c>
    </row>
    <row r="829" spans="2:4" x14ac:dyDescent="0.25">
      <c r="B829" s="2435">
        <v>33035</v>
      </c>
      <c r="C829" s="2437" t="s">
        <v>1122</v>
      </c>
      <c r="D829" s="2436" t="s">
        <v>307</v>
      </c>
    </row>
    <row r="830" spans="2:4" x14ac:dyDescent="0.25">
      <c r="B830" s="2435">
        <v>5015</v>
      </c>
      <c r="C830" s="2437" t="s">
        <v>1123</v>
      </c>
      <c r="D830" s="2436" t="s">
        <v>383</v>
      </c>
    </row>
    <row r="831" spans="2:4" x14ac:dyDescent="0.25">
      <c r="B831" s="2435">
        <v>49113</v>
      </c>
      <c r="C831" s="2437" t="s">
        <v>1124</v>
      </c>
      <c r="D831" s="2436" t="s">
        <v>329</v>
      </c>
    </row>
    <row r="832" spans="2:4" x14ac:dyDescent="0.25">
      <c r="B832" s="2435">
        <v>11020</v>
      </c>
      <c r="C832" s="2437" t="s">
        <v>1125</v>
      </c>
      <c r="D832" s="2436" t="s">
        <v>315</v>
      </c>
    </row>
    <row r="833" spans="2:4" x14ac:dyDescent="0.25">
      <c r="B833" s="2435">
        <v>19068</v>
      </c>
      <c r="C833" s="2437" t="s">
        <v>1126</v>
      </c>
      <c r="D833" s="2436" t="s">
        <v>307</v>
      </c>
    </row>
    <row r="834" spans="2:4" x14ac:dyDescent="0.25">
      <c r="B834" s="2435">
        <v>93070</v>
      </c>
      <c r="C834" s="2437" t="s">
        <v>1127</v>
      </c>
      <c r="D834" s="2436" t="s">
        <v>313</v>
      </c>
    </row>
    <row r="835" spans="2:4" x14ac:dyDescent="0.25">
      <c r="B835" s="2435">
        <v>44015</v>
      </c>
      <c r="C835" s="2437" t="s">
        <v>1128</v>
      </c>
      <c r="D835" s="2436" t="s">
        <v>303</v>
      </c>
    </row>
    <row r="836" spans="2:4" x14ac:dyDescent="0.25">
      <c r="B836" s="2435">
        <v>29020</v>
      </c>
      <c r="C836" s="2437" t="s">
        <v>1129</v>
      </c>
      <c r="D836" s="2436" t="s">
        <v>307</v>
      </c>
    </row>
    <row r="837" spans="2:4" x14ac:dyDescent="0.25">
      <c r="B837" s="2435">
        <v>16050</v>
      </c>
      <c r="C837" s="2437" t="s">
        <v>1130</v>
      </c>
      <c r="D837" s="2436" t="s">
        <v>345</v>
      </c>
    </row>
    <row r="838" spans="2:4" x14ac:dyDescent="0.25">
      <c r="B838" s="2435">
        <v>75045</v>
      </c>
      <c r="C838" s="2437" t="s">
        <v>1131</v>
      </c>
      <c r="D838" s="2436" t="s">
        <v>320</v>
      </c>
    </row>
    <row r="839" spans="2:4" x14ac:dyDescent="0.25">
      <c r="B839" s="2435">
        <v>94240</v>
      </c>
      <c r="C839" s="2437" t="s">
        <v>1132</v>
      </c>
      <c r="D839" s="2436" t="s">
        <v>313</v>
      </c>
    </row>
    <row r="840" spans="2:4" x14ac:dyDescent="0.25">
      <c r="B840" s="2435">
        <v>29038</v>
      </c>
      <c r="C840" s="2437" t="s">
        <v>1133</v>
      </c>
      <c r="D840" s="2436" t="s">
        <v>307</v>
      </c>
    </row>
    <row r="841" spans="2:4" x14ac:dyDescent="0.25">
      <c r="B841" s="2435">
        <v>13090</v>
      </c>
      <c r="C841" s="2437" t="s">
        <v>1134</v>
      </c>
      <c r="D841" s="2436" t="s">
        <v>315</v>
      </c>
    </row>
    <row r="842" spans="2:4" x14ac:dyDescent="0.25">
      <c r="B842" s="2435">
        <v>12010</v>
      </c>
      <c r="C842" s="2437" t="s">
        <v>1135</v>
      </c>
      <c r="D842" s="2436" t="s">
        <v>315</v>
      </c>
    </row>
    <row r="843" spans="2:4" x14ac:dyDescent="0.25">
      <c r="B843" s="2435">
        <v>54100</v>
      </c>
      <c r="C843" s="2437" t="s">
        <v>1136</v>
      </c>
      <c r="D843" s="2436" t="s">
        <v>305</v>
      </c>
    </row>
    <row r="844" spans="2:4" x14ac:dyDescent="0.25">
      <c r="B844" s="2435">
        <v>54048</v>
      </c>
      <c r="C844" s="2437" t="s">
        <v>1137</v>
      </c>
      <c r="D844" s="2436" t="s">
        <v>305</v>
      </c>
    </row>
    <row r="845" spans="2:4" x14ac:dyDescent="0.25">
      <c r="B845" s="2435">
        <v>52045</v>
      </c>
      <c r="C845" s="2437" t="s">
        <v>1138</v>
      </c>
      <c r="D845" s="2436" t="s">
        <v>369</v>
      </c>
    </row>
    <row r="846" spans="2:4" x14ac:dyDescent="0.25">
      <c r="B846" s="2435">
        <v>46095</v>
      </c>
      <c r="C846" s="2437" t="s">
        <v>1139</v>
      </c>
      <c r="D846" s="2436" t="s">
        <v>303</v>
      </c>
    </row>
    <row r="847" spans="2:4" x14ac:dyDescent="0.25">
      <c r="B847" s="2435">
        <v>15005</v>
      </c>
      <c r="C847" s="2437" t="s">
        <v>1140</v>
      </c>
      <c r="D847" s="2436" t="s">
        <v>345</v>
      </c>
    </row>
    <row r="848" spans="2:4" x14ac:dyDescent="0.25">
      <c r="B848" s="2435">
        <v>67040</v>
      </c>
      <c r="C848" s="2437" t="s">
        <v>1141</v>
      </c>
      <c r="D848" s="2436" t="s">
        <v>305</v>
      </c>
    </row>
    <row r="849" spans="2:4" x14ac:dyDescent="0.25">
      <c r="B849" s="2435">
        <v>26063</v>
      </c>
      <c r="C849" s="2437" t="s">
        <v>1141</v>
      </c>
      <c r="D849" s="2436" t="s">
        <v>307</v>
      </c>
    </row>
    <row r="850" spans="2:4" x14ac:dyDescent="0.25">
      <c r="B850" s="2435">
        <v>41012</v>
      </c>
      <c r="C850" s="2437" t="s">
        <v>1142</v>
      </c>
      <c r="D850" s="2436" t="s">
        <v>303</v>
      </c>
    </row>
    <row r="851" spans="2:4" x14ac:dyDescent="0.25">
      <c r="B851" s="2435">
        <v>63013</v>
      </c>
      <c r="C851" s="2437" t="s">
        <v>1143</v>
      </c>
      <c r="D851" s="2436" t="s">
        <v>369</v>
      </c>
    </row>
    <row r="852" spans="2:4" x14ac:dyDescent="0.25">
      <c r="B852" s="2435">
        <v>31140</v>
      </c>
      <c r="C852" s="2437" t="s">
        <v>1144</v>
      </c>
      <c r="D852" s="2436" t="s">
        <v>307</v>
      </c>
    </row>
    <row r="853" spans="2:4" x14ac:dyDescent="0.25">
      <c r="B853" s="2435">
        <v>68040</v>
      </c>
      <c r="C853" s="2437" t="s">
        <v>1145</v>
      </c>
      <c r="D853" s="2436" t="s">
        <v>305</v>
      </c>
    </row>
    <row r="854" spans="2:4" x14ac:dyDescent="0.25">
      <c r="B854" s="2435">
        <v>31025</v>
      </c>
      <c r="C854" s="2437" t="s">
        <v>1146</v>
      </c>
      <c r="D854" s="2436" t="s">
        <v>307</v>
      </c>
    </row>
    <row r="855" spans="2:4" x14ac:dyDescent="0.25">
      <c r="B855" s="2435">
        <v>33065</v>
      </c>
      <c r="C855" s="2437" t="s">
        <v>1147</v>
      </c>
      <c r="D855" s="2436" t="s">
        <v>307</v>
      </c>
    </row>
    <row r="856" spans="2:4" x14ac:dyDescent="0.25">
      <c r="B856" s="2435">
        <v>57033</v>
      </c>
      <c r="C856" s="2437" t="s">
        <v>1148</v>
      </c>
      <c r="D856" s="2436" t="s">
        <v>305</v>
      </c>
    </row>
    <row r="857" spans="2:4" x14ac:dyDescent="0.25">
      <c r="B857" s="2435">
        <v>31100</v>
      </c>
      <c r="C857" s="2437" t="s">
        <v>1149</v>
      </c>
      <c r="D857" s="2436" t="s">
        <v>307</v>
      </c>
    </row>
    <row r="858" spans="2:4" x14ac:dyDescent="0.25">
      <c r="B858" s="2435">
        <v>8010</v>
      </c>
      <c r="C858" s="2437" t="s">
        <v>1150</v>
      </c>
      <c r="D858" s="2436" t="s">
        <v>315</v>
      </c>
    </row>
    <row r="859" spans="2:4" x14ac:dyDescent="0.25">
      <c r="B859" s="2435">
        <v>11010</v>
      </c>
      <c r="C859" s="2437" t="s">
        <v>1151</v>
      </c>
      <c r="D859" s="2436" t="s">
        <v>315</v>
      </c>
    </row>
    <row r="860" spans="2:4" x14ac:dyDescent="0.25">
      <c r="B860" s="2435">
        <v>13010</v>
      </c>
      <c r="C860" s="2437" t="s">
        <v>1152</v>
      </c>
      <c r="D860" s="2436" t="s">
        <v>315</v>
      </c>
    </row>
    <row r="861" spans="2:4" x14ac:dyDescent="0.25">
      <c r="B861" s="2435">
        <v>20015</v>
      </c>
      <c r="C861" s="2437" t="s">
        <v>1153</v>
      </c>
      <c r="D861" s="2436" t="s">
        <v>345</v>
      </c>
    </row>
    <row r="862" spans="2:4" x14ac:dyDescent="0.25">
      <c r="B862" s="2435">
        <v>62015</v>
      </c>
      <c r="C862" s="2437" t="s">
        <v>1154</v>
      </c>
      <c r="D862" s="2436" t="s">
        <v>369</v>
      </c>
    </row>
    <row r="863" spans="2:4" x14ac:dyDescent="0.25">
      <c r="B863" s="2435">
        <v>17070</v>
      </c>
      <c r="C863" s="2437" t="s">
        <v>1155</v>
      </c>
      <c r="D863" s="2436" t="s">
        <v>307</v>
      </c>
    </row>
    <row r="864" spans="2:4" x14ac:dyDescent="0.25">
      <c r="B864" s="2435">
        <v>56083</v>
      </c>
      <c r="C864" s="2437" t="s">
        <v>1156</v>
      </c>
      <c r="D864" s="2436" t="s">
        <v>305</v>
      </c>
    </row>
    <row r="865" spans="2:4" x14ac:dyDescent="0.25">
      <c r="B865" s="2435">
        <v>75017</v>
      </c>
      <c r="C865" s="2437" t="s">
        <v>1157</v>
      </c>
      <c r="D865" s="2436" t="s">
        <v>320</v>
      </c>
    </row>
    <row r="866" spans="2:4" x14ac:dyDescent="0.25">
      <c r="B866" s="2435">
        <v>21020</v>
      </c>
      <c r="C866" s="2437" t="s">
        <v>1158</v>
      </c>
      <c r="D866" s="2436" t="s">
        <v>345</v>
      </c>
    </row>
    <row r="867" spans="2:4" x14ac:dyDescent="0.25">
      <c r="B867" s="2435">
        <v>47040</v>
      </c>
      <c r="C867" s="2437" t="s">
        <v>1159</v>
      </c>
      <c r="D867" s="2436" t="s">
        <v>303</v>
      </c>
    </row>
    <row r="868" spans="2:4" x14ac:dyDescent="0.25">
      <c r="B868" s="2435">
        <v>27043</v>
      </c>
      <c r="C868" s="2437" t="s">
        <v>1160</v>
      </c>
      <c r="D868" s="2436" t="s">
        <v>307</v>
      </c>
    </row>
    <row r="869" spans="2:4" x14ac:dyDescent="0.25">
      <c r="B869" s="2435">
        <v>31045</v>
      </c>
      <c r="C869" s="2437" t="s">
        <v>1161</v>
      </c>
      <c r="D869" s="2436" t="s">
        <v>307</v>
      </c>
    </row>
    <row r="870" spans="2:4" x14ac:dyDescent="0.25">
      <c r="B870" s="2435">
        <v>14030</v>
      </c>
      <c r="C870" s="2437" t="s">
        <v>1162</v>
      </c>
      <c r="D870" s="2436" t="s">
        <v>315</v>
      </c>
    </row>
    <row r="871" spans="2:4" x14ac:dyDescent="0.25">
      <c r="B871" s="2435">
        <v>9070</v>
      </c>
      <c r="C871" s="2437" t="s">
        <v>1163</v>
      </c>
      <c r="D871" s="2436" t="s">
        <v>315</v>
      </c>
    </row>
    <row r="872" spans="2:4" x14ac:dyDescent="0.25">
      <c r="B872" s="2435">
        <v>27050</v>
      </c>
      <c r="C872" s="2437" t="s">
        <v>1164</v>
      </c>
      <c r="D872" s="2436" t="s">
        <v>307</v>
      </c>
    </row>
    <row r="873" spans="2:4" x14ac:dyDescent="0.25">
      <c r="B873" s="2435">
        <v>53050</v>
      </c>
      <c r="C873" s="2437" t="s">
        <v>1165</v>
      </c>
      <c r="D873" s="2436" t="s">
        <v>305</v>
      </c>
    </row>
    <row r="874" spans="2:4" x14ac:dyDescent="0.25">
      <c r="B874" s="2435">
        <v>72025</v>
      </c>
      <c r="C874" s="2437" t="s">
        <v>1166</v>
      </c>
      <c r="D874" s="2436" t="s">
        <v>320</v>
      </c>
    </row>
    <row r="875" spans="2:4" x14ac:dyDescent="0.25">
      <c r="B875" s="2435">
        <v>54110</v>
      </c>
      <c r="C875" s="2437" t="s">
        <v>1167</v>
      </c>
      <c r="D875" s="2436" t="s">
        <v>305</v>
      </c>
    </row>
    <row r="876" spans="2:4" x14ac:dyDescent="0.25">
      <c r="B876" s="2435">
        <v>27055</v>
      </c>
      <c r="C876" s="2437" t="s">
        <v>1168</v>
      </c>
      <c r="D876" s="2436" t="s">
        <v>307</v>
      </c>
    </row>
    <row r="877" spans="2:4" x14ac:dyDescent="0.25">
      <c r="B877" s="2435">
        <v>31035</v>
      </c>
      <c r="C877" s="2437" t="s">
        <v>1169</v>
      </c>
      <c r="D877" s="2436" t="s">
        <v>307</v>
      </c>
    </row>
    <row r="878" spans="2:4" x14ac:dyDescent="0.25">
      <c r="B878" s="2435">
        <v>18005</v>
      </c>
      <c r="C878" s="2437" t="s">
        <v>1170</v>
      </c>
      <c r="D878" s="2436" t="s">
        <v>307</v>
      </c>
    </row>
    <row r="879" spans="2:4" x14ac:dyDescent="0.25">
      <c r="B879" s="2435">
        <v>13040</v>
      </c>
      <c r="C879" s="2437" t="s">
        <v>1171</v>
      </c>
      <c r="D879" s="2436" t="s">
        <v>315</v>
      </c>
    </row>
    <row r="880" spans="2:4" x14ac:dyDescent="0.25">
      <c r="B880" s="2435">
        <v>51045</v>
      </c>
      <c r="C880" s="2437" t="s">
        <v>1172</v>
      </c>
      <c r="D880" s="2436" t="s">
        <v>352</v>
      </c>
    </row>
    <row r="881" spans="2:4" x14ac:dyDescent="0.25">
      <c r="B881" s="2435">
        <v>58012</v>
      </c>
      <c r="C881" s="2437" t="s">
        <v>1173</v>
      </c>
      <c r="D881" s="2436" t="s">
        <v>305</v>
      </c>
    </row>
    <row r="882" spans="2:4" x14ac:dyDescent="0.25">
      <c r="B882" s="2435">
        <v>87120</v>
      </c>
      <c r="C882" s="2437" t="s">
        <v>1173</v>
      </c>
      <c r="D882" s="2436" t="s">
        <v>322</v>
      </c>
    </row>
    <row r="883" spans="2:4" x14ac:dyDescent="0.25">
      <c r="B883" s="2435">
        <v>26070</v>
      </c>
      <c r="C883" s="2437" t="s">
        <v>1174</v>
      </c>
      <c r="D883" s="2436" t="s">
        <v>307</v>
      </c>
    </row>
    <row r="884" spans="2:4" x14ac:dyDescent="0.25">
      <c r="B884" s="2435">
        <v>20020</v>
      </c>
      <c r="C884" s="2437" t="s">
        <v>1175</v>
      </c>
      <c r="D884" s="2436" t="s">
        <v>345</v>
      </c>
    </row>
    <row r="885" spans="2:4" x14ac:dyDescent="0.25">
      <c r="B885" s="2435">
        <v>71105</v>
      </c>
      <c r="C885" s="2437" t="s">
        <v>1176</v>
      </c>
      <c r="D885" s="2436" t="s">
        <v>305</v>
      </c>
    </row>
    <row r="886" spans="2:4" x14ac:dyDescent="0.25">
      <c r="B886" s="2435">
        <v>19050</v>
      </c>
      <c r="C886" s="2437" t="s">
        <v>1177</v>
      </c>
      <c r="D886" s="2436" t="s">
        <v>307</v>
      </c>
    </row>
    <row r="887" spans="2:4" x14ac:dyDescent="0.25">
      <c r="B887" s="2435">
        <v>8065</v>
      </c>
      <c r="C887" s="2437" t="s">
        <v>1178</v>
      </c>
      <c r="D887" s="2436" t="s">
        <v>315</v>
      </c>
    </row>
    <row r="888" spans="2:4" x14ac:dyDescent="0.25">
      <c r="B888" s="2435">
        <v>50042</v>
      </c>
      <c r="C888" s="2437" t="s">
        <v>1179</v>
      </c>
      <c r="D888" s="2436" t="s">
        <v>329</v>
      </c>
    </row>
    <row r="889" spans="2:4" x14ac:dyDescent="0.25">
      <c r="B889" s="2435">
        <v>34115</v>
      </c>
      <c r="C889" s="2437" t="s">
        <v>1180</v>
      </c>
      <c r="D889" s="2436" t="s">
        <v>345</v>
      </c>
    </row>
    <row r="890" spans="2:4" x14ac:dyDescent="0.25">
      <c r="B890" s="2435">
        <v>19020</v>
      </c>
      <c r="C890" s="2437" t="s">
        <v>1181</v>
      </c>
      <c r="D890" s="2436" t="s">
        <v>307</v>
      </c>
    </row>
    <row r="891" spans="2:4" x14ac:dyDescent="0.25">
      <c r="B891" s="2435">
        <v>7030</v>
      </c>
      <c r="C891" s="2437" t="s">
        <v>1182</v>
      </c>
      <c r="D891" s="2436" t="s">
        <v>315</v>
      </c>
    </row>
    <row r="892" spans="2:4" x14ac:dyDescent="0.25">
      <c r="B892" s="2435">
        <v>51035</v>
      </c>
      <c r="C892" s="2437" t="s">
        <v>1182</v>
      </c>
      <c r="D892" s="2436" t="s">
        <v>352</v>
      </c>
    </row>
    <row r="893" spans="2:4" x14ac:dyDescent="0.25">
      <c r="B893" s="2435">
        <v>54072</v>
      </c>
      <c r="C893" s="2437" t="s">
        <v>1183</v>
      </c>
      <c r="D893" s="2436" t="s">
        <v>305</v>
      </c>
    </row>
    <row r="894" spans="2:4" x14ac:dyDescent="0.25">
      <c r="B894" s="2435">
        <v>63065</v>
      </c>
      <c r="C894" s="2437" t="s">
        <v>1184</v>
      </c>
      <c r="D894" s="2436" t="s">
        <v>369</v>
      </c>
    </row>
    <row r="895" spans="2:4" x14ac:dyDescent="0.25">
      <c r="B895" s="2435">
        <v>63048</v>
      </c>
      <c r="C895" s="2437" t="s">
        <v>1185</v>
      </c>
      <c r="D895" s="2436" t="s">
        <v>369</v>
      </c>
    </row>
    <row r="896" spans="2:4" x14ac:dyDescent="0.25">
      <c r="B896" s="2435">
        <v>54120</v>
      </c>
      <c r="C896" s="2437" t="s">
        <v>1186</v>
      </c>
      <c r="D896" s="2436" t="s">
        <v>305</v>
      </c>
    </row>
    <row r="897" spans="2:4" x14ac:dyDescent="0.25">
      <c r="B897" s="2435">
        <v>21015</v>
      </c>
      <c r="C897" s="2437" t="s">
        <v>1187</v>
      </c>
      <c r="D897" s="2436" t="s">
        <v>345</v>
      </c>
    </row>
    <row r="898" spans="2:4" x14ac:dyDescent="0.25">
      <c r="B898" s="2435">
        <v>39170</v>
      </c>
      <c r="C898" s="2437" t="s">
        <v>1188</v>
      </c>
      <c r="D898" s="2436" t="s">
        <v>329</v>
      </c>
    </row>
    <row r="899" spans="2:4" x14ac:dyDescent="0.25">
      <c r="B899" s="2435">
        <v>28035</v>
      </c>
      <c r="C899" s="2437" t="s">
        <v>1189</v>
      </c>
      <c r="D899" s="2436" t="s">
        <v>307</v>
      </c>
    </row>
    <row r="900" spans="2:4" x14ac:dyDescent="0.25">
      <c r="B900" s="2435">
        <v>70035</v>
      </c>
      <c r="C900" s="2437" t="s">
        <v>1189</v>
      </c>
      <c r="D900" s="2436" t="s">
        <v>305</v>
      </c>
    </row>
    <row r="901" spans="2:4" x14ac:dyDescent="0.25">
      <c r="B901" s="2435">
        <v>13080</v>
      </c>
      <c r="C901" s="2437" t="s">
        <v>1190</v>
      </c>
      <c r="D901" s="2436" t="s">
        <v>315</v>
      </c>
    </row>
    <row r="902" spans="2:4" x14ac:dyDescent="0.25">
      <c r="B902" s="2435">
        <v>28060</v>
      </c>
      <c r="C902" s="2437" t="s">
        <v>1191</v>
      </c>
      <c r="D902" s="2436" t="s">
        <v>307</v>
      </c>
    </row>
    <row r="903" spans="2:4" x14ac:dyDescent="0.25">
      <c r="B903" s="2435">
        <v>37225</v>
      </c>
      <c r="C903" s="2437" t="s">
        <v>1192</v>
      </c>
      <c r="D903" s="2436" t="s">
        <v>352</v>
      </c>
    </row>
    <row r="904" spans="2:4" x14ac:dyDescent="0.25">
      <c r="B904" s="2435">
        <v>49030</v>
      </c>
      <c r="C904" s="2437" t="s">
        <v>1193</v>
      </c>
      <c r="D904" s="2436" t="s">
        <v>329</v>
      </c>
    </row>
    <row r="905" spans="2:4" x14ac:dyDescent="0.25">
      <c r="B905" s="2435">
        <v>30072</v>
      </c>
      <c r="C905" s="2437" t="s">
        <v>1194</v>
      </c>
      <c r="D905" s="2436" t="s">
        <v>303</v>
      </c>
    </row>
    <row r="906" spans="2:4" x14ac:dyDescent="0.25">
      <c r="B906" s="2435">
        <v>93080</v>
      </c>
      <c r="C906" s="2437" t="s">
        <v>1195</v>
      </c>
      <c r="D906" s="2436" t="s">
        <v>313</v>
      </c>
    </row>
    <row r="907" spans="2:4" x14ac:dyDescent="0.25">
      <c r="B907" s="2435">
        <v>28075</v>
      </c>
      <c r="C907" s="2437" t="s">
        <v>1196</v>
      </c>
      <c r="D907" s="2436" t="s">
        <v>307</v>
      </c>
    </row>
    <row r="908" spans="2:4" x14ac:dyDescent="0.25">
      <c r="B908" s="2435">
        <v>49095</v>
      </c>
      <c r="C908" s="2437" t="s">
        <v>1197</v>
      </c>
      <c r="D908" s="2436" t="s">
        <v>329</v>
      </c>
    </row>
    <row r="909" spans="2:4" x14ac:dyDescent="0.25">
      <c r="B909" s="2435">
        <v>19025</v>
      </c>
      <c r="C909" s="2437" t="s">
        <v>1198</v>
      </c>
      <c r="D909" s="2436" t="s">
        <v>307</v>
      </c>
    </row>
    <row r="910" spans="2:4" x14ac:dyDescent="0.25">
      <c r="B910" s="2435">
        <v>44003</v>
      </c>
      <c r="C910" s="2437" t="s">
        <v>1199</v>
      </c>
      <c r="D910" s="2436" t="s">
        <v>303</v>
      </c>
    </row>
    <row r="911" spans="2:4" x14ac:dyDescent="0.25">
      <c r="B911" s="2435">
        <v>88040</v>
      </c>
      <c r="C911" s="2437" t="s">
        <v>1200</v>
      </c>
      <c r="D911" s="2436" t="s">
        <v>322</v>
      </c>
    </row>
    <row r="912" spans="2:4" x14ac:dyDescent="0.25">
      <c r="B912" s="2435">
        <v>34065</v>
      </c>
      <c r="C912" s="2437" t="s">
        <v>1201</v>
      </c>
      <c r="D912" s="2436" t="s">
        <v>345</v>
      </c>
    </row>
    <row r="913" spans="2:4" x14ac:dyDescent="0.25">
      <c r="B913" s="2435">
        <v>13020</v>
      </c>
      <c r="C913" s="2437" t="s">
        <v>1202</v>
      </c>
      <c r="D913" s="2436" t="s">
        <v>315</v>
      </c>
    </row>
    <row r="914" spans="2:4" x14ac:dyDescent="0.25">
      <c r="B914" s="2435">
        <v>17020</v>
      </c>
      <c r="C914" s="2437" t="s">
        <v>1203</v>
      </c>
      <c r="D914" s="2436" t="s">
        <v>307</v>
      </c>
    </row>
    <row r="915" spans="2:4" x14ac:dyDescent="0.25">
      <c r="B915" s="2435">
        <v>54125</v>
      </c>
      <c r="C915" s="2437" t="s">
        <v>1204</v>
      </c>
      <c r="D915" s="2436" t="s">
        <v>305</v>
      </c>
    </row>
    <row r="916" spans="2:4" x14ac:dyDescent="0.25">
      <c r="B916" s="2435">
        <v>10025</v>
      </c>
      <c r="C916" s="2437" t="s">
        <v>1205</v>
      </c>
      <c r="D916" s="2436" t="s">
        <v>315</v>
      </c>
    </row>
    <row r="917" spans="2:4" x14ac:dyDescent="0.25">
      <c r="B917" s="2435">
        <v>57050</v>
      </c>
      <c r="C917" s="2437" t="s">
        <v>1206</v>
      </c>
      <c r="D917" s="2436" t="s">
        <v>305</v>
      </c>
    </row>
    <row r="918" spans="2:4" x14ac:dyDescent="0.25">
      <c r="B918" s="2435">
        <v>29045</v>
      </c>
      <c r="C918" s="2437" t="s">
        <v>1207</v>
      </c>
      <c r="D918" s="2436" t="s">
        <v>307</v>
      </c>
    </row>
    <row r="919" spans="2:4" x14ac:dyDescent="0.25">
      <c r="B919" s="2435">
        <v>55065</v>
      </c>
      <c r="C919" s="2437" t="s">
        <v>1208</v>
      </c>
      <c r="D919" s="2436" t="s">
        <v>305</v>
      </c>
    </row>
    <row r="920" spans="2:4" x14ac:dyDescent="0.25">
      <c r="B920" s="2435">
        <v>67005</v>
      </c>
      <c r="C920" s="2437" t="s">
        <v>1209</v>
      </c>
      <c r="D920" s="2436" t="s">
        <v>305</v>
      </c>
    </row>
    <row r="921" spans="2:4" x14ac:dyDescent="0.25">
      <c r="B921" s="2435">
        <v>57045</v>
      </c>
      <c r="C921" s="2437" t="s">
        <v>1210</v>
      </c>
      <c r="D921" s="2436" t="s">
        <v>305</v>
      </c>
    </row>
    <row r="922" spans="2:4" x14ac:dyDescent="0.25">
      <c r="B922" s="2435">
        <v>11050</v>
      </c>
      <c r="C922" s="2437" t="s">
        <v>1211</v>
      </c>
      <c r="D922" s="2436" t="s">
        <v>315</v>
      </c>
    </row>
    <row r="923" spans="2:4" x14ac:dyDescent="0.25">
      <c r="B923" s="2435">
        <v>88050</v>
      </c>
      <c r="C923" s="2437" t="s">
        <v>1212</v>
      </c>
      <c r="D923" s="2436" t="s">
        <v>322</v>
      </c>
    </row>
    <row r="924" spans="2:4" x14ac:dyDescent="0.25">
      <c r="B924" s="2435">
        <v>51070</v>
      </c>
      <c r="C924" s="2437" t="s">
        <v>1213</v>
      </c>
      <c r="D924" s="2436" t="s">
        <v>352</v>
      </c>
    </row>
    <row r="925" spans="2:4" x14ac:dyDescent="0.25">
      <c r="B925" s="2435">
        <v>37230</v>
      </c>
      <c r="C925" s="2437" t="s">
        <v>1214</v>
      </c>
      <c r="D925" s="2436" t="s">
        <v>352</v>
      </c>
    </row>
    <row r="926" spans="2:4" x14ac:dyDescent="0.25">
      <c r="B926" s="2435">
        <v>4010</v>
      </c>
      <c r="C926" s="2437" t="s">
        <v>1215</v>
      </c>
      <c r="D926" s="2436" t="s">
        <v>383</v>
      </c>
    </row>
    <row r="927" spans="2:4" x14ac:dyDescent="0.25">
      <c r="B927" s="2435">
        <v>11025</v>
      </c>
      <c r="C927" s="2437" t="s">
        <v>1216</v>
      </c>
      <c r="D927" s="2436" t="s">
        <v>315</v>
      </c>
    </row>
    <row r="928" spans="2:4" x14ac:dyDescent="0.25">
      <c r="B928" s="2435">
        <v>68050</v>
      </c>
      <c r="C928" s="2437" t="s">
        <v>1217</v>
      </c>
      <c r="D928" s="2436" t="s">
        <v>305</v>
      </c>
    </row>
    <row r="929" spans="2:4" x14ac:dyDescent="0.25">
      <c r="B929" s="2435">
        <v>19110</v>
      </c>
      <c r="C929" s="2437" t="s">
        <v>1218</v>
      </c>
      <c r="D929" s="2436" t="s">
        <v>307</v>
      </c>
    </row>
    <row r="930" spans="2:4" x14ac:dyDescent="0.25">
      <c r="B930" s="2435">
        <v>62085</v>
      </c>
      <c r="C930" s="2437" t="s">
        <v>1219</v>
      </c>
      <c r="D930" s="2436" t="s">
        <v>369</v>
      </c>
    </row>
    <row r="931" spans="2:4" x14ac:dyDescent="0.25">
      <c r="B931" s="2435">
        <v>13065</v>
      </c>
      <c r="C931" s="2437" t="s">
        <v>1220</v>
      </c>
      <c r="D931" s="2436" t="s">
        <v>315</v>
      </c>
    </row>
    <row r="932" spans="2:4" x14ac:dyDescent="0.25">
      <c r="B932" s="2435">
        <v>12020</v>
      </c>
      <c r="C932" s="2437" t="s">
        <v>1221</v>
      </c>
      <c r="D932" s="2436" t="s">
        <v>315</v>
      </c>
    </row>
    <row r="933" spans="2:4" x14ac:dyDescent="0.25">
      <c r="B933" s="2435">
        <v>7095</v>
      </c>
      <c r="C933" s="2437" t="s">
        <v>1222</v>
      </c>
      <c r="D933" s="2436" t="s">
        <v>315</v>
      </c>
    </row>
    <row r="934" spans="2:4" x14ac:dyDescent="0.25">
      <c r="B934" s="2435">
        <v>37240</v>
      </c>
      <c r="C934" s="2437" t="s">
        <v>1223</v>
      </c>
      <c r="D934" s="2436" t="s">
        <v>352</v>
      </c>
    </row>
    <row r="935" spans="2:4" x14ac:dyDescent="0.25">
      <c r="B935" s="2435">
        <v>33030</v>
      </c>
      <c r="C935" s="2437" t="s">
        <v>1224</v>
      </c>
      <c r="D935" s="2436" t="s">
        <v>307</v>
      </c>
    </row>
    <row r="936" spans="2:4" x14ac:dyDescent="0.25">
      <c r="B936" s="2435">
        <v>10015</v>
      </c>
      <c r="C936" s="2437" t="s">
        <v>1225</v>
      </c>
      <c r="D936" s="2436" t="s">
        <v>315</v>
      </c>
    </row>
    <row r="937" spans="2:4" x14ac:dyDescent="0.25">
      <c r="B937" s="2435">
        <v>93045</v>
      </c>
      <c r="C937" s="2437" t="s">
        <v>1226</v>
      </c>
      <c r="D937" s="2436" t="s">
        <v>313</v>
      </c>
    </row>
    <row r="938" spans="2:4" x14ac:dyDescent="0.25">
      <c r="B938" s="2435">
        <v>48050</v>
      </c>
      <c r="C938" s="2437" t="s">
        <v>1227</v>
      </c>
      <c r="D938" s="2436" t="s">
        <v>305</v>
      </c>
    </row>
    <row r="939" spans="2:4" x14ac:dyDescent="0.25">
      <c r="B939" s="2435">
        <v>19015</v>
      </c>
      <c r="C939" s="2437" t="s">
        <v>1228</v>
      </c>
      <c r="D939" s="2436" t="s">
        <v>307</v>
      </c>
    </row>
    <row r="940" spans="2:4" x14ac:dyDescent="0.25">
      <c r="B940" s="2435">
        <v>19045</v>
      </c>
      <c r="C940" s="2437" t="s">
        <v>1229</v>
      </c>
      <c r="D940" s="2436" t="s">
        <v>307</v>
      </c>
    </row>
    <row r="941" spans="2:4" x14ac:dyDescent="0.25">
      <c r="B941" s="2435">
        <v>7100</v>
      </c>
      <c r="C941" s="2437" t="s">
        <v>1230</v>
      </c>
      <c r="D941" s="2436" t="s">
        <v>315</v>
      </c>
    </row>
    <row r="942" spans="2:4" x14ac:dyDescent="0.25">
      <c r="B942" s="2435">
        <v>52070</v>
      </c>
      <c r="C942" s="2437" t="s">
        <v>1231</v>
      </c>
      <c r="D942" s="2436" t="s">
        <v>369</v>
      </c>
    </row>
    <row r="943" spans="2:4" x14ac:dyDescent="0.25">
      <c r="B943" s="2435">
        <v>39043</v>
      </c>
      <c r="C943" s="2437" t="s">
        <v>1232</v>
      </c>
      <c r="D943" s="2436" t="s">
        <v>329</v>
      </c>
    </row>
    <row r="944" spans="2:4" x14ac:dyDescent="0.25">
      <c r="B944" s="2435">
        <v>9055</v>
      </c>
      <c r="C944" s="2437" t="s">
        <v>1233</v>
      </c>
      <c r="D944" s="2436" t="s">
        <v>315</v>
      </c>
    </row>
    <row r="945" spans="2:4" x14ac:dyDescent="0.25">
      <c r="B945" s="2435">
        <v>27035</v>
      </c>
      <c r="C945" s="2437" t="s">
        <v>1234</v>
      </c>
      <c r="D945" s="2436" t="s">
        <v>307</v>
      </c>
    </row>
    <row r="946" spans="2:4" x14ac:dyDescent="0.25">
      <c r="B946" s="2435">
        <v>17005</v>
      </c>
      <c r="C946" s="2437" t="s">
        <v>1235</v>
      </c>
      <c r="D946" s="2436" t="s">
        <v>307</v>
      </c>
    </row>
    <row r="947" spans="2:4" x14ac:dyDescent="0.25">
      <c r="B947" s="2435">
        <v>14080</v>
      </c>
      <c r="C947" s="2437" t="s">
        <v>1236</v>
      </c>
      <c r="D947" s="2436" t="s">
        <v>315</v>
      </c>
    </row>
    <row r="948" spans="2:4" x14ac:dyDescent="0.25">
      <c r="B948" s="2435">
        <v>53032</v>
      </c>
      <c r="C948" s="2437" t="s">
        <v>1237</v>
      </c>
      <c r="D948" s="2436" t="s">
        <v>305</v>
      </c>
    </row>
    <row r="949" spans="2:4" x14ac:dyDescent="0.25">
      <c r="B949" s="2435">
        <v>14070</v>
      </c>
      <c r="C949" s="2437" t="s">
        <v>1238</v>
      </c>
      <c r="D949" s="2436" t="s">
        <v>315</v>
      </c>
    </row>
    <row r="950" spans="2:4" x14ac:dyDescent="0.25">
      <c r="B950" s="2435">
        <v>17010</v>
      </c>
      <c r="C950" s="2437" t="s">
        <v>1239</v>
      </c>
      <c r="D950" s="2436" t="s">
        <v>307</v>
      </c>
    </row>
    <row r="951" spans="2:4" x14ac:dyDescent="0.25">
      <c r="B951" s="2435">
        <v>14018</v>
      </c>
      <c r="C951" s="2437" t="s">
        <v>1240</v>
      </c>
      <c r="D951" s="2436" t="s">
        <v>315</v>
      </c>
    </row>
    <row r="952" spans="2:4" x14ac:dyDescent="0.25">
      <c r="B952" s="2435">
        <v>33025</v>
      </c>
      <c r="C952" s="2437" t="s">
        <v>1241</v>
      </c>
      <c r="D952" s="2436" t="s">
        <v>307</v>
      </c>
    </row>
    <row r="953" spans="2:4" x14ac:dyDescent="0.25">
      <c r="B953" s="2435">
        <v>68025</v>
      </c>
      <c r="C953" s="2437" t="s">
        <v>1242</v>
      </c>
      <c r="D953" s="2436" t="s">
        <v>305</v>
      </c>
    </row>
    <row r="954" spans="2:4" x14ac:dyDescent="0.25">
      <c r="B954" s="2435">
        <v>61005</v>
      </c>
      <c r="C954" s="2437" t="s">
        <v>1243</v>
      </c>
      <c r="D954" s="2436" t="s">
        <v>369</v>
      </c>
    </row>
    <row r="955" spans="2:4" x14ac:dyDescent="0.25">
      <c r="B955" s="2435">
        <v>55015</v>
      </c>
      <c r="C955" s="2437" t="s">
        <v>1244</v>
      </c>
      <c r="D955" s="2436" t="s">
        <v>305</v>
      </c>
    </row>
    <row r="956" spans="2:4" x14ac:dyDescent="0.25">
      <c r="B956" s="2435">
        <v>12035</v>
      </c>
      <c r="C956" s="2437" t="s">
        <v>1245</v>
      </c>
      <c r="D956" s="2436" t="s">
        <v>315</v>
      </c>
    </row>
    <row r="957" spans="2:4" x14ac:dyDescent="0.25">
      <c r="B957" s="2435">
        <v>56035</v>
      </c>
      <c r="C957" s="2437" t="s">
        <v>1246</v>
      </c>
      <c r="D957" s="2436" t="s">
        <v>305</v>
      </c>
    </row>
    <row r="958" spans="2:4" x14ac:dyDescent="0.25">
      <c r="B958" s="2435">
        <v>18030</v>
      </c>
      <c r="C958" s="2437" t="s">
        <v>1247</v>
      </c>
      <c r="D958" s="2436" t="s">
        <v>307</v>
      </c>
    </row>
    <row r="959" spans="2:4" x14ac:dyDescent="0.25">
      <c r="B959" s="2435">
        <v>51060</v>
      </c>
      <c r="C959" s="2437" t="s">
        <v>1248</v>
      </c>
      <c r="D959" s="2436" t="s">
        <v>352</v>
      </c>
    </row>
    <row r="960" spans="2:4" x14ac:dyDescent="0.25">
      <c r="B960" s="2435">
        <v>19005</v>
      </c>
      <c r="C960" s="2437" t="s">
        <v>1249</v>
      </c>
      <c r="D960" s="2436" t="s">
        <v>307</v>
      </c>
    </row>
    <row r="961" spans="2:4" x14ac:dyDescent="0.25">
      <c r="B961" s="2435">
        <v>29065</v>
      </c>
      <c r="C961" s="2437" t="s">
        <v>1250</v>
      </c>
      <c r="D961" s="2436" t="s">
        <v>307</v>
      </c>
    </row>
    <row r="962" spans="2:4" x14ac:dyDescent="0.25">
      <c r="B962" s="2435">
        <v>67010</v>
      </c>
      <c r="C962" s="2437" t="s">
        <v>1251</v>
      </c>
      <c r="D962" s="2436" t="s">
        <v>305</v>
      </c>
    </row>
    <row r="963" spans="2:4" x14ac:dyDescent="0.25">
      <c r="B963" s="2435">
        <v>14060</v>
      </c>
      <c r="C963" s="2437" t="s">
        <v>1252</v>
      </c>
      <c r="D963" s="2436" t="s">
        <v>315</v>
      </c>
    </row>
    <row r="964" spans="2:4" x14ac:dyDescent="0.25">
      <c r="B964" s="2435">
        <v>54008</v>
      </c>
      <c r="C964" s="2437" t="s">
        <v>1253</v>
      </c>
      <c r="D964" s="2436" t="s">
        <v>305</v>
      </c>
    </row>
    <row r="965" spans="2:4" x14ac:dyDescent="0.25">
      <c r="B965" s="2435">
        <v>49130</v>
      </c>
      <c r="C965" s="2437" t="s">
        <v>1254</v>
      </c>
      <c r="D965" s="2436" t="s">
        <v>329</v>
      </c>
    </row>
    <row r="966" spans="2:4" x14ac:dyDescent="0.25">
      <c r="B966" s="2435">
        <v>61020</v>
      </c>
      <c r="C966" s="2437" t="s">
        <v>1255</v>
      </c>
      <c r="D966" s="2436" t="s">
        <v>369</v>
      </c>
    </row>
    <row r="967" spans="2:4" x14ac:dyDescent="0.25">
      <c r="B967" s="2435">
        <v>32050</v>
      </c>
      <c r="C967" s="2437" t="s">
        <v>1256</v>
      </c>
      <c r="D967" s="2436" t="s">
        <v>329</v>
      </c>
    </row>
    <row r="968" spans="2:4" x14ac:dyDescent="0.25">
      <c r="B968" s="2435">
        <v>31135</v>
      </c>
      <c r="C968" s="2437" t="s">
        <v>1257</v>
      </c>
      <c r="D968" s="2436" t="s">
        <v>307</v>
      </c>
    </row>
    <row r="969" spans="2:4" x14ac:dyDescent="0.25">
      <c r="B969" s="2435">
        <v>13075</v>
      </c>
      <c r="C969" s="2437" t="s">
        <v>1258</v>
      </c>
      <c r="D969" s="2436" t="s">
        <v>315</v>
      </c>
    </row>
    <row r="970" spans="2:4" x14ac:dyDescent="0.25">
      <c r="B970" s="2435">
        <v>20025</v>
      </c>
      <c r="C970" s="2437" t="s">
        <v>1259</v>
      </c>
      <c r="D970" s="2436" t="s">
        <v>345</v>
      </c>
    </row>
    <row r="971" spans="2:4" x14ac:dyDescent="0.25">
      <c r="B971" s="2435">
        <v>38065</v>
      </c>
      <c r="C971" s="2437" t="s">
        <v>1260</v>
      </c>
      <c r="D971" s="2436" t="s">
        <v>329</v>
      </c>
    </row>
    <row r="972" spans="2:4" x14ac:dyDescent="0.25">
      <c r="B972" s="2435">
        <v>18055</v>
      </c>
      <c r="C972" s="2437" t="s">
        <v>1261</v>
      </c>
      <c r="D972" s="2436" t="s">
        <v>307</v>
      </c>
    </row>
    <row r="973" spans="2:4" x14ac:dyDescent="0.25">
      <c r="B973" s="2435">
        <v>72043</v>
      </c>
      <c r="C973" s="2437" t="s">
        <v>1262</v>
      </c>
      <c r="D973" s="2436" t="s">
        <v>320</v>
      </c>
    </row>
    <row r="974" spans="2:4" x14ac:dyDescent="0.25">
      <c r="B974" s="2435">
        <v>71020</v>
      </c>
      <c r="C974" s="2437" t="s">
        <v>1263</v>
      </c>
      <c r="D974" s="2436" t="s">
        <v>305</v>
      </c>
    </row>
    <row r="975" spans="2:4" x14ac:dyDescent="0.25">
      <c r="B975" s="2435">
        <v>91035</v>
      </c>
      <c r="C975" s="2437" t="s">
        <v>1264</v>
      </c>
      <c r="D975" s="2436" t="s">
        <v>313</v>
      </c>
    </row>
    <row r="976" spans="2:4" x14ac:dyDescent="0.25">
      <c r="B976" s="2435">
        <v>28020</v>
      </c>
      <c r="C976" s="2437" t="s">
        <v>1265</v>
      </c>
      <c r="D976" s="2436" t="s">
        <v>307</v>
      </c>
    </row>
    <row r="977" spans="2:4" x14ac:dyDescent="0.25">
      <c r="B977" s="2435">
        <v>37250</v>
      </c>
      <c r="C977" s="2437" t="s">
        <v>1266</v>
      </c>
      <c r="D977" s="2436" t="s">
        <v>352</v>
      </c>
    </row>
    <row r="978" spans="2:4" x14ac:dyDescent="0.25">
      <c r="B978" s="2435">
        <v>19082</v>
      </c>
      <c r="C978" s="2437" t="s">
        <v>1267</v>
      </c>
      <c r="D978" s="2436" t="s">
        <v>307</v>
      </c>
    </row>
    <row r="979" spans="2:4" x14ac:dyDescent="0.25">
      <c r="B979" s="2435">
        <v>34128</v>
      </c>
      <c r="C979" s="2437" t="s">
        <v>1268</v>
      </c>
      <c r="D979" s="2436" t="s">
        <v>345</v>
      </c>
    </row>
    <row r="980" spans="2:4" x14ac:dyDescent="0.25">
      <c r="B980" s="2435">
        <v>68055</v>
      </c>
      <c r="C980" s="2437" t="s">
        <v>1269</v>
      </c>
      <c r="D980" s="2436" t="s">
        <v>305</v>
      </c>
    </row>
    <row r="981" spans="2:4" x14ac:dyDescent="0.25">
      <c r="B981" s="2435">
        <v>39020</v>
      </c>
      <c r="C981" s="2437" t="s">
        <v>1270</v>
      </c>
      <c r="D981" s="2436" t="s">
        <v>329</v>
      </c>
    </row>
    <row r="982" spans="2:4" x14ac:dyDescent="0.25">
      <c r="B982" s="2435">
        <v>29050</v>
      </c>
      <c r="C982" s="2437" t="s">
        <v>1271</v>
      </c>
      <c r="D982" s="2436" t="s">
        <v>307</v>
      </c>
    </row>
    <row r="983" spans="2:4" x14ac:dyDescent="0.25">
      <c r="B983" s="2435">
        <v>8035</v>
      </c>
      <c r="C983" s="2437" t="s">
        <v>1272</v>
      </c>
      <c r="D983" s="2436" t="s">
        <v>315</v>
      </c>
    </row>
    <row r="984" spans="2:4" x14ac:dyDescent="0.25">
      <c r="B984" s="2435">
        <v>53020</v>
      </c>
      <c r="C984" s="2437" t="s">
        <v>1273</v>
      </c>
      <c r="D984" s="2436" t="s">
        <v>305</v>
      </c>
    </row>
    <row r="985" spans="2:4" x14ac:dyDescent="0.25">
      <c r="B985" s="2435">
        <v>30070</v>
      </c>
      <c r="C985" s="2437" t="s">
        <v>1274</v>
      </c>
      <c r="D985" s="2436" t="s">
        <v>303</v>
      </c>
    </row>
    <row r="986" spans="2:4" x14ac:dyDescent="0.25">
      <c r="B986" s="2435">
        <v>63035</v>
      </c>
      <c r="C986" s="2437" t="s">
        <v>1275</v>
      </c>
      <c r="D986" s="2436" t="s">
        <v>369</v>
      </c>
    </row>
    <row r="987" spans="2:4" x14ac:dyDescent="0.25">
      <c r="B987" s="2435">
        <v>35045</v>
      </c>
      <c r="C987" s="2437" t="s">
        <v>1276</v>
      </c>
      <c r="D987" s="2436" t="s">
        <v>352</v>
      </c>
    </row>
    <row r="988" spans="2:4" x14ac:dyDescent="0.25">
      <c r="B988" s="2435">
        <v>53040</v>
      </c>
      <c r="C988" s="2437" t="s">
        <v>1277</v>
      </c>
      <c r="D988" s="2436" t="s">
        <v>305</v>
      </c>
    </row>
    <row r="989" spans="2:4" x14ac:dyDescent="0.25">
      <c r="B989" s="2435">
        <v>17065</v>
      </c>
      <c r="C989" s="2437" t="s">
        <v>1278</v>
      </c>
      <c r="D989" s="2436" t="s">
        <v>307</v>
      </c>
    </row>
    <row r="990" spans="2:4" x14ac:dyDescent="0.25">
      <c r="B990" s="2435">
        <v>63040</v>
      </c>
      <c r="C990" s="2437" t="s">
        <v>1279</v>
      </c>
      <c r="D990" s="2436" t="s">
        <v>369</v>
      </c>
    </row>
    <row r="991" spans="2:4" x14ac:dyDescent="0.25">
      <c r="B991" s="2435">
        <v>30100</v>
      </c>
      <c r="C991" s="2437" t="s">
        <v>1280</v>
      </c>
      <c r="D991" s="2436" t="s">
        <v>303</v>
      </c>
    </row>
    <row r="992" spans="2:4" x14ac:dyDescent="0.25">
      <c r="B992" s="2435">
        <v>39145</v>
      </c>
      <c r="C992" s="2437" t="s">
        <v>1281</v>
      </c>
      <c r="D992" s="2436" t="s">
        <v>329</v>
      </c>
    </row>
    <row r="993" spans="2:4" x14ac:dyDescent="0.25">
      <c r="B993" s="2435">
        <v>39130</v>
      </c>
      <c r="C993" s="2437" t="s">
        <v>1282</v>
      </c>
      <c r="D993" s="2436" t="s">
        <v>329</v>
      </c>
    </row>
    <row r="994" spans="2:4" x14ac:dyDescent="0.25">
      <c r="B994" s="2435">
        <v>26010</v>
      </c>
      <c r="C994" s="2437" t="s">
        <v>1283</v>
      </c>
      <c r="D994" s="2436" t="s">
        <v>307</v>
      </c>
    </row>
    <row r="995" spans="2:4" x14ac:dyDescent="0.25">
      <c r="B995" s="2435">
        <v>77043</v>
      </c>
      <c r="C995" s="2437" t="s">
        <v>1284</v>
      </c>
      <c r="D995" s="2436" t="s">
        <v>320</v>
      </c>
    </row>
    <row r="996" spans="2:4" x14ac:dyDescent="0.25">
      <c r="B996" s="2435">
        <v>56050</v>
      </c>
      <c r="C996" s="2437" t="s">
        <v>1285</v>
      </c>
      <c r="D996" s="2436" t="s">
        <v>305</v>
      </c>
    </row>
    <row r="997" spans="2:4" x14ac:dyDescent="0.25">
      <c r="B997" s="2435">
        <v>30085</v>
      </c>
      <c r="C997" s="2437" t="s">
        <v>1285</v>
      </c>
      <c r="D997" s="2436" t="s">
        <v>303</v>
      </c>
    </row>
    <row r="998" spans="2:4" x14ac:dyDescent="0.25">
      <c r="B998" s="2435">
        <v>51030</v>
      </c>
      <c r="C998" s="2437" t="s">
        <v>1286</v>
      </c>
      <c r="D998" s="2436" t="s">
        <v>352</v>
      </c>
    </row>
    <row r="999" spans="2:4" x14ac:dyDescent="0.25">
      <c r="B999" s="2435">
        <v>27070</v>
      </c>
      <c r="C999" s="2437" t="s">
        <v>1287</v>
      </c>
      <c r="D999" s="2436" t="s">
        <v>307</v>
      </c>
    </row>
    <row r="1000" spans="2:4" x14ac:dyDescent="0.25">
      <c r="B1000" s="2435">
        <v>35020</v>
      </c>
      <c r="C1000" s="2437" t="s">
        <v>1287</v>
      </c>
      <c r="D1000" s="2436" t="s">
        <v>352</v>
      </c>
    </row>
    <row r="1001" spans="2:4" x14ac:dyDescent="0.25">
      <c r="B1001" s="2435">
        <v>5055</v>
      </c>
      <c r="C1001" s="2437" t="s">
        <v>1288</v>
      </c>
      <c r="D1001" s="2436" t="s">
        <v>383</v>
      </c>
    </row>
    <row r="1002" spans="2:4" x14ac:dyDescent="0.25">
      <c r="B1002" s="2435">
        <v>15058</v>
      </c>
      <c r="C1002" s="2437" t="s">
        <v>1288</v>
      </c>
      <c r="D1002" s="2436" t="s">
        <v>345</v>
      </c>
    </row>
    <row r="1003" spans="2:4" x14ac:dyDescent="0.25">
      <c r="B1003" s="2435">
        <v>54090</v>
      </c>
      <c r="C1003" s="2437" t="s">
        <v>1289</v>
      </c>
      <c r="D1003" s="2436" t="s">
        <v>305</v>
      </c>
    </row>
    <row r="1004" spans="2:4" x14ac:dyDescent="0.25">
      <c r="B1004" s="2435">
        <v>11055</v>
      </c>
      <c r="C1004" s="2437" t="s">
        <v>1290</v>
      </c>
      <c r="D1004" s="2436" t="s">
        <v>315</v>
      </c>
    </row>
    <row r="1005" spans="2:4" x14ac:dyDescent="0.25">
      <c r="B1005" s="2435">
        <v>29125</v>
      </c>
      <c r="C1005" s="2437" t="s">
        <v>1291</v>
      </c>
      <c r="D1005" s="2436" t="s">
        <v>307</v>
      </c>
    </row>
    <row r="1006" spans="2:4" x14ac:dyDescent="0.25">
      <c r="B1006" s="2435">
        <v>80070</v>
      </c>
      <c r="C1006" s="2437" t="s">
        <v>1292</v>
      </c>
      <c r="D1006" s="2436" t="s">
        <v>317</v>
      </c>
    </row>
    <row r="1007" spans="2:4" x14ac:dyDescent="0.25">
      <c r="B1007" s="2435">
        <v>39005</v>
      </c>
      <c r="C1007" s="2437" t="s">
        <v>1293</v>
      </c>
      <c r="D1007" s="2436" t="s">
        <v>329</v>
      </c>
    </row>
    <row r="1008" spans="2:4" x14ac:dyDescent="0.25">
      <c r="B1008" s="2435">
        <v>92070</v>
      </c>
      <c r="C1008" s="2437" t="s">
        <v>1294</v>
      </c>
      <c r="D1008" s="2436" t="s">
        <v>313</v>
      </c>
    </row>
    <row r="1009" spans="2:4" x14ac:dyDescent="0.25">
      <c r="B1009" s="2435">
        <v>37245</v>
      </c>
      <c r="C1009" s="2437" t="s">
        <v>1294</v>
      </c>
      <c r="D1009" s="2436" t="s">
        <v>352</v>
      </c>
    </row>
    <row r="1010" spans="2:4" x14ac:dyDescent="0.25">
      <c r="B1010" s="2435">
        <v>70040</v>
      </c>
      <c r="C1010" s="2437" t="s">
        <v>1295</v>
      </c>
      <c r="D1010" s="2436" t="s">
        <v>305</v>
      </c>
    </row>
    <row r="1011" spans="2:4" x14ac:dyDescent="0.25">
      <c r="B1011" s="2435">
        <v>60020</v>
      </c>
      <c r="C1011" s="2437" t="s">
        <v>1296</v>
      </c>
      <c r="D1011" s="2436" t="s">
        <v>369</v>
      </c>
    </row>
    <row r="1012" spans="2:4" x14ac:dyDescent="0.25">
      <c r="B1012" s="2435">
        <v>38005</v>
      </c>
      <c r="C1012" s="2437" t="s">
        <v>1297</v>
      </c>
      <c r="D1012" s="2436" t="s">
        <v>329</v>
      </c>
    </row>
    <row r="1013" spans="2:4" x14ac:dyDescent="0.25">
      <c r="B1013" s="2435">
        <v>33007</v>
      </c>
      <c r="C1013" s="2437" t="s">
        <v>1298</v>
      </c>
      <c r="D1013" s="2436" t="s">
        <v>307</v>
      </c>
    </row>
    <row r="1014" spans="2:4" x14ac:dyDescent="0.25">
      <c r="B1014" s="2435">
        <v>71015</v>
      </c>
      <c r="C1014" s="2437" t="s">
        <v>1299</v>
      </c>
      <c r="D1014" s="2436" t="s">
        <v>305</v>
      </c>
    </row>
    <row r="1015" spans="2:4" x14ac:dyDescent="0.25">
      <c r="B1015" s="2435">
        <v>7070</v>
      </c>
      <c r="C1015" s="2437" t="s">
        <v>1300</v>
      </c>
      <c r="D1015" s="2436" t="s">
        <v>315</v>
      </c>
    </row>
    <row r="1016" spans="2:4" x14ac:dyDescent="0.25">
      <c r="B1016" s="2435">
        <v>48045</v>
      </c>
      <c r="C1016" s="2437" t="s">
        <v>1301</v>
      </c>
      <c r="D1016" s="2436" t="s">
        <v>305</v>
      </c>
    </row>
    <row r="1017" spans="2:4" x14ac:dyDescent="0.25">
      <c r="B1017" s="2435">
        <v>29005</v>
      </c>
      <c r="C1017" s="2437" t="s">
        <v>1302</v>
      </c>
      <c r="D1017" s="2436" t="s">
        <v>307</v>
      </c>
    </row>
    <row r="1018" spans="2:4" x14ac:dyDescent="0.25">
      <c r="B1018" s="2435">
        <v>61027</v>
      </c>
      <c r="C1018" s="2437" t="s">
        <v>1303</v>
      </c>
      <c r="D1018" s="2436" t="s">
        <v>369</v>
      </c>
    </row>
    <row r="1019" spans="2:4" x14ac:dyDescent="0.25">
      <c r="B1019" s="2435">
        <v>92045</v>
      </c>
      <c r="C1019" s="2437" t="s">
        <v>1304</v>
      </c>
      <c r="D1019" s="2436" t="s">
        <v>313</v>
      </c>
    </row>
    <row r="1020" spans="2:4" x14ac:dyDescent="0.25">
      <c r="B1020" s="2435">
        <v>34085</v>
      </c>
      <c r="C1020" s="2437" t="s">
        <v>1305</v>
      </c>
      <c r="D1020" s="2436" t="s">
        <v>345</v>
      </c>
    </row>
    <row r="1021" spans="2:4" x14ac:dyDescent="0.25">
      <c r="B1021" s="2435">
        <v>35027</v>
      </c>
      <c r="C1021" s="2437" t="s">
        <v>1306</v>
      </c>
      <c r="D1021" s="2436" t="s">
        <v>352</v>
      </c>
    </row>
    <row r="1022" spans="2:4" x14ac:dyDescent="0.25">
      <c r="B1022" s="2435">
        <v>21005</v>
      </c>
      <c r="C1022" s="2437" t="s">
        <v>1307</v>
      </c>
      <c r="D1022" s="2436" t="s">
        <v>345</v>
      </c>
    </row>
    <row r="1023" spans="2:4" x14ac:dyDescent="0.25">
      <c r="B1023" s="2435">
        <v>34090</v>
      </c>
      <c r="C1023" s="2437" t="s">
        <v>1308</v>
      </c>
      <c r="D1023" s="2436" t="s">
        <v>345</v>
      </c>
    </row>
    <row r="1024" spans="2:4" x14ac:dyDescent="0.25">
      <c r="B1024" s="2435">
        <v>8073</v>
      </c>
      <c r="C1024" s="2437" t="s">
        <v>1309</v>
      </c>
      <c r="D1024" s="2436" t="s">
        <v>315</v>
      </c>
    </row>
    <row r="1025" spans="2:4" x14ac:dyDescent="0.25">
      <c r="B1025" s="2435">
        <v>16055</v>
      </c>
      <c r="C1025" s="2437" t="s">
        <v>1310</v>
      </c>
      <c r="D1025" s="2436" t="s">
        <v>345</v>
      </c>
    </row>
    <row r="1026" spans="2:4" x14ac:dyDescent="0.25">
      <c r="B1026" s="2435">
        <v>70005</v>
      </c>
      <c r="C1026" s="2437" t="s">
        <v>1311</v>
      </c>
      <c r="D1026" s="2436" t="s">
        <v>305</v>
      </c>
    </row>
    <row r="1027" spans="2:4" x14ac:dyDescent="0.25">
      <c r="B1027" s="2435">
        <v>56030</v>
      </c>
      <c r="C1027" s="2437" t="s">
        <v>1312</v>
      </c>
      <c r="D1027" s="2436" t="s">
        <v>305</v>
      </c>
    </row>
    <row r="1028" spans="2:4" x14ac:dyDescent="0.25">
      <c r="B1028" s="2435">
        <v>39135</v>
      </c>
      <c r="C1028" s="2437" t="s">
        <v>1313</v>
      </c>
      <c r="D1028" s="2436" t="s">
        <v>329</v>
      </c>
    </row>
    <row r="1029" spans="2:4" x14ac:dyDescent="0.25">
      <c r="B1029" s="2435">
        <v>10060</v>
      </c>
      <c r="C1029" s="2437" t="s">
        <v>1314</v>
      </c>
      <c r="D1029" s="2436" t="s">
        <v>315</v>
      </c>
    </row>
    <row r="1030" spans="2:4" x14ac:dyDescent="0.25">
      <c r="B1030" s="2435">
        <v>54065</v>
      </c>
      <c r="C1030" s="2437" t="s">
        <v>1315</v>
      </c>
      <c r="D1030" s="2436" t="s">
        <v>305</v>
      </c>
    </row>
    <row r="1031" spans="2:4" x14ac:dyDescent="0.25">
      <c r="B1031" s="2435">
        <v>19117</v>
      </c>
      <c r="C1031" s="2437" t="s">
        <v>1316</v>
      </c>
      <c r="D1031" s="2436" t="s">
        <v>307</v>
      </c>
    </row>
    <row r="1032" spans="2:4" x14ac:dyDescent="0.25">
      <c r="B1032" s="2435">
        <v>44005</v>
      </c>
      <c r="C1032" s="2437" t="s">
        <v>1317</v>
      </c>
      <c r="D1032" s="2436" t="s">
        <v>303</v>
      </c>
    </row>
    <row r="1033" spans="2:4" x14ac:dyDescent="0.25">
      <c r="B1033" s="2435">
        <v>7075</v>
      </c>
      <c r="C1033" s="2437" t="s">
        <v>1318</v>
      </c>
      <c r="D1033" s="2436" t="s">
        <v>315</v>
      </c>
    </row>
    <row r="1034" spans="2:4" x14ac:dyDescent="0.25">
      <c r="B1034" s="2435">
        <v>27008</v>
      </c>
      <c r="C1034" s="2437" t="s">
        <v>1319</v>
      </c>
      <c r="D1034" s="2436" t="s">
        <v>307</v>
      </c>
    </row>
    <row r="1035" spans="2:4" x14ac:dyDescent="0.25">
      <c r="B1035" s="2435">
        <v>50023</v>
      </c>
      <c r="C1035" s="2437" t="s">
        <v>1320</v>
      </c>
      <c r="D1035" s="2436" t="s">
        <v>329</v>
      </c>
    </row>
    <row r="1036" spans="2:4" x14ac:dyDescent="0.25">
      <c r="B1036" s="2435">
        <v>28005</v>
      </c>
      <c r="C1036" s="2437" t="s">
        <v>1321</v>
      </c>
      <c r="D1036" s="2436" t="s">
        <v>307</v>
      </c>
    </row>
    <row r="1037" spans="2:4" x14ac:dyDescent="0.25">
      <c r="B1037" s="2435">
        <v>62080</v>
      </c>
      <c r="C1037" s="2437" t="s">
        <v>1322</v>
      </c>
      <c r="D1037" s="2436" t="s">
        <v>369</v>
      </c>
    </row>
    <row r="1038" spans="2:4" x14ac:dyDescent="0.25">
      <c r="B1038" s="2435">
        <v>7035</v>
      </c>
      <c r="C1038" s="2437" t="s">
        <v>1323</v>
      </c>
      <c r="D1038" s="2436" t="s">
        <v>315</v>
      </c>
    </row>
    <row r="1039" spans="2:4" x14ac:dyDescent="0.25">
      <c r="B1039" s="2435">
        <v>50090</v>
      </c>
      <c r="C1039" s="2437" t="s">
        <v>1324</v>
      </c>
      <c r="D1039" s="2436" t="s">
        <v>329</v>
      </c>
    </row>
    <row r="1040" spans="2:4" x14ac:dyDescent="0.25">
      <c r="B1040" s="2435">
        <v>71025</v>
      </c>
      <c r="C1040" s="2437" t="s">
        <v>1325</v>
      </c>
      <c r="D1040" s="2436" t="s">
        <v>305</v>
      </c>
    </row>
    <row r="1041" spans="2:4" x14ac:dyDescent="0.25">
      <c r="B1041" s="2435">
        <v>70052</v>
      </c>
      <c r="C1041" s="2437" t="s">
        <v>1326</v>
      </c>
      <c r="D1041" s="2436" t="s">
        <v>305</v>
      </c>
    </row>
    <row r="1042" spans="2:4" x14ac:dyDescent="0.25">
      <c r="B1042" s="2435">
        <v>99135</v>
      </c>
      <c r="C1042" s="2437" t="s">
        <v>1327</v>
      </c>
      <c r="D1042" s="2436" t="s">
        <v>311</v>
      </c>
    </row>
    <row r="1043" spans="2:4" x14ac:dyDescent="0.25">
      <c r="B1043" s="2435">
        <v>7085</v>
      </c>
      <c r="C1043" s="2437" t="s">
        <v>1328</v>
      </c>
      <c r="D1043" s="2436" t="s">
        <v>315</v>
      </c>
    </row>
    <row r="1044" spans="2:4" x14ac:dyDescent="0.25">
      <c r="B1044" s="2435">
        <v>97040</v>
      </c>
      <c r="C1044" s="2437" t="s">
        <v>1329</v>
      </c>
      <c r="D1044" s="2436" t="s">
        <v>309</v>
      </c>
    </row>
    <row r="1045" spans="2:4" x14ac:dyDescent="0.25">
      <c r="B1045" s="2435">
        <v>41080</v>
      </c>
      <c r="C1045" s="2437" t="s">
        <v>1330</v>
      </c>
      <c r="D1045" s="2436" t="s">
        <v>303</v>
      </c>
    </row>
    <row r="1046" spans="2:4" x14ac:dyDescent="0.25">
      <c r="B1046" s="2435">
        <v>26048</v>
      </c>
      <c r="C1046" s="2437" t="s">
        <v>1331</v>
      </c>
      <c r="D1046" s="2436" t="s">
        <v>307</v>
      </c>
    </row>
    <row r="1047" spans="2:4" x14ac:dyDescent="0.25">
      <c r="B1047" s="2435">
        <v>89045</v>
      </c>
      <c r="C1047" s="2437" t="s">
        <v>1332</v>
      </c>
      <c r="D1047" s="2436" t="s">
        <v>322</v>
      </c>
    </row>
    <row r="1048" spans="2:4" x14ac:dyDescent="0.25">
      <c r="B1048" s="2435">
        <v>89040</v>
      </c>
      <c r="C1048" s="2437" t="s">
        <v>1332</v>
      </c>
      <c r="D1048" s="2436" t="s">
        <v>322</v>
      </c>
    </row>
    <row r="1049" spans="2:4" x14ac:dyDescent="0.25">
      <c r="B1049" s="2435">
        <v>66127</v>
      </c>
      <c r="C1049" s="2437" t="s">
        <v>1333</v>
      </c>
      <c r="D1049" s="2436" t="s">
        <v>342</v>
      </c>
    </row>
    <row r="1050" spans="2:4" x14ac:dyDescent="0.25">
      <c r="B1050" s="2435">
        <v>97007</v>
      </c>
      <c r="C1050" s="2437" t="s">
        <v>1334</v>
      </c>
      <c r="D1050" s="2436" t="s">
        <v>309</v>
      </c>
    </row>
    <row r="1051" spans="2:4" x14ac:dyDescent="0.25">
      <c r="B1051" s="2435">
        <v>22020</v>
      </c>
      <c r="C1051" s="2437" t="s">
        <v>1335</v>
      </c>
      <c r="D1051" s="2436" t="s">
        <v>345</v>
      </c>
    </row>
    <row r="1052" spans="2:4" x14ac:dyDescent="0.25">
      <c r="B1052" s="2435">
        <v>36033</v>
      </c>
      <c r="C1052" s="2437" t="s">
        <v>1336</v>
      </c>
      <c r="D1052" s="2436" t="s">
        <v>352</v>
      </c>
    </row>
    <row r="1053" spans="2:4" x14ac:dyDescent="0.25">
      <c r="B1053" s="2435">
        <v>84010</v>
      </c>
      <c r="C1053" s="2437" t="s">
        <v>1337</v>
      </c>
      <c r="D1053" s="2436" t="s">
        <v>317</v>
      </c>
    </row>
    <row r="1054" spans="2:4" x14ac:dyDescent="0.25">
      <c r="B1054" s="2435">
        <v>84095</v>
      </c>
      <c r="C1054" s="2437" t="s">
        <v>1338</v>
      </c>
      <c r="D1054" s="2436" t="s">
        <v>317</v>
      </c>
    </row>
    <row r="1055" spans="2:4" x14ac:dyDescent="0.25">
      <c r="B1055" s="2435">
        <v>47035</v>
      </c>
      <c r="C1055" s="2437" t="s">
        <v>1339</v>
      </c>
      <c r="D1055" s="2436" t="s">
        <v>303</v>
      </c>
    </row>
    <row r="1056" spans="2:4" x14ac:dyDescent="0.25">
      <c r="B1056" s="2435">
        <v>43027</v>
      </c>
      <c r="C1056" s="2437" t="s">
        <v>1340</v>
      </c>
      <c r="D1056" s="2436" t="s">
        <v>303</v>
      </c>
    </row>
    <row r="1057" spans="2:4" x14ac:dyDescent="0.25">
      <c r="B1057" s="2435">
        <v>5010</v>
      </c>
      <c r="C1057" s="2437" t="s">
        <v>1341</v>
      </c>
      <c r="D1057" s="2436" t="s">
        <v>383</v>
      </c>
    </row>
    <row r="1058" spans="2:4" x14ac:dyDescent="0.25">
      <c r="B1058" s="2435">
        <v>53052</v>
      </c>
      <c r="C1058" s="2437" t="s">
        <v>1342</v>
      </c>
      <c r="D1058" s="2436" t="s">
        <v>305</v>
      </c>
    </row>
    <row r="1059" spans="2:4" x14ac:dyDescent="0.25">
      <c r="B1059" s="2435">
        <v>46045</v>
      </c>
      <c r="C1059" s="2437" t="s">
        <v>1343</v>
      </c>
      <c r="D1059" s="2436" t="s">
        <v>303</v>
      </c>
    </row>
    <row r="1060" spans="2:4" x14ac:dyDescent="0.25">
      <c r="B1060" s="2435">
        <v>46030</v>
      </c>
      <c r="C1060" s="2437" t="s">
        <v>1344</v>
      </c>
      <c r="D1060" s="2436" t="s">
        <v>303</v>
      </c>
    </row>
    <row r="1061" spans="2:4" x14ac:dyDescent="0.25">
      <c r="B1061" s="2435">
        <v>45025</v>
      </c>
      <c r="C1061" s="2437" t="s">
        <v>1345</v>
      </c>
      <c r="D1061" s="2436" t="s">
        <v>303</v>
      </c>
    </row>
    <row r="1062" spans="2:4" x14ac:dyDescent="0.25">
      <c r="B1062" s="2435">
        <v>45008</v>
      </c>
      <c r="C1062" s="2437" t="s">
        <v>1345</v>
      </c>
      <c r="D1062" s="2436" t="s">
        <v>303</v>
      </c>
    </row>
    <row r="1063" spans="2:4" x14ac:dyDescent="0.25">
      <c r="B1063" s="2435">
        <v>44050</v>
      </c>
      <c r="C1063" s="2437" t="s">
        <v>1346</v>
      </c>
      <c r="D1063" s="2436" t="s">
        <v>303</v>
      </c>
    </row>
    <row r="1064" spans="2:4" x14ac:dyDescent="0.25">
      <c r="B1064" s="2435">
        <v>22005</v>
      </c>
      <c r="C1064" s="2437" t="s">
        <v>1347</v>
      </c>
      <c r="D1064" s="2436" t="s">
        <v>345</v>
      </c>
    </row>
    <row r="1065" spans="2:4" x14ac:dyDescent="0.25">
      <c r="B1065" s="2435">
        <v>42005</v>
      </c>
      <c r="C1065" s="2437" t="s">
        <v>1348</v>
      </c>
      <c r="D1065" s="2436" t="s">
        <v>303</v>
      </c>
    </row>
    <row r="1066" spans="2:4" x14ac:dyDescent="0.25">
      <c r="B1066" s="2435">
        <v>22035</v>
      </c>
      <c r="C1066" s="2437" t="s">
        <v>1349</v>
      </c>
      <c r="D1066" s="2436" t="s">
        <v>345</v>
      </c>
    </row>
    <row r="1067" spans="2:4" x14ac:dyDescent="0.25">
      <c r="B1067" s="2435">
        <v>30105</v>
      </c>
      <c r="C1067" s="2437" t="s">
        <v>1350</v>
      </c>
      <c r="D1067" s="2436" t="s">
        <v>303</v>
      </c>
    </row>
    <row r="1068" spans="2:4" x14ac:dyDescent="0.25">
      <c r="B1068" s="2435">
        <v>30110</v>
      </c>
      <c r="C1068" s="2437" t="s">
        <v>1351</v>
      </c>
      <c r="D1068" s="2436" t="s">
        <v>303</v>
      </c>
    </row>
    <row r="1069" spans="2:4" x14ac:dyDescent="0.25">
      <c r="B1069" s="2435">
        <v>45105</v>
      </c>
      <c r="C1069" s="2437" t="s">
        <v>1352</v>
      </c>
      <c r="D1069" s="2436" t="s">
        <v>303</v>
      </c>
    </row>
    <row r="1070" spans="2:4" x14ac:dyDescent="0.25">
      <c r="B1070" s="2435">
        <v>46058</v>
      </c>
      <c r="C1070" s="2437" t="s">
        <v>1353</v>
      </c>
      <c r="D1070" s="2436" t="s">
        <v>303</v>
      </c>
    </row>
    <row r="1071" spans="2:4" x14ac:dyDescent="0.25">
      <c r="B1071" s="2435">
        <v>95005</v>
      </c>
      <c r="C1071" s="2437" t="s">
        <v>1354</v>
      </c>
      <c r="D1071" s="2436" t="s">
        <v>309</v>
      </c>
    </row>
    <row r="1072" spans="2:4" x14ac:dyDescent="0.25">
      <c r="B1072" s="2435">
        <v>87042</v>
      </c>
      <c r="C1072" s="2437" t="s">
        <v>1355</v>
      </c>
      <c r="D1072" s="2436" t="s">
        <v>322</v>
      </c>
    </row>
    <row r="1073" spans="2:4" x14ac:dyDescent="0.25">
      <c r="B1073" s="2435">
        <v>99100</v>
      </c>
      <c r="C1073" s="2437" t="s">
        <v>1356</v>
      </c>
      <c r="D1073" s="2436" t="s">
        <v>311</v>
      </c>
    </row>
    <row r="1074" spans="2:4" x14ac:dyDescent="0.25">
      <c r="B1074" s="2435">
        <v>85005</v>
      </c>
      <c r="C1074" s="2437" t="s">
        <v>1357</v>
      </c>
      <c r="D1074" s="2436" t="s">
        <v>322</v>
      </c>
    </row>
    <row r="1075" spans="2:4" x14ac:dyDescent="0.25">
      <c r="B1075" s="2435">
        <v>13073</v>
      </c>
      <c r="C1075" s="2437" t="s">
        <v>1358</v>
      </c>
      <c r="D1075" s="2436" t="s">
        <v>315</v>
      </c>
    </row>
    <row r="1076" spans="2:4" x14ac:dyDescent="0.25">
      <c r="B1076" s="2435">
        <v>71075</v>
      </c>
      <c r="C1076" s="2437" t="s">
        <v>1359</v>
      </c>
      <c r="D1076" s="2436" t="s">
        <v>305</v>
      </c>
    </row>
    <row r="1077" spans="2:4" x14ac:dyDescent="0.25">
      <c r="B1077" s="2435">
        <v>64008</v>
      </c>
      <c r="C1077" s="2437" t="s">
        <v>1360</v>
      </c>
      <c r="D1077" s="2436" t="s">
        <v>369</v>
      </c>
    </row>
    <row r="1078" spans="2:4" x14ac:dyDescent="0.25">
      <c r="B1078" s="2435">
        <v>31084</v>
      </c>
      <c r="C1078" s="2437" t="s">
        <v>1361</v>
      </c>
      <c r="D1078" s="2436" t="s">
        <v>307</v>
      </c>
    </row>
    <row r="1079" spans="2:4" x14ac:dyDescent="0.25">
      <c r="B1079" s="2435">
        <v>84045</v>
      </c>
      <c r="C1079" s="2437" t="s">
        <v>1362</v>
      </c>
      <c r="D1079" s="2436" t="s">
        <v>317</v>
      </c>
    </row>
    <row r="1080" spans="2:4" x14ac:dyDescent="0.25">
      <c r="B1080" s="2435">
        <v>80050</v>
      </c>
      <c r="C1080" s="2437" t="s">
        <v>1363</v>
      </c>
      <c r="D1080" s="2436" t="s">
        <v>317</v>
      </c>
    </row>
    <row r="1081" spans="2:4" x14ac:dyDescent="0.25">
      <c r="B1081" s="2435">
        <v>39025</v>
      </c>
      <c r="C1081" s="2437" t="s">
        <v>1364</v>
      </c>
      <c r="D1081" s="2436" t="s">
        <v>329</v>
      </c>
    </row>
    <row r="1082" spans="2:4" x14ac:dyDescent="0.25">
      <c r="B1082" s="2435">
        <v>17035</v>
      </c>
      <c r="C1082" s="2437" t="s">
        <v>1365</v>
      </c>
      <c r="D1082" s="2436" t="s">
        <v>307</v>
      </c>
    </row>
    <row r="1083" spans="2:4" x14ac:dyDescent="0.25">
      <c r="B1083" s="2435">
        <v>88075</v>
      </c>
      <c r="C1083" s="2437" t="s">
        <v>1366</v>
      </c>
      <c r="D1083" s="2436" t="s">
        <v>322</v>
      </c>
    </row>
    <row r="1084" spans="2:4" x14ac:dyDescent="0.25">
      <c r="B1084" s="2435">
        <v>71125</v>
      </c>
      <c r="C1084" s="2437" t="s">
        <v>1367</v>
      </c>
      <c r="D1084" s="2436" t="s">
        <v>305</v>
      </c>
    </row>
    <row r="1085" spans="2:4" x14ac:dyDescent="0.25">
      <c r="B1085" s="2435">
        <v>69030</v>
      </c>
      <c r="C1085" s="2437" t="s">
        <v>1368</v>
      </c>
      <c r="D1085" s="2436" t="s">
        <v>305</v>
      </c>
    </row>
    <row r="1086" spans="2:4" x14ac:dyDescent="0.25">
      <c r="B1086" s="2435">
        <v>27060</v>
      </c>
      <c r="C1086" s="2437" t="s">
        <v>1369</v>
      </c>
      <c r="D1086" s="2436" t="s">
        <v>307</v>
      </c>
    </row>
    <row r="1087" spans="2:4" x14ac:dyDescent="0.25">
      <c r="B1087" s="2435">
        <v>11040</v>
      </c>
      <c r="C1087" s="2437" t="s">
        <v>1370</v>
      </c>
      <c r="D1087" s="2436" t="s">
        <v>315</v>
      </c>
    </row>
    <row r="1088" spans="2:4" x14ac:dyDescent="0.25">
      <c r="B1088" s="2435">
        <v>35055</v>
      </c>
      <c r="C1088" s="2437" t="s">
        <v>1371</v>
      </c>
      <c r="D1088" s="2436" t="s">
        <v>352</v>
      </c>
    </row>
    <row r="1089" spans="2:4" x14ac:dyDescent="0.25">
      <c r="B1089" s="2435">
        <v>37067</v>
      </c>
      <c r="C1089" s="2437" t="s">
        <v>1372</v>
      </c>
      <c r="D1089" s="2436" t="s">
        <v>352</v>
      </c>
    </row>
    <row r="1090" spans="2:4" x14ac:dyDescent="0.25">
      <c r="B1090" s="2435">
        <v>42078</v>
      </c>
      <c r="C1090" s="2437" t="s">
        <v>1373</v>
      </c>
      <c r="D1090" s="2436" t="s">
        <v>303</v>
      </c>
    </row>
    <row r="1091" spans="2:4" x14ac:dyDescent="0.25">
      <c r="B1091" s="2435">
        <v>99080</v>
      </c>
      <c r="C1091" s="2437" t="s">
        <v>1374</v>
      </c>
      <c r="D1091" s="2436" t="s">
        <v>311</v>
      </c>
    </row>
    <row r="1092" spans="2:4" x14ac:dyDescent="0.25">
      <c r="B1092" s="2435">
        <v>48038</v>
      </c>
      <c r="C1092" s="2437" t="s">
        <v>1375</v>
      </c>
      <c r="D1092" s="2436" t="s">
        <v>305</v>
      </c>
    </row>
    <row r="1093" spans="2:4" x14ac:dyDescent="0.25">
      <c r="B1093" s="2435">
        <v>33070</v>
      </c>
      <c r="C1093" s="2437" t="s">
        <v>1376</v>
      </c>
      <c r="D1093" s="2436" t="s">
        <v>307</v>
      </c>
    </row>
    <row r="1094" spans="2:4" x14ac:dyDescent="0.25">
      <c r="B1094" s="2435">
        <v>7080</v>
      </c>
      <c r="C1094" s="2437" t="s">
        <v>1377</v>
      </c>
      <c r="D1094" s="2436" t="s">
        <v>315</v>
      </c>
    </row>
    <row r="1095" spans="2:4" x14ac:dyDescent="0.25">
      <c r="B1095" s="2435">
        <v>42055</v>
      </c>
      <c r="C1095" s="2437" t="s">
        <v>1378</v>
      </c>
      <c r="D1095" s="2436" t="s">
        <v>303</v>
      </c>
    </row>
    <row r="1096" spans="2:4" x14ac:dyDescent="0.25">
      <c r="B1096" s="2435">
        <v>42060</v>
      </c>
      <c r="C1096" s="2437" t="s">
        <v>1378</v>
      </c>
      <c r="D1096" s="2436" t="s">
        <v>303</v>
      </c>
    </row>
    <row r="1097" spans="2:4" x14ac:dyDescent="0.25">
      <c r="B1097" s="2435">
        <v>78010</v>
      </c>
      <c r="C1097" s="2437" t="s">
        <v>1379</v>
      </c>
      <c r="D1097" s="2436" t="s">
        <v>320</v>
      </c>
    </row>
    <row r="1098" spans="2:4" x14ac:dyDescent="0.25">
      <c r="B1098" s="2435">
        <v>80140</v>
      </c>
      <c r="C1098" s="2437" t="s">
        <v>1380</v>
      </c>
      <c r="D1098" s="2436" t="s">
        <v>317</v>
      </c>
    </row>
    <row r="1099" spans="2:4" x14ac:dyDescent="0.25">
      <c r="B1099" s="2435">
        <v>78100</v>
      </c>
      <c r="C1099" s="2437" t="s">
        <v>1381</v>
      </c>
      <c r="D1099" s="2436" t="s">
        <v>320</v>
      </c>
    </row>
    <row r="1100" spans="2:4" x14ac:dyDescent="0.25">
      <c r="B1100" s="2435">
        <v>82015</v>
      </c>
      <c r="C1100" s="2437" t="s">
        <v>1382</v>
      </c>
      <c r="D1100" s="2436" t="s">
        <v>317</v>
      </c>
    </row>
    <row r="1101" spans="2:4" x14ac:dyDescent="0.25">
      <c r="B1101" s="2435">
        <v>40043</v>
      </c>
      <c r="C1101" s="2437" t="s">
        <v>1383</v>
      </c>
      <c r="D1101" s="2436" t="s">
        <v>303</v>
      </c>
    </row>
    <row r="1102" spans="2:4" x14ac:dyDescent="0.25">
      <c r="B1102" s="2435">
        <v>89008</v>
      </c>
      <c r="C1102" s="2437" t="s">
        <v>1384</v>
      </c>
      <c r="D1102" s="2436" t="s">
        <v>322</v>
      </c>
    </row>
    <row r="1103" spans="2:4" x14ac:dyDescent="0.25">
      <c r="B1103" s="2435">
        <v>42095</v>
      </c>
      <c r="C1103" s="2437" t="s">
        <v>1385</v>
      </c>
      <c r="D1103" s="2436" t="s">
        <v>303</v>
      </c>
    </row>
    <row r="1104" spans="2:4" x14ac:dyDescent="0.25">
      <c r="B1104" s="2435">
        <v>26015</v>
      </c>
      <c r="C1104" s="2437" t="s">
        <v>1386</v>
      </c>
      <c r="D1104" s="2436" t="s">
        <v>307</v>
      </c>
    </row>
    <row r="1105" spans="2:4" x14ac:dyDescent="0.25">
      <c r="B1105" s="2435">
        <v>78005</v>
      </c>
      <c r="C1105" s="2437" t="s">
        <v>1387</v>
      </c>
      <c r="D1105" s="2436" t="s">
        <v>320</v>
      </c>
    </row>
    <row r="1106" spans="2:4" x14ac:dyDescent="0.25">
      <c r="B1106" s="2435">
        <v>30015</v>
      </c>
      <c r="C1106" s="2437" t="s">
        <v>1388</v>
      </c>
      <c r="D1106" s="2436" t="s">
        <v>303</v>
      </c>
    </row>
    <row r="1107" spans="2:4" x14ac:dyDescent="0.25">
      <c r="B1107" s="2435">
        <v>87105</v>
      </c>
      <c r="C1107" s="2437" t="s">
        <v>1389</v>
      </c>
      <c r="D1107" s="2436" t="s">
        <v>322</v>
      </c>
    </row>
    <row r="1108" spans="2:4" x14ac:dyDescent="0.25">
      <c r="B1108" s="2435">
        <v>59020</v>
      </c>
      <c r="C1108" s="2437" t="s">
        <v>1390</v>
      </c>
      <c r="D1108" s="2436" t="s">
        <v>305</v>
      </c>
    </row>
    <row r="1109" spans="2:4" x14ac:dyDescent="0.25">
      <c r="B1109" s="2435">
        <v>71083</v>
      </c>
      <c r="C1109" s="2437" t="s">
        <v>1391</v>
      </c>
      <c r="D1109" s="2436" t="s">
        <v>305</v>
      </c>
    </row>
    <row r="1110" spans="2:4" x14ac:dyDescent="0.25">
      <c r="B1110" s="2435">
        <v>71090</v>
      </c>
      <c r="C1110" s="2437" t="s">
        <v>1392</v>
      </c>
      <c r="D1110" s="2436" t="s">
        <v>305</v>
      </c>
    </row>
    <row r="1111" spans="2:4" x14ac:dyDescent="0.25">
      <c r="B1111" s="2435">
        <v>56005</v>
      </c>
      <c r="C1111" s="2437" t="s">
        <v>1393</v>
      </c>
      <c r="D1111" s="2436" t="s">
        <v>305</v>
      </c>
    </row>
    <row r="1112" spans="2:4" x14ac:dyDescent="0.25">
      <c r="B1112" s="2435">
        <v>59025</v>
      </c>
      <c r="C1112" s="2437" t="s">
        <v>1394</v>
      </c>
      <c r="D1112" s="2436" t="s">
        <v>305</v>
      </c>
    </row>
    <row r="1113" spans="2:4" x14ac:dyDescent="0.25">
      <c r="B1113" s="2435">
        <v>39062</v>
      </c>
      <c r="C1113" s="2437" t="s">
        <v>1395</v>
      </c>
      <c r="D1113" s="2436" t="s">
        <v>329</v>
      </c>
    </row>
    <row r="1114" spans="2:4" x14ac:dyDescent="0.25">
      <c r="B1114" s="2435">
        <v>85025</v>
      </c>
      <c r="C1114" s="2437" t="s">
        <v>1396</v>
      </c>
      <c r="D1114" s="2436" t="s">
        <v>322</v>
      </c>
    </row>
    <row r="1115" spans="2:4" x14ac:dyDescent="0.25">
      <c r="B1115" s="2435">
        <v>32085</v>
      </c>
      <c r="C1115" s="2437" t="s">
        <v>1397</v>
      </c>
      <c r="D1115" s="2436" t="s">
        <v>329</v>
      </c>
    </row>
    <row r="1116" spans="2:4" x14ac:dyDescent="0.25">
      <c r="B1116" s="2435">
        <v>84070</v>
      </c>
      <c r="C1116" s="2437" t="s">
        <v>1398</v>
      </c>
      <c r="D1116" s="2436" t="s">
        <v>317</v>
      </c>
    </row>
    <row r="1117" spans="2:4" x14ac:dyDescent="0.25">
      <c r="B1117" s="2435">
        <v>47030</v>
      </c>
      <c r="C1117" s="2437" t="s">
        <v>1399</v>
      </c>
      <c r="D1117" s="2436" t="s">
        <v>303</v>
      </c>
    </row>
    <row r="1118" spans="2:4" x14ac:dyDescent="0.25">
      <c r="B1118" s="2435">
        <v>39077</v>
      </c>
      <c r="C1118" s="2437" t="s">
        <v>1400</v>
      </c>
      <c r="D1118" s="2436" t="s">
        <v>329</v>
      </c>
    </row>
    <row r="1119" spans="2:4" x14ac:dyDescent="0.25">
      <c r="B1119" s="2435">
        <v>99035</v>
      </c>
      <c r="C1119" s="2437" t="s">
        <v>1401</v>
      </c>
      <c r="D1119" s="2436" t="s">
        <v>311</v>
      </c>
    </row>
    <row r="1120" spans="2:4" x14ac:dyDescent="0.25">
      <c r="B1120" s="2435">
        <v>99010</v>
      </c>
      <c r="C1120" s="2437" t="s">
        <v>1402</v>
      </c>
      <c r="D1120" s="2436" t="s">
        <v>311</v>
      </c>
    </row>
    <row r="1121" spans="2:4" x14ac:dyDescent="0.25">
      <c r="B1121" s="2435">
        <v>47025</v>
      </c>
      <c r="C1121" s="2437" t="s">
        <v>1403</v>
      </c>
      <c r="D1121" s="2436" t="s">
        <v>303</v>
      </c>
    </row>
    <row r="1122" spans="2:4" x14ac:dyDescent="0.25">
      <c r="B1122" s="2435">
        <v>44080</v>
      </c>
      <c r="C1122" s="2437" t="s">
        <v>1404</v>
      </c>
      <c r="D1122" s="2436" t="s">
        <v>303</v>
      </c>
    </row>
    <row r="1123" spans="2:4" x14ac:dyDescent="0.25">
      <c r="B1123" s="2435">
        <v>41098</v>
      </c>
      <c r="C1123" s="2437" t="s">
        <v>1405</v>
      </c>
      <c r="D1123" s="2436" t="s">
        <v>303</v>
      </c>
    </row>
    <row r="1124" spans="2:4" x14ac:dyDescent="0.25">
      <c r="B1124" s="2435">
        <v>99050</v>
      </c>
      <c r="C1124" s="2437" t="s">
        <v>1406</v>
      </c>
      <c r="D1124" s="2436" t="s">
        <v>311</v>
      </c>
    </row>
    <row r="1125" spans="2:4" x14ac:dyDescent="0.25">
      <c r="B1125" s="2435">
        <v>76035</v>
      </c>
      <c r="C1125" s="2437" t="s">
        <v>1407</v>
      </c>
      <c r="D1125" s="2436" t="s">
        <v>320</v>
      </c>
    </row>
    <row r="1126" spans="2:4" x14ac:dyDescent="0.25">
      <c r="B1126" s="2435">
        <v>77060</v>
      </c>
      <c r="C1126" s="2437" t="s">
        <v>1408</v>
      </c>
      <c r="D1126" s="2436" t="s">
        <v>320</v>
      </c>
    </row>
    <row r="1127" spans="2:4" x14ac:dyDescent="0.25">
      <c r="B1127" s="2435">
        <v>41065</v>
      </c>
      <c r="C1127" s="2437" t="s">
        <v>1409</v>
      </c>
      <c r="D1127" s="2436" t="s">
        <v>303</v>
      </c>
    </row>
    <row r="1128" spans="2:4" x14ac:dyDescent="0.25">
      <c r="B1128" s="2435">
        <v>66032</v>
      </c>
      <c r="C1128" s="2437" t="s">
        <v>1410</v>
      </c>
      <c r="D1128" s="2436" t="s">
        <v>342</v>
      </c>
    </row>
    <row r="1129" spans="2:4" x14ac:dyDescent="0.25">
      <c r="B1129" s="2435">
        <v>99070</v>
      </c>
      <c r="C1129" s="2437" t="s">
        <v>1411</v>
      </c>
      <c r="D1129" s="2436" t="s">
        <v>311</v>
      </c>
    </row>
    <row r="1130" spans="2:4" x14ac:dyDescent="0.25">
      <c r="B1130" s="2435">
        <v>49040</v>
      </c>
      <c r="C1130" s="2437" t="s">
        <v>1412</v>
      </c>
      <c r="D1130" s="2436" t="s">
        <v>329</v>
      </c>
    </row>
    <row r="1131" spans="2:4" x14ac:dyDescent="0.25">
      <c r="B1131" s="2435">
        <v>42088</v>
      </c>
      <c r="C1131" s="2437" t="s">
        <v>1413</v>
      </c>
      <c r="D1131" s="2436" t="s">
        <v>303</v>
      </c>
    </row>
    <row r="1132" spans="2:4" x14ac:dyDescent="0.25">
      <c r="B1132" s="2435">
        <v>40017</v>
      </c>
      <c r="C1132" s="2437" t="s">
        <v>1414</v>
      </c>
      <c r="D1132" s="2436" t="s">
        <v>303</v>
      </c>
    </row>
    <row r="1133" spans="2:4" x14ac:dyDescent="0.25">
      <c r="B1133" s="2435">
        <v>51020</v>
      </c>
      <c r="C1133" s="2437" t="s">
        <v>1415</v>
      </c>
      <c r="D1133" s="2436" t="s">
        <v>352</v>
      </c>
    </row>
    <row r="1134" spans="2:4" x14ac:dyDescent="0.25">
      <c r="B1134" s="2435">
        <v>53072</v>
      </c>
      <c r="C1134" s="2437" t="s">
        <v>1416</v>
      </c>
      <c r="D1134" s="2436" t="s">
        <v>305</v>
      </c>
    </row>
    <row r="1135" spans="2:4" x14ac:dyDescent="0.25">
      <c r="B1135" s="2435">
        <v>0</v>
      </c>
      <c r="C1135" s="2437" t="s">
        <v>2143</v>
      </c>
      <c r="D1135" s="2436" t="s">
        <v>2142</v>
      </c>
    </row>
    <row r="1136" spans="2:4" s="1" customFormat="1" x14ac:dyDescent="0.25"/>
    <row r="1137" s="1" customFormat="1" x14ac:dyDescent="0.25"/>
    <row r="1138" s="1" customFormat="1" x14ac:dyDescent="0.25"/>
    <row r="1139" s="1" customFormat="1" x14ac:dyDescent="0.25"/>
    <row r="1140" s="1" customFormat="1" x14ac:dyDescent="0.25"/>
    <row r="1141" s="1" customFormat="1" x14ac:dyDescent="0.25"/>
    <row r="1142" s="1" customFormat="1" x14ac:dyDescent="0.25"/>
    <row r="1143" s="1" customFormat="1" x14ac:dyDescent="0.25"/>
    <row r="1144" s="1" customFormat="1" x14ac:dyDescent="0.25"/>
    <row r="1145" s="1" customFormat="1" x14ac:dyDescent="0.25"/>
    <row r="1146" s="1" customFormat="1" x14ac:dyDescent="0.25"/>
    <row r="1147" s="1" customFormat="1" x14ac:dyDescent="0.25"/>
    <row r="1148" s="1" customFormat="1" x14ac:dyDescent="0.25"/>
    <row r="1149" s="1" customFormat="1" x14ac:dyDescent="0.25"/>
    <row r="1150" s="1" customFormat="1" x14ac:dyDescent="0.25"/>
    <row r="1151" s="1" customFormat="1" x14ac:dyDescent="0.25"/>
    <row r="1152" s="1" customFormat="1" x14ac:dyDescent="0.25"/>
    <row r="1153" s="1" customFormat="1" x14ac:dyDescent="0.25"/>
    <row r="1154" s="1" customFormat="1" x14ac:dyDescent="0.25"/>
    <row r="1155" s="1" customFormat="1" x14ac:dyDescent="0.25"/>
    <row r="1156" s="1" customFormat="1" x14ac:dyDescent="0.25"/>
    <row r="1157" s="1" customFormat="1" x14ac:dyDescent="0.25"/>
    <row r="1158" s="1" customFormat="1" x14ac:dyDescent="0.25"/>
    <row r="1159" s="1" customFormat="1" x14ac:dyDescent="0.25"/>
    <row r="1160" s="1" customFormat="1" x14ac:dyDescent="0.25"/>
    <row r="1161" s="1" customFormat="1" x14ac:dyDescent="0.25"/>
    <row r="1162" s="1" customFormat="1" x14ac:dyDescent="0.25"/>
    <row r="1163" s="1" customFormat="1" x14ac:dyDescent="0.25"/>
    <row r="1164" s="1" customFormat="1" x14ac:dyDescent="0.25"/>
    <row r="1165" s="1" customFormat="1" x14ac:dyDescent="0.25"/>
    <row r="1166" s="1" customFormat="1" x14ac:dyDescent="0.25"/>
    <row r="1167" s="1" customFormat="1" x14ac:dyDescent="0.25"/>
    <row r="1168" s="1" customFormat="1" x14ac:dyDescent="0.25"/>
    <row r="1169" s="1" customFormat="1" x14ac:dyDescent="0.25"/>
    <row r="1170" s="1" customFormat="1" x14ac:dyDescent="0.25"/>
    <row r="1171" s="1" customFormat="1" x14ac:dyDescent="0.25"/>
    <row r="1172" s="1" customFormat="1" x14ac:dyDescent="0.25"/>
    <row r="1173" s="1" customFormat="1" x14ac:dyDescent="0.25"/>
    <row r="1174" s="1" customFormat="1" x14ac:dyDescent="0.25"/>
    <row r="1175" s="1" customFormat="1" x14ac:dyDescent="0.25"/>
    <row r="1176" s="1" customFormat="1" x14ac:dyDescent="0.25"/>
    <row r="1177" s="1" customFormat="1" x14ac:dyDescent="0.25"/>
    <row r="1178" s="1" customFormat="1" x14ac:dyDescent="0.25"/>
    <row r="1179" s="1" customFormat="1" x14ac:dyDescent="0.25"/>
    <row r="1180" s="1" customFormat="1" x14ac:dyDescent="0.25"/>
    <row r="1181" s="1" customFormat="1" x14ac:dyDescent="0.25"/>
    <row r="1182" s="1" customFormat="1" x14ac:dyDescent="0.25"/>
    <row r="1183" s="1" customFormat="1" x14ac:dyDescent="0.25"/>
    <row r="1184" s="1" customFormat="1" x14ac:dyDescent="0.25"/>
    <row r="1185" s="1" customFormat="1" x14ac:dyDescent="0.25"/>
    <row r="1186" s="1" customFormat="1" x14ac:dyDescent="0.25"/>
    <row r="1187" s="1" customFormat="1" x14ac:dyDescent="0.25"/>
    <row r="1188" s="1" customFormat="1" x14ac:dyDescent="0.25"/>
    <row r="1189" s="1" customFormat="1" x14ac:dyDescent="0.25"/>
    <row r="1190" s="1" customFormat="1" x14ac:dyDescent="0.25"/>
    <row r="1191" s="1" customFormat="1" x14ac:dyDescent="0.25"/>
    <row r="1192" s="1" customFormat="1" x14ac:dyDescent="0.25"/>
    <row r="1193" s="1" customFormat="1" x14ac:dyDescent="0.25"/>
    <row r="1194" s="1" customFormat="1" x14ac:dyDescent="0.25"/>
    <row r="1195" s="1" customFormat="1" x14ac:dyDescent="0.25"/>
    <row r="1196" s="1" customFormat="1" x14ac:dyDescent="0.25"/>
    <row r="1197" s="1" customFormat="1" x14ac:dyDescent="0.25"/>
    <row r="1198" s="1" customFormat="1" x14ac:dyDescent="0.25"/>
    <row r="1199" s="1" customFormat="1" x14ac:dyDescent="0.25"/>
    <row r="1200" s="1" customFormat="1" x14ac:dyDescent="0.25"/>
    <row r="1201" s="1" customFormat="1" x14ac:dyDescent="0.25"/>
    <row r="1202" s="1" customFormat="1" x14ac:dyDescent="0.25"/>
    <row r="1203" s="1" customFormat="1" x14ac:dyDescent="0.25"/>
    <row r="1204" s="1" customFormat="1" x14ac:dyDescent="0.25"/>
    <row r="1205" s="1" customFormat="1" x14ac:dyDescent="0.25"/>
    <row r="1206" s="1" customFormat="1" x14ac:dyDescent="0.25"/>
    <row r="1207" s="1" customFormat="1" x14ac:dyDescent="0.25"/>
    <row r="1208" s="1" customFormat="1" x14ac:dyDescent="0.25"/>
    <row r="1209" s="1" customFormat="1" x14ac:dyDescent="0.25"/>
    <row r="1210" s="1" customFormat="1" x14ac:dyDescent="0.25"/>
    <row r="1211" s="1" customFormat="1" x14ac:dyDescent="0.25"/>
    <row r="1212" s="1" customFormat="1" x14ac:dyDescent="0.25"/>
    <row r="1213" s="1" customFormat="1" x14ac:dyDescent="0.25"/>
    <row r="1214" s="1" customFormat="1" x14ac:dyDescent="0.25"/>
    <row r="1215" s="1" customFormat="1" x14ac:dyDescent="0.25"/>
    <row r="1216" s="1" customFormat="1" x14ac:dyDescent="0.25"/>
    <row r="1217" s="1" customFormat="1" x14ac:dyDescent="0.25"/>
    <row r="1218" s="1" customFormat="1" x14ac:dyDescent="0.25"/>
    <row r="1219" s="1" customFormat="1" x14ac:dyDescent="0.25"/>
    <row r="1220" s="1" customFormat="1" x14ac:dyDescent="0.25"/>
    <row r="1221" s="1" customFormat="1" x14ac:dyDescent="0.25"/>
    <row r="1222" s="1" customFormat="1" x14ac:dyDescent="0.25"/>
    <row r="1223" s="1" customFormat="1" x14ac:dyDescent="0.25"/>
    <row r="1224" s="1" customFormat="1" x14ac:dyDescent="0.25"/>
    <row r="1225" s="1" customFormat="1" x14ac:dyDescent="0.25"/>
    <row r="1226" s="1" customFormat="1" x14ac:dyDescent="0.25"/>
    <row r="1227" s="1" customFormat="1" x14ac:dyDescent="0.25"/>
    <row r="1228" s="1" customFormat="1" x14ac:dyDescent="0.25"/>
    <row r="1229" s="1" customFormat="1" x14ac:dyDescent="0.25"/>
    <row r="1230" s="1" customFormat="1" x14ac:dyDescent="0.25"/>
    <row r="1231" s="1" customFormat="1" x14ac:dyDescent="0.25"/>
    <row r="1232" s="1" customFormat="1" x14ac:dyDescent="0.25"/>
    <row r="1233" s="1" customFormat="1" x14ac:dyDescent="0.25"/>
    <row r="1234" s="1" customFormat="1" x14ac:dyDescent="0.25"/>
    <row r="1235" s="1" customFormat="1" x14ac:dyDescent="0.25"/>
    <row r="1236" s="1" customFormat="1" x14ac:dyDescent="0.25"/>
    <row r="1237" s="1" customFormat="1" x14ac:dyDescent="0.25"/>
    <row r="1238" s="1" customFormat="1" x14ac:dyDescent="0.25"/>
    <row r="1239" s="1" customFormat="1" x14ac:dyDescent="0.25"/>
    <row r="1240" s="1" customFormat="1" x14ac:dyDescent="0.25"/>
    <row r="1241" s="1" customFormat="1" x14ac:dyDescent="0.25"/>
    <row r="1242" s="1" customFormat="1" x14ac:dyDescent="0.25"/>
    <row r="1243" s="1" customFormat="1" x14ac:dyDescent="0.25"/>
    <row r="1244" s="1" customFormat="1" x14ac:dyDescent="0.25"/>
    <row r="1245" s="1" customFormat="1" x14ac:dyDescent="0.25"/>
    <row r="1246" s="1" customFormat="1" x14ac:dyDescent="0.25"/>
    <row r="1247" s="1" customFormat="1" x14ac:dyDescent="0.25"/>
    <row r="1248" s="1" customFormat="1" x14ac:dyDescent="0.25"/>
    <row r="1249" s="1" customFormat="1" x14ac:dyDescent="0.25"/>
    <row r="1250" s="1" customFormat="1" x14ac:dyDescent="0.25"/>
    <row r="1251" s="1" customFormat="1" x14ac:dyDescent="0.25"/>
    <row r="1252" s="1" customFormat="1" x14ac:dyDescent="0.25"/>
    <row r="1253" s="1" customFormat="1" x14ac:dyDescent="0.25"/>
    <row r="1254" s="1" customFormat="1" x14ac:dyDescent="0.25"/>
    <row r="1255" s="1" customFormat="1" x14ac:dyDescent="0.25"/>
    <row r="1256" s="1" customFormat="1" x14ac:dyDescent="0.25"/>
    <row r="1257" s="1" customFormat="1" x14ac:dyDescent="0.25"/>
    <row r="1258" s="1" customFormat="1" x14ac:dyDescent="0.25"/>
    <row r="1259" s="1" customFormat="1" x14ac:dyDescent="0.25"/>
    <row r="1260" s="1" customFormat="1" x14ac:dyDescent="0.25"/>
    <row r="1261" s="1" customFormat="1" x14ac:dyDescent="0.25"/>
    <row r="1262" s="1" customFormat="1" x14ac:dyDescent="0.25"/>
    <row r="1263" s="1" customFormat="1" x14ac:dyDescent="0.25"/>
    <row r="1264" s="1" customFormat="1" x14ac:dyDescent="0.25"/>
    <row r="1265" s="1" customFormat="1" x14ac:dyDescent="0.25"/>
    <row r="1266" s="1" customFormat="1" x14ac:dyDescent="0.25"/>
    <row r="1267" s="1" customFormat="1" x14ac:dyDescent="0.25"/>
    <row r="1268" s="1" customFormat="1" x14ac:dyDescent="0.25"/>
    <row r="1269" s="1" customFormat="1" x14ac:dyDescent="0.25"/>
    <row r="1270" s="1" customFormat="1" x14ac:dyDescent="0.25"/>
    <row r="1271" s="1" customFormat="1" x14ac:dyDescent="0.25"/>
    <row r="1272" s="1" customFormat="1" x14ac:dyDescent="0.25"/>
    <row r="1273" s="1" customFormat="1" x14ac:dyDescent="0.25"/>
    <row r="1274" s="1" customFormat="1" x14ac:dyDescent="0.25"/>
    <row r="1275" s="1" customFormat="1" x14ac:dyDescent="0.25"/>
    <row r="1276" s="1" customFormat="1" x14ac:dyDescent="0.25"/>
    <row r="1277" s="1" customFormat="1" x14ac:dyDescent="0.25"/>
    <row r="1278" s="1" customFormat="1" x14ac:dyDescent="0.25"/>
    <row r="1279" s="1" customFormat="1" x14ac:dyDescent="0.25"/>
    <row r="1280" s="1" customFormat="1" x14ac:dyDescent="0.25"/>
    <row r="1281" s="1" customFormat="1" x14ac:dyDescent="0.25"/>
    <row r="1282" s="1" customFormat="1" x14ac:dyDescent="0.25"/>
    <row r="1283" s="1" customFormat="1" x14ac:dyDescent="0.25"/>
    <row r="1284" s="1" customFormat="1" x14ac:dyDescent="0.25"/>
    <row r="1285" s="1" customFormat="1" x14ac:dyDescent="0.25"/>
    <row r="1286" s="1" customFormat="1" x14ac:dyDescent="0.25"/>
    <row r="1287" s="1" customFormat="1" x14ac:dyDescent="0.25"/>
    <row r="1288" s="1" customFormat="1" x14ac:dyDescent="0.25"/>
    <row r="1289" s="1" customFormat="1" x14ac:dyDescent="0.25"/>
    <row r="1290" s="1" customFormat="1" x14ac:dyDescent="0.25"/>
    <row r="1291" s="1" customFormat="1" x14ac:dyDescent="0.25"/>
    <row r="1292" s="1" customFormat="1" x14ac:dyDescent="0.25"/>
    <row r="1293" s="1" customFormat="1" x14ac:dyDescent="0.25"/>
    <row r="1294" s="1" customFormat="1" x14ac:dyDescent="0.25"/>
    <row r="1295" s="1" customFormat="1" x14ac:dyDescent="0.25"/>
    <row r="1296" s="1" customFormat="1" x14ac:dyDescent="0.25"/>
    <row r="1297" s="1" customFormat="1" x14ac:dyDescent="0.25"/>
    <row r="1298" s="1" customFormat="1" x14ac:dyDescent="0.25"/>
    <row r="1299" s="1" customFormat="1" x14ac:dyDescent="0.25"/>
    <row r="1300" s="1" customFormat="1" x14ac:dyDescent="0.25"/>
    <row r="1301" s="1" customFormat="1" x14ac:dyDescent="0.25"/>
    <row r="1302" s="1" customFormat="1" x14ac:dyDescent="0.25"/>
    <row r="1303" s="1" customFormat="1" x14ac:dyDescent="0.25"/>
    <row r="1304" s="1" customFormat="1" x14ac:dyDescent="0.25"/>
    <row r="1305" s="1" customFormat="1" x14ac:dyDescent="0.25"/>
    <row r="1306" s="1" customFormat="1" x14ac:dyDescent="0.25"/>
    <row r="1307" s="1" customFormat="1" x14ac:dyDescent="0.25"/>
    <row r="1308" s="1" customFormat="1" x14ac:dyDescent="0.25"/>
    <row r="1309" s="1" customFormat="1" x14ac:dyDescent="0.25"/>
    <row r="1310" s="1" customFormat="1" x14ac:dyDescent="0.25"/>
    <row r="1311" s="1" customFormat="1" x14ac:dyDescent="0.25"/>
    <row r="1312" s="1" customFormat="1" x14ac:dyDescent="0.25"/>
    <row r="1313" s="1" customFormat="1" x14ac:dyDescent="0.25"/>
    <row r="1314" s="1" customFormat="1" x14ac:dyDescent="0.25"/>
    <row r="1315" s="1" customFormat="1" x14ac:dyDescent="0.25"/>
    <row r="1316" s="1" customFormat="1" x14ac:dyDescent="0.25"/>
    <row r="1317" s="1" customFormat="1" x14ac:dyDescent="0.25"/>
    <row r="1318" s="1" customFormat="1" x14ac:dyDescent="0.25"/>
    <row r="1319" s="1" customFormat="1" x14ac:dyDescent="0.25"/>
    <row r="1320" s="1" customFormat="1" x14ac:dyDescent="0.25"/>
    <row r="1321" s="1" customFormat="1" x14ac:dyDescent="0.25"/>
    <row r="1322" s="1" customFormat="1" x14ac:dyDescent="0.25"/>
    <row r="1323" s="1" customFormat="1" x14ac:dyDescent="0.25"/>
    <row r="1324" s="1" customFormat="1" x14ac:dyDescent="0.25"/>
    <row r="1325" s="1" customFormat="1" x14ac:dyDescent="0.25"/>
    <row r="1326" s="1" customFormat="1" x14ac:dyDescent="0.25"/>
    <row r="1327" s="1" customFormat="1" x14ac:dyDescent="0.25"/>
    <row r="1328" s="1" customFormat="1" x14ac:dyDescent="0.25"/>
    <row r="1329" s="1" customFormat="1" x14ac:dyDescent="0.25"/>
    <row r="1330" s="1" customFormat="1" x14ac:dyDescent="0.25"/>
    <row r="1331" s="1" customFormat="1" x14ac:dyDescent="0.25"/>
    <row r="1332" s="1" customFormat="1" x14ac:dyDescent="0.25"/>
    <row r="1333" s="1" customFormat="1" x14ac:dyDescent="0.25"/>
    <row r="1334" s="1" customFormat="1" x14ac:dyDescent="0.25"/>
    <row r="1335" s="1" customFormat="1" x14ac:dyDescent="0.25"/>
    <row r="1336" s="1" customFormat="1" x14ac:dyDescent="0.25"/>
    <row r="1337" s="1" customFormat="1" x14ac:dyDescent="0.25"/>
    <row r="1338" s="1" customFormat="1" x14ac:dyDescent="0.25"/>
    <row r="1339" s="1" customFormat="1" x14ac:dyDescent="0.25"/>
    <row r="1340" s="1" customFormat="1" x14ac:dyDescent="0.25"/>
    <row r="1341" s="1" customFormat="1" x14ac:dyDescent="0.25"/>
    <row r="1342" s="1" customFormat="1" x14ac:dyDescent="0.25"/>
    <row r="1343" s="1" customFormat="1" x14ac:dyDescent="0.25"/>
    <row r="1344" s="1" customFormat="1" x14ac:dyDescent="0.25"/>
    <row r="1345" s="1" customFormat="1" x14ac:dyDescent="0.25"/>
    <row r="1346" s="1" customFormat="1" x14ac:dyDescent="0.25"/>
    <row r="1347" s="1" customFormat="1" x14ac:dyDescent="0.25"/>
    <row r="1348" s="1" customFormat="1" x14ac:dyDescent="0.25"/>
    <row r="1349" s="1" customFormat="1" x14ac:dyDescent="0.25"/>
    <row r="1350" s="1" customFormat="1" x14ac:dyDescent="0.25"/>
    <row r="1351" s="1" customFormat="1" x14ac:dyDescent="0.25"/>
    <row r="1352" s="1" customFormat="1" x14ac:dyDescent="0.25"/>
    <row r="1353" s="1" customFormat="1" x14ac:dyDescent="0.25"/>
    <row r="1354" s="1" customFormat="1" x14ac:dyDescent="0.25"/>
    <row r="1355" s="1" customFormat="1" x14ac:dyDescent="0.25"/>
    <row r="1356" s="1" customFormat="1" x14ac:dyDescent="0.25"/>
    <row r="1357" s="1" customFormat="1" x14ac:dyDescent="0.25"/>
    <row r="1358" s="1" customFormat="1" x14ac:dyDescent="0.25"/>
    <row r="1359" s="1" customFormat="1" x14ac:dyDescent="0.25"/>
    <row r="1360" s="1" customFormat="1" x14ac:dyDescent="0.25"/>
    <row r="1361" s="1" customFormat="1" x14ac:dyDescent="0.25"/>
    <row r="1362" s="1" customFormat="1" x14ac:dyDescent="0.25"/>
    <row r="1363" s="1" customFormat="1" x14ac:dyDescent="0.25"/>
    <row r="1364" s="1" customFormat="1" x14ac:dyDescent="0.25"/>
    <row r="1365" s="1" customFormat="1" x14ac:dyDescent="0.25"/>
    <row r="1366" s="1" customFormat="1" x14ac:dyDescent="0.25"/>
    <row r="1367" s="1" customFormat="1" x14ac:dyDescent="0.25"/>
    <row r="1368" s="1" customFormat="1" x14ac:dyDescent="0.25"/>
    <row r="1369" s="1" customFormat="1" x14ac:dyDescent="0.25"/>
    <row r="1370" s="1" customFormat="1" x14ac:dyDescent="0.25"/>
    <row r="1371" s="1" customFormat="1" x14ac:dyDescent="0.25"/>
    <row r="1372" s="1" customFormat="1" x14ac:dyDescent="0.25"/>
    <row r="1373" s="1" customFormat="1" x14ac:dyDescent="0.25"/>
    <row r="1374" s="1" customFormat="1" x14ac:dyDescent="0.25"/>
    <row r="1375" s="1" customFormat="1" x14ac:dyDescent="0.25"/>
    <row r="1376" s="1" customFormat="1" x14ac:dyDescent="0.25"/>
    <row r="1377" s="1" customFormat="1" x14ac:dyDescent="0.25"/>
    <row r="1378" s="1" customFormat="1" x14ac:dyDescent="0.25"/>
    <row r="1379" s="1" customFormat="1" x14ac:dyDescent="0.25"/>
    <row r="1380" s="1" customFormat="1" x14ac:dyDescent="0.25"/>
    <row r="1381" s="1" customFormat="1" x14ac:dyDescent="0.25"/>
    <row r="1382" s="1" customFormat="1" x14ac:dyDescent="0.25"/>
    <row r="1383" s="1" customFormat="1" x14ac:dyDescent="0.25"/>
    <row r="1384" s="1" customFormat="1" x14ac:dyDescent="0.25"/>
    <row r="1385" s="1" customFormat="1" x14ac:dyDescent="0.25"/>
    <row r="1386" s="1" customFormat="1" x14ac:dyDescent="0.25"/>
    <row r="1387" s="1" customFormat="1" x14ac:dyDescent="0.25"/>
    <row r="1388" s="1" customFormat="1" x14ac:dyDescent="0.25"/>
    <row r="1389" s="1" customFormat="1" x14ac:dyDescent="0.25"/>
    <row r="1390" s="1" customFormat="1" x14ac:dyDescent="0.25"/>
    <row r="1391" s="1" customFormat="1" x14ac:dyDescent="0.25"/>
    <row r="1392" s="1" customFormat="1" x14ac:dyDescent="0.25"/>
    <row r="1393" s="1" customFormat="1" x14ac:dyDescent="0.25"/>
    <row r="1394" s="1" customFormat="1" x14ac:dyDescent="0.25"/>
    <row r="1395" s="1" customFormat="1" x14ac:dyDescent="0.25"/>
    <row r="1396" s="1" customFormat="1" x14ac:dyDescent="0.25"/>
    <row r="1397" s="1" customFormat="1" x14ac:dyDescent="0.25"/>
    <row r="1398" s="1" customFormat="1" x14ac:dyDescent="0.25"/>
    <row r="1399" s="1" customFormat="1" x14ac:dyDescent="0.25"/>
    <row r="1400" s="1" customFormat="1" x14ac:dyDescent="0.25"/>
    <row r="1401" s="1" customFormat="1" x14ac:dyDescent="0.25"/>
    <row r="1402" s="1" customFormat="1" x14ac:dyDescent="0.25"/>
    <row r="1403" s="1" customFormat="1" x14ac:dyDescent="0.25"/>
    <row r="1404" s="1" customFormat="1" x14ac:dyDescent="0.25"/>
    <row r="1405" s="1" customFormat="1" x14ac:dyDescent="0.25"/>
    <row r="1406" s="1" customFormat="1" x14ac:dyDescent="0.25"/>
    <row r="1407" s="1" customFormat="1" x14ac:dyDescent="0.25"/>
    <row r="1408" s="1" customFormat="1" x14ac:dyDescent="0.25"/>
    <row r="1409" s="1" customFormat="1" x14ac:dyDescent="0.25"/>
    <row r="1410" s="1" customFormat="1" x14ac:dyDescent="0.25"/>
    <row r="1411" s="1" customFormat="1" x14ac:dyDescent="0.25"/>
    <row r="1412" s="1" customFormat="1" x14ac:dyDescent="0.25"/>
    <row r="1413" s="1" customFormat="1" x14ac:dyDescent="0.25"/>
    <row r="1414" s="1" customFormat="1" x14ac:dyDescent="0.25"/>
    <row r="1415" s="1" customFormat="1" x14ac:dyDescent="0.25"/>
    <row r="1416" s="1" customFormat="1" x14ac:dyDescent="0.25"/>
    <row r="1417" s="1" customFormat="1" x14ac:dyDescent="0.25"/>
    <row r="1418" s="1" customFormat="1" x14ac:dyDescent="0.25"/>
    <row r="1419" s="1" customFormat="1" x14ac:dyDescent="0.25"/>
    <row r="1420" s="1" customFormat="1" x14ac:dyDescent="0.25"/>
    <row r="1421" s="1" customFormat="1" x14ac:dyDescent="0.25"/>
    <row r="1422" s="1" customFormat="1" x14ac:dyDescent="0.25"/>
    <row r="1423" s="1" customFormat="1" x14ac:dyDescent="0.25"/>
    <row r="1424" s="1" customFormat="1" x14ac:dyDescent="0.25"/>
    <row r="1425" s="1" customFormat="1" x14ac:dyDescent="0.25"/>
    <row r="1426" s="1" customFormat="1" x14ac:dyDescent="0.25"/>
    <row r="1427" s="1" customFormat="1" x14ac:dyDescent="0.25"/>
    <row r="1428" s="1" customFormat="1" x14ac:dyDescent="0.25"/>
    <row r="1429" s="1" customFormat="1" x14ac:dyDescent="0.25"/>
    <row r="1430" s="1" customFormat="1" x14ac:dyDescent="0.25"/>
    <row r="1431" s="1" customFormat="1" x14ac:dyDescent="0.25"/>
    <row r="1432" s="1" customFormat="1" x14ac:dyDescent="0.25"/>
    <row r="1433" s="1" customFormat="1" x14ac:dyDescent="0.25"/>
    <row r="1434" s="1" customFormat="1" x14ac:dyDescent="0.25"/>
    <row r="1435" s="1" customFormat="1" x14ac:dyDescent="0.25"/>
    <row r="1436" s="1" customFormat="1" x14ac:dyDescent="0.25"/>
    <row r="1437" s="1" customFormat="1" x14ac:dyDescent="0.25"/>
    <row r="1438" s="1" customFormat="1" x14ac:dyDescent="0.25"/>
    <row r="1439" s="1" customFormat="1" x14ac:dyDescent="0.25"/>
    <row r="1440" s="1" customFormat="1" x14ac:dyDescent="0.25"/>
    <row r="1441" s="1" customFormat="1" x14ac:dyDescent="0.25"/>
    <row r="1442" s="1" customFormat="1" x14ac:dyDescent="0.25"/>
    <row r="1443" s="1" customFormat="1" x14ac:dyDescent="0.25"/>
    <row r="1444" s="1" customFormat="1" x14ac:dyDescent="0.25"/>
    <row r="1445" s="1" customFormat="1" x14ac:dyDescent="0.25"/>
    <row r="1446" s="1" customFormat="1" x14ac:dyDescent="0.25"/>
    <row r="1447" s="1" customFormat="1" x14ac:dyDescent="0.25"/>
    <row r="1448" s="1" customFormat="1" x14ac:dyDescent="0.25"/>
    <row r="1449" s="1" customFormat="1" x14ac:dyDescent="0.25"/>
    <row r="1450" s="1" customFormat="1" x14ac:dyDescent="0.25"/>
    <row r="1451" s="1" customFormat="1" x14ac:dyDescent="0.25"/>
    <row r="1452" s="1" customFormat="1" x14ac:dyDescent="0.25"/>
    <row r="1453" s="1" customFormat="1" x14ac:dyDescent="0.25"/>
    <row r="1454" s="1" customFormat="1" x14ac:dyDescent="0.25"/>
    <row r="1455" s="1" customFormat="1" x14ac:dyDescent="0.25"/>
    <row r="1456" s="1" customFormat="1" x14ac:dyDescent="0.25"/>
    <row r="1457" s="1" customFormat="1" x14ac:dyDescent="0.25"/>
    <row r="1458" s="1" customFormat="1" x14ac:dyDescent="0.25"/>
    <row r="1459" s="1" customFormat="1" x14ac:dyDescent="0.25"/>
    <row r="1460" s="1" customFormat="1" x14ac:dyDescent="0.25"/>
    <row r="1461" s="1" customFormat="1" x14ac:dyDescent="0.25"/>
    <row r="1462" s="1" customFormat="1" x14ac:dyDescent="0.25"/>
    <row r="1463" s="1" customFormat="1" x14ac:dyDescent="0.25"/>
    <row r="1464" s="1" customFormat="1" x14ac:dyDescent="0.25"/>
    <row r="1465" s="1" customFormat="1" x14ac:dyDescent="0.25"/>
    <row r="1466" s="1" customFormat="1" x14ac:dyDescent="0.25"/>
    <row r="1467" s="1" customFormat="1" x14ac:dyDescent="0.25"/>
    <row r="1468" s="1" customFormat="1" x14ac:dyDescent="0.25"/>
    <row r="1469" s="1" customFormat="1" x14ac:dyDescent="0.25"/>
    <row r="1470" s="1" customFormat="1" x14ac:dyDescent="0.25"/>
    <row r="1471" s="1" customFormat="1" x14ac:dyDescent="0.25"/>
    <row r="1472" s="1" customFormat="1" x14ac:dyDescent="0.25"/>
    <row r="1473" s="1" customFormat="1" x14ac:dyDescent="0.25"/>
    <row r="1474" s="1" customFormat="1" x14ac:dyDescent="0.25"/>
    <row r="1475" s="1" customFormat="1" x14ac:dyDescent="0.25"/>
    <row r="1476" s="1" customFormat="1" x14ac:dyDescent="0.25"/>
    <row r="1477" s="1" customFormat="1" x14ac:dyDescent="0.25"/>
    <row r="1478" s="1" customFormat="1" x14ac:dyDescent="0.25"/>
    <row r="1479" s="1" customFormat="1" x14ac:dyDescent="0.25"/>
    <row r="1480" s="1" customFormat="1" x14ac:dyDescent="0.25"/>
    <row r="1481" s="1" customFormat="1" x14ac:dyDescent="0.25"/>
    <row r="1482" s="1" customFormat="1" x14ac:dyDescent="0.25"/>
    <row r="1483" s="1" customFormat="1" x14ac:dyDescent="0.25"/>
    <row r="1484" s="1" customFormat="1" x14ac:dyDescent="0.25"/>
    <row r="1485" s="1" customFormat="1" x14ac:dyDescent="0.25"/>
    <row r="1486" s="1" customFormat="1" x14ac:dyDescent="0.25"/>
    <row r="1487" s="1" customFormat="1" x14ac:dyDescent="0.25"/>
    <row r="1488" s="1" customFormat="1" x14ac:dyDescent="0.25"/>
    <row r="1489" s="1" customFormat="1" x14ac:dyDescent="0.25"/>
    <row r="1490" s="1" customFormat="1" x14ac:dyDescent="0.25"/>
    <row r="1491" s="1" customFormat="1" x14ac:dyDescent="0.25"/>
    <row r="1492" s="1" customFormat="1" x14ac:dyDescent="0.25"/>
    <row r="1493" s="1" customFormat="1" x14ac:dyDescent="0.25"/>
    <row r="1494" s="1" customFormat="1" x14ac:dyDescent="0.25"/>
    <row r="1495" s="1" customFormat="1" x14ac:dyDescent="0.25"/>
    <row r="1496" s="1" customFormat="1" x14ac:dyDescent="0.25"/>
    <row r="1497" s="1" customFormat="1" x14ac:dyDescent="0.25"/>
    <row r="1498" s="1" customFormat="1" x14ac:dyDescent="0.25"/>
    <row r="1499" s="1" customFormat="1" x14ac:dyDescent="0.25"/>
    <row r="1500" s="1" customFormat="1" x14ac:dyDescent="0.25"/>
    <row r="1501" s="1" customFormat="1" x14ac:dyDescent="0.25"/>
    <row r="1502" s="1" customFormat="1" x14ac:dyDescent="0.25"/>
    <row r="1503" s="1" customFormat="1" x14ac:dyDescent="0.25"/>
    <row r="1504" s="1" customFormat="1" x14ac:dyDescent="0.25"/>
    <row r="1505" s="1" customFormat="1" x14ac:dyDescent="0.25"/>
    <row r="1506" s="1" customFormat="1" x14ac:dyDescent="0.25"/>
    <row r="1507" s="1" customFormat="1" x14ac:dyDescent="0.25"/>
    <row r="1508" s="1" customFormat="1" x14ac:dyDescent="0.25"/>
    <row r="1509" s="1" customFormat="1" x14ac:dyDescent="0.25"/>
    <row r="1510" s="1" customFormat="1" x14ac:dyDescent="0.25"/>
    <row r="1511" s="1" customFormat="1" x14ac:dyDescent="0.25"/>
    <row r="1512" s="1" customFormat="1" x14ac:dyDescent="0.25"/>
    <row r="1513" s="1" customFormat="1" x14ac:dyDescent="0.25"/>
    <row r="1514" s="1" customFormat="1" x14ac:dyDescent="0.25"/>
    <row r="1515" s="1" customFormat="1" x14ac:dyDescent="0.25"/>
    <row r="1516" s="1" customFormat="1" x14ac:dyDescent="0.25"/>
    <row r="1517" s="1" customFormat="1" x14ac:dyDescent="0.25"/>
    <row r="1518" s="1" customFormat="1" x14ac:dyDescent="0.25"/>
    <row r="1519" s="1" customFormat="1" x14ac:dyDescent="0.25"/>
    <row r="1520" s="1" customFormat="1" x14ac:dyDescent="0.25"/>
    <row r="1521" s="1" customFormat="1" x14ac:dyDescent="0.25"/>
    <row r="1522" s="1" customFormat="1" x14ac:dyDescent="0.25"/>
    <row r="1523" s="1" customFormat="1" x14ac:dyDescent="0.25"/>
    <row r="1524" s="1" customFormat="1" x14ac:dyDescent="0.25"/>
    <row r="1525" s="1" customFormat="1" x14ac:dyDescent="0.25"/>
    <row r="1526" s="1" customFormat="1" x14ac:dyDescent="0.25"/>
    <row r="1527" s="1" customFormat="1" x14ac:dyDescent="0.25"/>
    <row r="1528" s="1" customFormat="1" x14ac:dyDescent="0.25"/>
    <row r="1529" s="1" customFormat="1" x14ac:dyDescent="0.25"/>
    <row r="1530" s="1" customFormat="1" x14ac:dyDescent="0.25"/>
    <row r="1531" s="1" customFormat="1" x14ac:dyDescent="0.25"/>
    <row r="1532" s="1" customFormat="1" x14ac:dyDescent="0.25"/>
    <row r="1533" s="1" customFormat="1" x14ac:dyDescent="0.25"/>
    <row r="1534" s="1" customFormat="1" x14ac:dyDescent="0.25"/>
    <row r="1535" s="1" customFormat="1" x14ac:dyDescent="0.25"/>
    <row r="1536" s="1" customFormat="1" x14ac:dyDescent="0.25"/>
    <row r="1537" s="1" customFormat="1" x14ac:dyDescent="0.25"/>
    <row r="1538" s="1" customFormat="1" x14ac:dyDescent="0.25"/>
    <row r="1539" s="1" customFormat="1" x14ac:dyDescent="0.25"/>
    <row r="1540" s="1" customFormat="1" x14ac:dyDescent="0.25"/>
    <row r="1541" s="1" customFormat="1" x14ac:dyDescent="0.25"/>
    <row r="1542" s="1" customFormat="1" x14ac:dyDescent="0.25"/>
    <row r="1543" s="1" customFormat="1" x14ac:dyDescent="0.25"/>
    <row r="1544" s="1" customFormat="1" x14ac:dyDescent="0.25"/>
    <row r="1545" s="1" customFormat="1" x14ac:dyDescent="0.25"/>
    <row r="1546" s="1" customFormat="1" x14ac:dyDescent="0.25"/>
    <row r="1547" s="1" customFormat="1" x14ac:dyDescent="0.25"/>
    <row r="1548" s="1" customFormat="1" x14ac:dyDescent="0.25"/>
    <row r="1549" s="1" customFormat="1" x14ac:dyDescent="0.25"/>
    <row r="1550" s="1" customFormat="1" x14ac:dyDescent="0.25"/>
    <row r="1551" s="1" customFormat="1" x14ac:dyDescent="0.25"/>
    <row r="1552" s="1" customFormat="1" x14ac:dyDescent="0.25"/>
    <row r="1553" s="1" customFormat="1" x14ac:dyDescent="0.25"/>
    <row r="1554" s="1" customFormat="1" x14ac:dyDescent="0.25"/>
    <row r="1555" s="1" customFormat="1" x14ac:dyDescent="0.25"/>
    <row r="1556" s="1" customFormat="1" x14ac:dyDescent="0.25"/>
    <row r="1557" s="1" customFormat="1" x14ac:dyDescent="0.25"/>
    <row r="1558" s="1" customFormat="1" x14ac:dyDescent="0.25"/>
    <row r="1559" s="1" customFormat="1" x14ac:dyDescent="0.25"/>
    <row r="1560" s="1" customFormat="1" x14ac:dyDescent="0.25"/>
    <row r="1561" s="1" customFormat="1" x14ac:dyDescent="0.25"/>
    <row r="1562" s="1" customFormat="1" x14ac:dyDescent="0.25"/>
    <row r="1563" s="1" customFormat="1" x14ac:dyDescent="0.25"/>
    <row r="1564" s="1" customFormat="1" x14ac:dyDescent="0.25"/>
    <row r="1565" s="1" customFormat="1" x14ac:dyDescent="0.25"/>
    <row r="1566" s="1" customFormat="1" x14ac:dyDescent="0.25"/>
    <row r="1567" s="1" customFormat="1" x14ac:dyDescent="0.25"/>
    <row r="1568" s="1" customFormat="1" x14ac:dyDescent="0.25"/>
    <row r="1569" s="1" customFormat="1" x14ac:dyDescent="0.25"/>
    <row r="1570" s="1" customFormat="1" x14ac:dyDescent="0.25"/>
    <row r="1571" s="1" customFormat="1" x14ac:dyDescent="0.25"/>
    <row r="1572" s="1" customFormat="1" x14ac:dyDescent="0.25"/>
    <row r="1573" s="1" customFormat="1" x14ac:dyDescent="0.25"/>
    <row r="1574" s="1" customFormat="1" x14ac:dyDescent="0.25"/>
    <row r="1575" s="1" customFormat="1" x14ac:dyDescent="0.25"/>
    <row r="1576" s="1" customFormat="1" x14ac:dyDescent="0.25"/>
    <row r="1577" s="1" customFormat="1" x14ac:dyDescent="0.25"/>
    <row r="1578" s="1" customFormat="1" x14ac:dyDescent="0.25"/>
    <row r="1579" s="1" customFormat="1" x14ac:dyDescent="0.25"/>
    <row r="1580" s="1" customFormat="1" x14ac:dyDescent="0.25"/>
    <row r="1581" s="1" customFormat="1" x14ac:dyDescent="0.25"/>
    <row r="1582" s="1" customFormat="1" x14ac:dyDescent="0.25"/>
    <row r="1583" s="1" customFormat="1" x14ac:dyDescent="0.25"/>
    <row r="1584" s="1" customFormat="1" x14ac:dyDescent="0.25"/>
    <row r="1585" s="1" customFormat="1" x14ac:dyDescent="0.25"/>
    <row r="1586" s="1" customFormat="1" x14ac:dyDescent="0.25"/>
    <row r="1587" s="1" customFormat="1" x14ac:dyDescent="0.25"/>
    <row r="1588" s="1" customFormat="1" x14ac:dyDescent="0.25"/>
    <row r="1589" s="1" customFormat="1" x14ac:dyDescent="0.25"/>
    <row r="1590" s="1" customFormat="1" x14ac:dyDescent="0.25"/>
    <row r="1591" s="1" customFormat="1" x14ac:dyDescent="0.25"/>
    <row r="1592" s="1" customFormat="1" x14ac:dyDescent="0.25"/>
    <row r="1593" s="1" customFormat="1" x14ac:dyDescent="0.25"/>
    <row r="1594" s="1" customFormat="1" x14ac:dyDescent="0.25"/>
    <row r="1595" s="1" customFormat="1" x14ac:dyDescent="0.25"/>
    <row r="1596" s="1" customFormat="1" x14ac:dyDescent="0.25"/>
    <row r="1597" s="1" customFormat="1" x14ac:dyDescent="0.25"/>
    <row r="1598" s="1" customFormat="1" x14ac:dyDescent="0.25"/>
    <row r="1599" s="1" customFormat="1" x14ac:dyDescent="0.25"/>
    <row r="1600" s="1" customFormat="1" x14ac:dyDescent="0.25"/>
    <row r="1601" s="1" customFormat="1" x14ac:dyDescent="0.25"/>
    <row r="1602" s="1" customFormat="1" x14ac:dyDescent="0.25"/>
    <row r="1603" s="1" customFormat="1" x14ac:dyDescent="0.25"/>
    <row r="1604" s="1" customFormat="1" x14ac:dyDescent="0.25"/>
    <row r="1605" s="1" customFormat="1" x14ac:dyDescent="0.25"/>
    <row r="1606" s="1" customFormat="1" x14ac:dyDescent="0.25"/>
    <row r="1607" s="1" customFormat="1" x14ac:dyDescent="0.25"/>
    <row r="1608" s="1" customFormat="1" x14ac:dyDescent="0.25"/>
    <row r="1609" s="1" customFormat="1" x14ac:dyDescent="0.25"/>
    <row r="1610" s="1" customFormat="1" x14ac:dyDescent="0.25"/>
    <row r="1611" s="1" customFormat="1" x14ac:dyDescent="0.25"/>
    <row r="1612" s="1" customFormat="1" x14ac:dyDescent="0.25"/>
    <row r="1613" s="1" customFormat="1" x14ac:dyDescent="0.25"/>
    <row r="1614" s="1" customFormat="1" x14ac:dyDescent="0.25"/>
    <row r="1615" s="1" customFormat="1" x14ac:dyDescent="0.25"/>
    <row r="1616" s="1" customFormat="1" x14ac:dyDescent="0.25"/>
    <row r="1617" s="1" customFormat="1" x14ac:dyDescent="0.25"/>
    <row r="1618" s="1" customFormat="1" x14ac:dyDescent="0.25"/>
    <row r="1619" s="1" customFormat="1" x14ac:dyDescent="0.25"/>
    <row r="1620" s="1" customFormat="1" x14ac:dyDescent="0.25"/>
    <row r="1621" s="1" customFormat="1" x14ac:dyDescent="0.25"/>
    <row r="1622" s="1" customFormat="1" x14ac:dyDescent="0.25"/>
    <row r="1623" s="1" customFormat="1" x14ac:dyDescent="0.25"/>
    <row r="1624" s="1" customFormat="1" x14ac:dyDescent="0.25"/>
    <row r="1625" s="1" customFormat="1" x14ac:dyDescent="0.25"/>
    <row r="1626" s="1" customFormat="1" x14ac:dyDescent="0.25"/>
    <row r="1627" s="1" customFormat="1" x14ac:dyDescent="0.25"/>
    <row r="1628" s="1" customFormat="1" x14ac:dyDescent="0.25"/>
    <row r="1629" s="1" customFormat="1" x14ac:dyDescent="0.25"/>
    <row r="1630" s="1" customFormat="1" x14ac:dyDescent="0.25"/>
    <row r="1631" s="1" customFormat="1" x14ac:dyDescent="0.25"/>
    <row r="1632" s="1" customFormat="1" x14ac:dyDescent="0.25"/>
    <row r="1633" s="1" customFormat="1" x14ac:dyDescent="0.25"/>
    <row r="1634" s="1" customFormat="1" x14ac:dyDescent="0.25"/>
    <row r="1635" s="1" customFormat="1" x14ac:dyDescent="0.25"/>
    <row r="1636" s="1" customFormat="1" x14ac:dyDescent="0.25"/>
    <row r="1637" s="1" customFormat="1" x14ac:dyDescent="0.25"/>
    <row r="1638" s="1" customFormat="1" x14ac:dyDescent="0.25"/>
    <row r="1639" s="1" customFormat="1" x14ac:dyDescent="0.25"/>
    <row r="1640" s="1" customFormat="1" x14ac:dyDescent="0.25"/>
    <row r="1641" s="1" customFormat="1" x14ac:dyDescent="0.25"/>
    <row r="1642" s="1" customFormat="1" x14ac:dyDescent="0.25"/>
    <row r="1643" s="1" customFormat="1" x14ac:dyDescent="0.25"/>
    <row r="1644" s="1" customFormat="1" x14ac:dyDescent="0.25"/>
    <row r="1645" s="1" customFormat="1" x14ac:dyDescent="0.25"/>
    <row r="1646" s="1" customFormat="1" x14ac:dyDescent="0.25"/>
    <row r="1647" s="1" customFormat="1" x14ac:dyDescent="0.25"/>
    <row r="1648" s="1" customFormat="1" x14ac:dyDescent="0.25"/>
    <row r="1649" s="1" customFormat="1" x14ac:dyDescent="0.25"/>
    <row r="1650" s="1" customFormat="1" x14ac:dyDescent="0.25"/>
    <row r="1651" s="1" customFormat="1" x14ac:dyDescent="0.25"/>
    <row r="1652" s="1" customFormat="1" x14ac:dyDescent="0.25"/>
    <row r="1653" s="1" customFormat="1" x14ac:dyDescent="0.25"/>
    <row r="1654" s="1" customFormat="1" x14ac:dyDescent="0.25"/>
    <row r="1655" s="1" customFormat="1" x14ac:dyDescent="0.25"/>
    <row r="1656" s="1" customFormat="1" x14ac:dyDescent="0.25"/>
    <row r="1657" s="1" customFormat="1" x14ac:dyDescent="0.25"/>
    <row r="1658" s="1" customFormat="1" x14ac:dyDescent="0.25"/>
    <row r="1659" s="1" customFormat="1" x14ac:dyDescent="0.25"/>
    <row r="1660" s="1" customFormat="1" x14ac:dyDescent="0.25"/>
    <row r="1661" s="1" customFormat="1" x14ac:dyDescent="0.25"/>
    <row r="1662" s="1" customFormat="1" x14ac:dyDescent="0.25"/>
    <row r="1663" s="1" customFormat="1" x14ac:dyDescent="0.25"/>
    <row r="1664" s="1" customFormat="1" x14ac:dyDescent="0.25"/>
    <row r="1665" s="1" customFormat="1" x14ac:dyDescent="0.25"/>
    <row r="1666" s="1" customFormat="1" x14ac:dyDescent="0.25"/>
    <row r="1667" s="1" customFormat="1" x14ac:dyDescent="0.25"/>
    <row r="1668" s="1" customFormat="1" x14ac:dyDescent="0.25"/>
    <row r="1669" s="1" customFormat="1" x14ac:dyDescent="0.25"/>
    <row r="1670" s="1" customFormat="1" x14ac:dyDescent="0.25"/>
    <row r="1671" s="1" customFormat="1" x14ac:dyDescent="0.25"/>
    <row r="1672" s="1" customFormat="1" x14ac:dyDescent="0.25"/>
    <row r="1673" s="1" customFormat="1" x14ac:dyDescent="0.25"/>
    <row r="1674" s="1" customFormat="1" x14ac:dyDescent="0.25"/>
    <row r="1675" s="1" customFormat="1" x14ac:dyDescent="0.25"/>
    <row r="1676" s="1" customFormat="1" x14ac:dyDescent="0.25"/>
    <row r="1677" s="1" customFormat="1" x14ac:dyDescent="0.25"/>
    <row r="1678" s="1" customFormat="1" x14ac:dyDescent="0.25"/>
    <row r="1679" s="1" customFormat="1" x14ac:dyDescent="0.25"/>
    <row r="1680" s="1" customFormat="1" x14ac:dyDescent="0.25"/>
    <row r="1681" s="1" customFormat="1" x14ac:dyDescent="0.25"/>
    <row r="1682" s="1" customFormat="1" x14ac:dyDescent="0.25"/>
    <row r="1683" s="1" customFormat="1" x14ac:dyDescent="0.25"/>
    <row r="1684" s="1" customFormat="1" x14ac:dyDescent="0.25"/>
    <row r="1685" s="1" customFormat="1" x14ac:dyDescent="0.25"/>
    <row r="1686" s="1" customFormat="1" x14ac:dyDescent="0.25"/>
    <row r="1687" s="1" customFormat="1" x14ac:dyDescent="0.25"/>
    <row r="1688" s="1" customFormat="1" x14ac:dyDescent="0.25"/>
    <row r="1689" s="1" customFormat="1" x14ac:dyDescent="0.25"/>
    <row r="1690" s="1" customFormat="1" x14ac:dyDescent="0.25"/>
    <row r="1691" s="1" customFormat="1" x14ac:dyDescent="0.25"/>
    <row r="1692" s="1" customFormat="1" x14ac:dyDescent="0.25"/>
    <row r="1693" s="1" customFormat="1" x14ac:dyDescent="0.25"/>
    <row r="1694" s="1" customFormat="1" x14ac:dyDescent="0.25"/>
    <row r="1695" s="1" customFormat="1" x14ac:dyDescent="0.25"/>
    <row r="1696" s="1" customFormat="1" x14ac:dyDescent="0.25"/>
    <row r="1697" s="1" customFormat="1" x14ac:dyDescent="0.25"/>
    <row r="1698" s="1" customFormat="1" x14ac:dyDescent="0.25"/>
    <row r="1699" s="1" customFormat="1" x14ac:dyDescent="0.25"/>
    <row r="1700" s="1" customFormat="1" x14ac:dyDescent="0.25"/>
    <row r="1701" s="1" customFormat="1" x14ac:dyDescent="0.25"/>
    <row r="1702" s="1" customFormat="1" x14ac:dyDescent="0.25"/>
    <row r="1703" s="1" customFormat="1" x14ac:dyDescent="0.25"/>
    <row r="1704" s="1" customFormat="1" x14ac:dyDescent="0.25"/>
    <row r="1705" s="1" customFormat="1" x14ac:dyDescent="0.25"/>
    <row r="1706" s="1" customFormat="1" x14ac:dyDescent="0.25"/>
    <row r="1707" s="1" customFormat="1" x14ac:dyDescent="0.25"/>
    <row r="1708" s="1" customFormat="1" x14ac:dyDescent="0.25"/>
    <row r="1709" s="1" customFormat="1" x14ac:dyDescent="0.25"/>
    <row r="1710" s="1" customFormat="1" x14ac:dyDescent="0.25"/>
    <row r="1711" s="1" customFormat="1" x14ac:dyDescent="0.25"/>
    <row r="1712" s="1" customFormat="1" x14ac:dyDescent="0.25"/>
    <row r="1713" s="1" customFormat="1" x14ac:dyDescent="0.25"/>
    <row r="1714" s="1" customFormat="1" x14ac:dyDescent="0.25"/>
    <row r="1715" s="1" customFormat="1" x14ac:dyDescent="0.25"/>
    <row r="1716" s="1" customFormat="1" x14ac:dyDescent="0.25"/>
    <row r="1717" s="1" customFormat="1" x14ac:dyDescent="0.25"/>
    <row r="1718" s="1" customFormat="1" x14ac:dyDescent="0.25"/>
    <row r="1719" s="1" customFormat="1" x14ac:dyDescent="0.25"/>
    <row r="1720" s="1" customFormat="1" x14ac:dyDescent="0.25"/>
    <row r="1721" s="1" customFormat="1" x14ac:dyDescent="0.25"/>
    <row r="1722" s="1" customFormat="1" x14ac:dyDescent="0.25"/>
    <row r="1723" s="1" customFormat="1" x14ac:dyDescent="0.25"/>
    <row r="1724" s="1" customFormat="1" x14ac:dyDescent="0.25"/>
    <row r="1725" s="1" customFormat="1" x14ac:dyDescent="0.25"/>
    <row r="1726" s="1" customFormat="1" x14ac:dyDescent="0.25"/>
    <row r="1727" s="1" customFormat="1" x14ac:dyDescent="0.25"/>
    <row r="1728" s="1" customFormat="1" x14ac:dyDescent="0.25"/>
    <row r="1729" s="1" customFormat="1" x14ac:dyDescent="0.25"/>
    <row r="1730" s="1" customFormat="1" x14ac:dyDescent="0.25"/>
    <row r="1731" s="1" customFormat="1" x14ac:dyDescent="0.25"/>
    <row r="1732" s="1" customFormat="1" x14ac:dyDescent="0.25"/>
    <row r="1733" s="1" customFormat="1" x14ac:dyDescent="0.25"/>
    <row r="1734" s="1" customFormat="1" x14ac:dyDescent="0.25"/>
    <row r="1735" s="1" customFormat="1" x14ac:dyDescent="0.25"/>
    <row r="1736" s="1" customFormat="1" x14ac:dyDescent="0.25"/>
    <row r="1737" s="1" customFormat="1" x14ac:dyDescent="0.25"/>
    <row r="1738" s="1" customFormat="1" x14ac:dyDescent="0.25"/>
    <row r="1739" s="1" customFormat="1" x14ac:dyDescent="0.25"/>
    <row r="1740" s="1" customFormat="1" x14ac:dyDescent="0.25"/>
    <row r="1741" s="1" customFormat="1" x14ac:dyDescent="0.25"/>
    <row r="1742" s="1" customFormat="1" x14ac:dyDescent="0.25"/>
    <row r="1743" s="1" customFormat="1" x14ac:dyDescent="0.25"/>
    <row r="1744" s="1" customFormat="1" x14ac:dyDescent="0.25"/>
    <row r="1745" s="1" customFormat="1" x14ac:dyDescent="0.25"/>
    <row r="1746" s="1" customFormat="1" x14ac:dyDescent="0.25"/>
    <row r="1747" s="1" customFormat="1" x14ac:dyDescent="0.25"/>
    <row r="1748" s="1" customFormat="1" x14ac:dyDescent="0.25"/>
    <row r="1749" s="1" customFormat="1" x14ac:dyDescent="0.25"/>
    <row r="1750" s="1" customFormat="1" x14ac:dyDescent="0.25"/>
    <row r="1751" s="1" customFormat="1" x14ac:dyDescent="0.25"/>
    <row r="1752" s="1" customFormat="1" x14ac:dyDescent="0.25"/>
    <row r="1753" s="1" customFormat="1" x14ac:dyDescent="0.25"/>
    <row r="1754" s="1" customFormat="1" x14ac:dyDescent="0.25"/>
    <row r="1755" s="1" customFormat="1" x14ac:dyDescent="0.25"/>
    <row r="1756" s="1" customFormat="1" x14ac:dyDescent="0.25"/>
    <row r="1757" s="1" customFormat="1" x14ac:dyDescent="0.25"/>
    <row r="1758" s="1" customFormat="1" x14ac:dyDescent="0.25"/>
    <row r="1759" s="1" customFormat="1" x14ac:dyDescent="0.25"/>
    <row r="1760" s="1" customFormat="1" x14ac:dyDescent="0.25"/>
    <row r="1761" s="1" customFormat="1" x14ac:dyDescent="0.25"/>
    <row r="1762" s="1" customFormat="1" x14ac:dyDescent="0.25"/>
    <row r="1763" s="1" customFormat="1" x14ac:dyDescent="0.25"/>
    <row r="1764" s="1" customFormat="1" x14ac:dyDescent="0.25"/>
    <row r="1765" s="1" customFormat="1" x14ac:dyDescent="0.25"/>
    <row r="1766" s="1" customFormat="1" x14ac:dyDescent="0.25"/>
    <row r="1767" s="1" customFormat="1" x14ac:dyDescent="0.25"/>
    <row r="1768" s="1" customFormat="1" x14ac:dyDescent="0.25"/>
    <row r="1769" s="1" customFormat="1" x14ac:dyDescent="0.25"/>
    <row r="1770" s="1" customFormat="1" x14ac:dyDescent="0.25"/>
    <row r="1771" s="1" customFormat="1" x14ac:dyDescent="0.25"/>
    <row r="1772" s="1" customFormat="1" x14ac:dyDescent="0.25"/>
    <row r="1773" s="1" customFormat="1" x14ac:dyDescent="0.25"/>
    <row r="1774" s="1" customFormat="1" x14ac:dyDescent="0.25"/>
    <row r="1775" s="1" customFormat="1" x14ac:dyDescent="0.25"/>
    <row r="1776" s="1" customFormat="1" x14ac:dyDescent="0.25"/>
    <row r="1777" s="1" customFormat="1" x14ac:dyDescent="0.25"/>
    <row r="1778" s="1" customFormat="1" x14ac:dyDescent="0.25"/>
    <row r="1779" s="1" customFormat="1" x14ac:dyDescent="0.25"/>
    <row r="1780" s="1" customFormat="1" x14ac:dyDescent="0.25"/>
    <row r="1781" s="1" customFormat="1" x14ac:dyDescent="0.25"/>
    <row r="1782" s="1" customFormat="1" x14ac:dyDescent="0.25"/>
    <row r="1783" s="1" customFormat="1" x14ac:dyDescent="0.25"/>
    <row r="1784" s="1" customFormat="1" x14ac:dyDescent="0.25"/>
    <row r="1785" s="1" customFormat="1" x14ac:dyDescent="0.25"/>
    <row r="1786" s="1" customFormat="1" x14ac:dyDescent="0.25"/>
    <row r="1787" s="1" customFormat="1" x14ac:dyDescent="0.25"/>
    <row r="1788" s="1" customFormat="1" x14ac:dyDescent="0.25"/>
    <row r="1789" s="1" customFormat="1" x14ac:dyDescent="0.25"/>
    <row r="1790" s="1" customFormat="1" x14ac:dyDescent="0.25"/>
    <row r="1791" s="1" customFormat="1" x14ac:dyDescent="0.25"/>
    <row r="1792" s="1" customFormat="1" x14ac:dyDescent="0.25"/>
    <row r="1793" s="1" customFormat="1" x14ac:dyDescent="0.25"/>
    <row r="1794" s="1" customFormat="1" x14ac:dyDescent="0.25"/>
    <row r="1795" s="1" customFormat="1" x14ac:dyDescent="0.25"/>
    <row r="1796" s="1" customFormat="1" x14ac:dyDescent="0.25"/>
    <row r="1797" s="1" customFormat="1" x14ac:dyDescent="0.25"/>
    <row r="1798" s="1" customFormat="1" x14ac:dyDescent="0.25"/>
    <row r="1799" s="1" customFormat="1" x14ac:dyDescent="0.25"/>
    <row r="1800" s="1" customFormat="1" x14ac:dyDescent="0.25"/>
    <row r="1801" s="1" customFormat="1" x14ac:dyDescent="0.25"/>
    <row r="1802" s="1" customFormat="1" x14ac:dyDescent="0.25"/>
    <row r="1803" s="1" customFormat="1" x14ac:dyDescent="0.25"/>
    <row r="1804" s="1" customFormat="1" x14ac:dyDescent="0.25"/>
    <row r="1805" s="1" customFormat="1" x14ac:dyDescent="0.25"/>
    <row r="1806" s="1" customFormat="1" x14ac:dyDescent="0.25"/>
    <row r="1807" s="1" customFormat="1" x14ac:dyDescent="0.25"/>
    <row r="1808" s="1" customFormat="1" x14ac:dyDescent="0.25"/>
    <row r="1809" s="1" customFormat="1" x14ac:dyDescent="0.25"/>
    <row r="1810" s="1" customFormat="1" x14ac:dyDescent="0.25"/>
    <row r="1811" s="1" customFormat="1" x14ac:dyDescent="0.25"/>
    <row r="1812" s="1" customFormat="1" x14ac:dyDescent="0.25"/>
    <row r="1813" s="1" customFormat="1" x14ac:dyDescent="0.25"/>
    <row r="1814" s="1" customFormat="1" x14ac:dyDescent="0.25"/>
    <row r="1815" s="1" customFormat="1" x14ac:dyDescent="0.25"/>
    <row r="1816" s="1" customFormat="1" x14ac:dyDescent="0.25"/>
    <row r="1817" s="1" customFormat="1" x14ac:dyDescent="0.25"/>
    <row r="1818" s="1" customFormat="1" x14ac:dyDescent="0.25"/>
    <row r="1819" s="1" customFormat="1" x14ac:dyDescent="0.25"/>
    <row r="1820" s="1" customFormat="1" x14ac:dyDescent="0.25"/>
    <row r="1821" s="1" customFormat="1" x14ac:dyDescent="0.25"/>
    <row r="1822" s="1" customFormat="1" x14ac:dyDescent="0.25"/>
    <row r="1823" s="1" customFormat="1" x14ac:dyDescent="0.25"/>
    <row r="1824" s="1" customFormat="1" x14ac:dyDescent="0.25"/>
    <row r="1825" s="1" customFormat="1" x14ac:dyDescent="0.25"/>
    <row r="1826" s="1" customFormat="1" x14ac:dyDescent="0.25"/>
    <row r="1827" s="1" customFormat="1" x14ac:dyDescent="0.25"/>
  </sheetData>
  <sheetProtection password="C518" sheet="1" objects="1" scenarios="1"/>
  <pageMargins left="0.70866141732283472" right="0.70866141732283472" top="0.74803149606299213" bottom="0.74803149606299213" header="0.31496062992125984" footer="0.31496062992125984"/>
  <pageSetup scale="62" fitToHeight="0" orientation="portrait" r:id="rId1"/>
  <headerFooter>
    <oddFooter>&amp;L&amp;10Version 1.0    © CERIU, 2023&amp;R&amp;10Onglet Liste municipalités
Page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pageSetUpPr fitToPage="1"/>
  </sheetPr>
  <dimension ref="A2:U281"/>
  <sheetViews>
    <sheetView showGridLines="0" workbookViewId="0"/>
  </sheetViews>
  <sheetFormatPr baseColWidth="10" defaultRowHeight="15" x14ac:dyDescent="0.25"/>
  <cols>
    <col min="1" max="1" width="2" customWidth="1"/>
    <col min="2" max="2" width="3.140625" customWidth="1"/>
    <col min="3" max="3" width="9.85546875" customWidth="1"/>
    <col min="4" max="4" width="17.42578125" customWidth="1"/>
    <col min="5" max="5" width="4.7109375" customWidth="1"/>
    <col min="6" max="6" width="7" customWidth="1"/>
    <col min="7" max="7" width="16.7109375" customWidth="1"/>
    <col min="8" max="10" width="15.42578125" customWidth="1"/>
    <col min="11" max="11" width="11.5703125" customWidth="1"/>
    <col min="12" max="14" width="15.42578125" customWidth="1"/>
    <col min="15" max="15" width="16.7109375" customWidth="1"/>
    <col min="16" max="16" width="6.5703125" customWidth="1"/>
    <col min="17" max="17" width="3" customWidth="1"/>
    <col min="18" max="18" width="16.7109375" customWidth="1"/>
    <col min="19" max="19" width="2.7109375" customWidth="1"/>
    <col min="20" max="20" width="18.28515625" customWidth="1"/>
    <col min="21" max="21" width="3.28515625" customWidth="1"/>
  </cols>
  <sheetData>
    <row r="2" spans="1:21" ht="36" customHeight="1" x14ac:dyDescent="0.3">
      <c r="B2" s="788" t="s">
        <v>1641</v>
      </c>
      <c r="C2" s="785"/>
      <c r="D2" s="785"/>
      <c r="E2" s="785"/>
      <c r="F2" s="785"/>
      <c r="G2" s="785"/>
      <c r="H2" s="785"/>
      <c r="I2" s="785"/>
      <c r="J2" s="785"/>
      <c r="K2" s="785"/>
      <c r="L2" s="785"/>
      <c r="M2" s="785"/>
      <c r="N2" s="786"/>
      <c r="O2" s="786"/>
      <c r="P2" s="786"/>
      <c r="Q2" s="786"/>
      <c r="R2" s="789"/>
      <c r="S2" s="789"/>
      <c r="T2" s="789"/>
    </row>
    <row r="3" spans="1:21" ht="24" customHeight="1" x14ac:dyDescent="0.25">
      <c r="B3" s="600"/>
      <c r="C3" s="599"/>
      <c r="D3" s="599"/>
      <c r="E3" s="599"/>
      <c r="P3" s="2814" t="s">
        <v>2149</v>
      </c>
      <c r="Q3" s="2815"/>
      <c r="R3" s="2815"/>
      <c r="S3" s="2815"/>
      <c r="T3" s="2815"/>
    </row>
    <row r="4" spans="1:21" ht="3.75" customHeight="1" x14ac:dyDescent="0.25">
      <c r="B4" s="600"/>
      <c r="C4" s="599"/>
      <c r="D4" s="599"/>
      <c r="E4" s="599"/>
      <c r="R4" s="1216"/>
      <c r="S4" s="1216"/>
      <c r="T4" s="1216"/>
    </row>
    <row r="5" spans="1:21" x14ac:dyDescent="0.25">
      <c r="A5" s="627"/>
      <c r="B5" s="3531" t="s">
        <v>2175</v>
      </c>
      <c r="C5" s="3531"/>
      <c r="D5" s="3531"/>
      <c r="E5" s="3531"/>
      <c r="F5" s="3531"/>
      <c r="G5" s="3531"/>
      <c r="H5" s="3531"/>
      <c r="I5" s="3531"/>
      <c r="J5" s="3531"/>
      <c r="K5" s="3531"/>
      <c r="L5" s="3531"/>
      <c r="M5" s="3531"/>
      <c r="N5" s="3531"/>
      <c r="O5" s="3531"/>
      <c r="P5" s="3531"/>
      <c r="Q5" s="3531"/>
      <c r="R5" s="3531"/>
      <c r="S5" s="3531"/>
      <c r="T5" s="3531"/>
      <c r="U5" s="3531"/>
    </row>
    <row r="6" spans="1:21" ht="18.75" customHeight="1" x14ac:dyDescent="0.25">
      <c r="A6" s="627"/>
      <c r="B6" s="1362" t="s">
        <v>2176</v>
      </c>
      <c r="C6" s="2641"/>
      <c r="D6" s="2641"/>
      <c r="E6" s="2641"/>
      <c r="F6" s="2641"/>
      <c r="G6" s="2641"/>
      <c r="H6" s="2641"/>
      <c r="I6" s="2641"/>
      <c r="J6" s="2641"/>
      <c r="K6" s="2641"/>
      <c r="L6" s="2641"/>
      <c r="M6" s="2641"/>
      <c r="N6" s="2641"/>
      <c r="O6" s="2641"/>
      <c r="P6" s="2641"/>
      <c r="Q6" s="2641"/>
      <c r="R6" s="2641"/>
      <c r="S6" s="2641"/>
      <c r="T6" s="2641"/>
      <c r="U6" s="2641"/>
    </row>
    <row r="7" spans="1:21" ht="31.5" customHeight="1" x14ac:dyDescent="0.25">
      <c r="B7" s="3532"/>
      <c r="C7" s="3532"/>
      <c r="D7" s="3532"/>
      <c r="E7" s="3532"/>
      <c r="F7" s="3532"/>
      <c r="G7" s="3532"/>
      <c r="H7" s="3532"/>
      <c r="I7" s="3532"/>
      <c r="J7" s="3532"/>
      <c r="K7" s="3532"/>
      <c r="L7" s="3532"/>
      <c r="M7" s="3532"/>
      <c r="N7" s="3532"/>
      <c r="O7" s="3532"/>
      <c r="P7" s="3532"/>
      <c r="Q7" s="3532"/>
      <c r="R7" s="3532"/>
      <c r="S7" s="3532"/>
      <c r="T7" s="3532"/>
      <c r="U7" s="3532"/>
    </row>
    <row r="8" spans="1:21" ht="27.75" customHeight="1" x14ac:dyDescent="0.25">
      <c r="B8" s="954" t="s">
        <v>2177</v>
      </c>
      <c r="C8" s="2629"/>
      <c r="D8" s="2629"/>
      <c r="E8" s="2627"/>
      <c r="F8" s="2627"/>
      <c r="G8" s="2627"/>
      <c r="H8" s="2627"/>
      <c r="I8" s="2627"/>
      <c r="J8" s="2627"/>
      <c r="K8" s="2627"/>
      <c r="L8" s="2627"/>
      <c r="M8" s="2627"/>
      <c r="N8" s="2627"/>
      <c r="O8" s="2627"/>
      <c r="P8" s="2627"/>
      <c r="Q8" s="2627"/>
      <c r="R8" s="2628"/>
      <c r="S8" s="2628"/>
      <c r="T8" s="2628"/>
    </row>
    <row r="9" spans="1:21" ht="14.25" customHeight="1" thickBot="1" x14ac:dyDescent="0.3">
      <c r="B9" s="2637"/>
      <c r="C9" s="2638"/>
      <c r="D9" s="2638"/>
      <c r="E9" s="2639"/>
      <c r="F9" s="2639"/>
      <c r="G9" s="2639"/>
      <c r="H9" s="2639"/>
      <c r="I9" s="2639"/>
      <c r="J9" s="2639"/>
      <c r="K9" s="2639"/>
      <c r="L9" s="2639"/>
      <c r="M9" s="2639"/>
      <c r="N9" s="2639"/>
      <c r="O9" s="2639"/>
      <c r="P9" s="2639"/>
      <c r="Q9" s="2639"/>
      <c r="R9" s="2640"/>
      <c r="S9" s="2640"/>
      <c r="T9" s="2640"/>
    </row>
    <row r="10" spans="1:21" ht="22.5" customHeight="1" x14ac:dyDescent="0.25">
      <c r="B10" s="3551" t="s">
        <v>2317</v>
      </c>
      <c r="C10" s="3552"/>
      <c r="D10" s="3552"/>
      <c r="E10" s="3552"/>
      <c r="F10" s="3552"/>
      <c r="G10" s="3552"/>
      <c r="H10" s="3552"/>
      <c r="I10" s="3552"/>
      <c r="J10" s="3552"/>
      <c r="K10" s="3552"/>
      <c r="L10" s="3552"/>
      <c r="M10" s="3552"/>
      <c r="N10" s="3552"/>
      <c r="O10" s="3552"/>
      <c r="P10" s="3552"/>
      <c r="Q10" s="3552"/>
      <c r="R10" s="3552"/>
      <c r="S10" s="3552"/>
      <c r="T10" s="3553"/>
      <c r="U10" s="627"/>
    </row>
    <row r="11" spans="1:21" ht="26.25" customHeight="1" x14ac:dyDescent="0.25">
      <c r="B11" s="3554"/>
      <c r="C11" s="3555"/>
      <c r="D11" s="3555"/>
      <c r="E11" s="3555"/>
      <c r="F11" s="3555"/>
      <c r="G11" s="3555"/>
      <c r="H11" s="3555"/>
      <c r="I11" s="3555"/>
      <c r="J11" s="3555"/>
      <c r="K11" s="3555"/>
      <c r="L11" s="3555"/>
      <c r="M11" s="3555"/>
      <c r="N11" s="3555"/>
      <c r="O11" s="3555"/>
      <c r="P11" s="3555"/>
      <c r="Q11" s="3555"/>
      <c r="R11" s="3555"/>
      <c r="S11" s="3555"/>
      <c r="T11" s="3556"/>
      <c r="U11" s="627"/>
    </row>
    <row r="12" spans="1:21" s="6" customFormat="1" ht="21" customHeight="1" x14ac:dyDescent="0.25">
      <c r="B12" s="3539" t="s">
        <v>2178</v>
      </c>
      <c r="C12" s="3540"/>
      <c r="D12" s="3540"/>
      <c r="E12" s="3540"/>
      <c r="F12" s="3540"/>
      <c r="G12" s="2709"/>
      <c r="H12" s="2710"/>
      <c r="I12" s="2710"/>
      <c r="J12" s="2710"/>
      <c r="K12" s="2710"/>
      <c r="L12" s="2710"/>
      <c r="M12" s="2710"/>
      <c r="N12" s="2710"/>
      <c r="O12" s="2710"/>
      <c r="P12" s="2710"/>
      <c r="Q12" s="2710"/>
      <c r="R12" s="2710"/>
      <c r="S12" s="2710"/>
      <c r="T12" s="2711"/>
      <c r="U12" s="2708"/>
    </row>
    <row r="13" spans="1:21" s="6" customFormat="1" ht="21" customHeight="1" x14ac:dyDescent="0.25">
      <c r="B13" s="3544" t="s">
        <v>2179</v>
      </c>
      <c r="C13" s="3545"/>
      <c r="D13" s="3545"/>
      <c r="E13" s="2709"/>
      <c r="F13" s="2709"/>
      <c r="G13" s="2709"/>
      <c r="H13" s="2710"/>
      <c r="I13" s="2710"/>
      <c r="J13" s="2710"/>
      <c r="K13" s="2710"/>
      <c r="L13" s="2710"/>
      <c r="M13" s="2710"/>
      <c r="N13" s="2710"/>
      <c r="O13" s="2710"/>
      <c r="P13" s="2710"/>
      <c r="Q13" s="2710"/>
      <c r="R13" s="2710"/>
      <c r="S13" s="2710"/>
      <c r="T13" s="2711"/>
      <c r="U13" s="2708"/>
    </row>
    <row r="14" spans="1:21" s="6" customFormat="1" ht="21" customHeight="1" x14ac:dyDescent="0.25">
      <c r="B14" s="3544" t="s">
        <v>2180</v>
      </c>
      <c r="C14" s="3545"/>
      <c r="D14" s="3545"/>
      <c r="E14" s="2709"/>
      <c r="F14" s="2709"/>
      <c r="G14" s="2709"/>
      <c r="H14" s="2710"/>
      <c r="I14" s="2710"/>
      <c r="J14" s="2710"/>
      <c r="K14" s="2710"/>
      <c r="L14" s="2710"/>
      <c r="M14" s="2710"/>
      <c r="N14" s="2710"/>
      <c r="O14" s="2710"/>
      <c r="P14" s="2710"/>
      <c r="Q14" s="2710"/>
      <c r="R14" s="2710"/>
      <c r="S14" s="2710"/>
      <c r="T14" s="2711"/>
      <c r="U14" s="2708"/>
    </row>
    <row r="15" spans="1:21" s="6" customFormat="1" ht="21" customHeight="1" x14ac:dyDescent="0.25">
      <c r="B15" s="3544" t="s">
        <v>2181</v>
      </c>
      <c r="C15" s="3545"/>
      <c r="D15" s="3545"/>
      <c r="E15" s="2709"/>
      <c r="F15" s="2709"/>
      <c r="G15" s="2709"/>
      <c r="H15" s="2710"/>
      <c r="I15" s="2710"/>
      <c r="J15" s="2710"/>
      <c r="K15" s="2710"/>
      <c r="L15" s="2710"/>
      <c r="M15" s="2710"/>
      <c r="N15" s="2710"/>
      <c r="O15" s="2710"/>
      <c r="P15" s="2710"/>
      <c r="Q15" s="2710"/>
      <c r="R15" s="2710"/>
      <c r="S15" s="2710"/>
      <c r="T15" s="2711"/>
      <c r="U15" s="2708"/>
    </row>
    <row r="16" spans="1:21" s="6" customFormat="1" ht="21" customHeight="1" x14ac:dyDescent="0.25">
      <c r="B16" s="3544" t="s">
        <v>2182</v>
      </c>
      <c r="C16" s="3545"/>
      <c r="D16" s="3545"/>
      <c r="E16" s="3545"/>
      <c r="F16" s="3545"/>
      <c r="G16" s="3545"/>
      <c r="H16" s="2710"/>
      <c r="I16" s="2710"/>
      <c r="J16" s="2710"/>
      <c r="K16" s="2710"/>
      <c r="L16" s="2710"/>
      <c r="M16" s="2710"/>
      <c r="N16" s="2710"/>
      <c r="O16" s="2710"/>
      <c r="P16" s="2710"/>
      <c r="Q16" s="2710"/>
      <c r="R16" s="2710"/>
      <c r="S16" s="2710"/>
      <c r="T16" s="2711"/>
      <c r="U16" s="2708"/>
    </row>
    <row r="17" spans="1:21" s="6" customFormat="1" ht="21" customHeight="1" x14ac:dyDescent="0.25">
      <c r="B17" s="3544" t="s">
        <v>2183</v>
      </c>
      <c r="C17" s="3545"/>
      <c r="D17" s="3545"/>
      <c r="E17" s="2709"/>
      <c r="F17" s="2709"/>
      <c r="G17" s="2709"/>
      <c r="H17" s="2710"/>
      <c r="I17" s="2710"/>
      <c r="J17" s="2710"/>
      <c r="K17" s="2710"/>
      <c r="L17" s="2710"/>
      <c r="M17" s="2710"/>
      <c r="N17" s="2710"/>
      <c r="O17" s="2710"/>
      <c r="P17" s="2710"/>
      <c r="Q17" s="2710"/>
      <c r="R17" s="2710"/>
      <c r="S17" s="2710"/>
      <c r="T17" s="2711"/>
      <c r="U17" s="2708"/>
    </row>
    <row r="18" spans="1:21" s="6" customFormat="1" ht="21" customHeight="1" x14ac:dyDescent="0.25">
      <c r="B18" s="3544" t="s">
        <v>2184</v>
      </c>
      <c r="C18" s="3545"/>
      <c r="D18" s="3545"/>
      <c r="E18" s="2709"/>
      <c r="F18" s="2709"/>
      <c r="G18" s="2709"/>
      <c r="H18" s="2710"/>
      <c r="I18" s="2710"/>
      <c r="J18" s="2710"/>
      <c r="K18" s="2710"/>
      <c r="L18" s="2710"/>
      <c r="M18" s="2710"/>
      <c r="N18" s="2710"/>
      <c r="O18" s="2710"/>
      <c r="P18" s="2710"/>
      <c r="Q18" s="2710"/>
      <c r="R18" s="2710"/>
      <c r="S18" s="2710"/>
      <c r="T18" s="2711"/>
      <c r="U18" s="2708"/>
    </row>
    <row r="19" spans="1:21" s="6" customFormat="1" ht="25.5" customHeight="1" thickBot="1" x14ac:dyDescent="0.3">
      <c r="B19" s="3546" t="s">
        <v>2185</v>
      </c>
      <c r="C19" s="3547"/>
      <c r="D19" s="3547"/>
      <c r="E19" s="2712"/>
      <c r="F19" s="2712"/>
      <c r="G19" s="2712"/>
      <c r="H19" s="2713"/>
      <c r="I19" s="2713"/>
      <c r="J19" s="2713"/>
      <c r="K19" s="2713"/>
      <c r="L19" s="2713"/>
      <c r="M19" s="2713"/>
      <c r="N19" s="2713"/>
      <c r="O19" s="2713"/>
      <c r="P19" s="2713"/>
      <c r="Q19" s="2713"/>
      <c r="R19" s="2713"/>
      <c r="S19" s="2713"/>
      <c r="T19" s="2714"/>
      <c r="U19" s="2708"/>
    </row>
    <row r="20" spans="1:21" ht="30.75" customHeight="1" x14ac:dyDescent="0.25">
      <c r="B20" s="1362"/>
      <c r="C20" s="979"/>
      <c r="D20" s="979"/>
      <c r="E20" s="979"/>
      <c r="F20" s="979"/>
      <c r="G20" s="979"/>
      <c r="H20" s="979"/>
      <c r="I20" s="979"/>
      <c r="J20" s="979"/>
      <c r="K20" s="979"/>
      <c r="L20" s="979"/>
      <c r="M20" s="979"/>
      <c r="N20" s="979"/>
      <c r="O20" s="979"/>
      <c r="P20" s="979"/>
      <c r="Q20" s="979"/>
      <c r="R20" s="979"/>
      <c r="S20" s="979"/>
      <c r="T20" s="979"/>
    </row>
    <row r="21" spans="1:21" ht="27.75" customHeight="1" x14ac:dyDescent="0.25">
      <c r="A21" s="699"/>
      <c r="B21" s="954" t="s">
        <v>2186</v>
      </c>
      <c r="C21" s="2635"/>
      <c r="D21" s="2635"/>
      <c r="E21" s="2635"/>
      <c r="F21" s="2635"/>
      <c r="G21" s="2635"/>
      <c r="H21" s="2635"/>
      <c r="I21" s="2635"/>
      <c r="J21" s="2635"/>
      <c r="K21" s="2635"/>
      <c r="L21" s="2635"/>
      <c r="M21" s="2635"/>
      <c r="N21" s="2635"/>
      <c r="O21" s="2635"/>
      <c r="P21" s="2635"/>
      <c r="Q21" s="2635"/>
      <c r="R21" s="2635"/>
      <c r="S21" s="2635"/>
      <c r="T21" s="2635"/>
    </row>
    <row r="22" spans="1:21" ht="15.75" thickBot="1" x14ac:dyDescent="0.3">
      <c r="B22" s="1362"/>
      <c r="C22" s="979"/>
      <c r="D22" s="979"/>
      <c r="E22" s="979"/>
      <c r="F22" s="979"/>
      <c r="G22" s="979"/>
      <c r="H22" s="979"/>
      <c r="I22" s="979"/>
      <c r="J22" s="979"/>
      <c r="K22" s="979"/>
      <c r="L22" s="979"/>
      <c r="M22" s="979"/>
      <c r="N22" s="979"/>
      <c r="O22" s="979"/>
      <c r="P22" s="979"/>
      <c r="Q22" s="979"/>
      <c r="R22" s="979"/>
      <c r="S22" s="979"/>
      <c r="T22" s="979"/>
    </row>
    <row r="23" spans="1:21" ht="28.5" customHeight="1" x14ac:dyDescent="0.25">
      <c r="B23" s="2644"/>
      <c r="C23" s="2715" t="s">
        <v>2187</v>
      </c>
      <c r="D23" s="2645"/>
      <c r="E23" s="2645"/>
      <c r="F23" s="2645"/>
      <c r="G23" s="2645"/>
      <c r="H23" s="2645"/>
      <c r="I23" s="2645"/>
      <c r="J23" s="2645"/>
      <c r="K23" s="2645"/>
      <c r="L23" s="2645"/>
      <c r="M23" s="2645"/>
      <c r="N23" s="2645"/>
      <c r="O23" s="2645"/>
      <c r="P23" s="2645"/>
      <c r="Q23" s="2645"/>
      <c r="R23" s="2645"/>
      <c r="S23" s="2645"/>
      <c r="T23" s="2646"/>
    </row>
    <row r="24" spans="1:21" ht="23.25" customHeight="1" x14ac:dyDescent="0.25">
      <c r="B24" s="2647"/>
      <c r="C24" s="2634" t="s">
        <v>2188</v>
      </c>
      <c r="D24" s="2648"/>
      <c r="E24" s="2648"/>
      <c r="F24" s="2648"/>
      <c r="G24" s="2648"/>
      <c r="H24" s="2648"/>
      <c r="I24" s="2648"/>
      <c r="J24" s="2648"/>
      <c r="K24" s="2648"/>
      <c r="L24" s="2648"/>
      <c r="M24" s="2648"/>
      <c r="N24" s="2648"/>
      <c r="O24" s="2648"/>
      <c r="P24" s="2648"/>
      <c r="Q24" s="2648"/>
      <c r="R24" s="2648"/>
      <c r="S24" s="2648"/>
      <c r="T24" s="2649"/>
    </row>
    <row r="25" spans="1:21" ht="24" customHeight="1" x14ac:dyDescent="0.25">
      <c r="B25" s="2647"/>
      <c r="C25" s="2719" t="s">
        <v>2189</v>
      </c>
      <c r="D25" s="2648"/>
      <c r="E25" s="2648"/>
      <c r="F25" s="2648"/>
      <c r="G25" s="2648"/>
      <c r="H25" s="2648"/>
      <c r="I25" s="2648"/>
      <c r="J25" s="2648"/>
      <c r="K25" s="2648"/>
      <c r="L25" s="2648"/>
      <c r="M25" s="2648"/>
      <c r="N25" s="2648"/>
      <c r="O25" s="2648"/>
      <c r="P25" s="2648"/>
      <c r="Q25" s="2648"/>
      <c r="R25" s="2648"/>
      <c r="S25" s="2648"/>
      <c r="T25" s="2649"/>
    </row>
    <row r="26" spans="1:21" ht="18" customHeight="1" x14ac:dyDescent="0.25">
      <c r="B26" s="2716"/>
      <c r="C26" s="2636" t="s">
        <v>2190</v>
      </c>
      <c r="D26" s="848"/>
      <c r="E26" s="848"/>
      <c r="F26" s="848"/>
      <c r="G26" s="848"/>
      <c r="H26" s="848"/>
      <c r="I26" s="848"/>
      <c r="J26" s="848"/>
      <c r="K26" s="848"/>
      <c r="L26" s="848"/>
      <c r="M26" s="848"/>
      <c r="N26" s="848"/>
      <c r="O26" s="848"/>
      <c r="P26" s="848"/>
      <c r="Q26" s="848"/>
      <c r="R26" s="848"/>
      <c r="S26" s="848"/>
      <c r="T26" s="2717"/>
    </row>
    <row r="27" spans="1:21" ht="24" customHeight="1" x14ac:dyDescent="0.25">
      <c r="B27" s="2647"/>
      <c r="C27" s="2719" t="s">
        <v>1656</v>
      </c>
      <c r="D27" s="2648"/>
      <c r="E27" s="2648"/>
      <c r="F27" s="2648"/>
      <c r="G27" s="2648"/>
      <c r="H27" s="2648"/>
      <c r="I27" s="2648"/>
      <c r="J27" s="2648"/>
      <c r="K27" s="2648"/>
      <c r="L27" s="2648"/>
      <c r="M27" s="2648"/>
      <c r="N27" s="2648"/>
      <c r="O27" s="2648"/>
      <c r="P27" s="2648"/>
      <c r="Q27" s="2648"/>
      <c r="R27" s="2648"/>
      <c r="S27" s="2648"/>
      <c r="T27" s="2649"/>
    </row>
    <row r="28" spans="1:21" ht="18" customHeight="1" x14ac:dyDescent="0.25">
      <c r="B28" s="2716"/>
      <c r="C28" s="2636" t="s">
        <v>2191</v>
      </c>
      <c r="D28" s="848"/>
      <c r="E28" s="848"/>
      <c r="F28" s="848"/>
      <c r="G28" s="848"/>
      <c r="H28" s="848"/>
      <c r="I28" s="848"/>
      <c r="J28" s="848"/>
      <c r="K28" s="848"/>
      <c r="L28" s="848"/>
      <c r="M28" s="848"/>
      <c r="N28" s="848"/>
      <c r="O28" s="848"/>
      <c r="P28" s="848"/>
      <c r="Q28" s="848"/>
      <c r="R28" s="848"/>
      <c r="S28" s="848"/>
      <c r="T28" s="2717"/>
    </row>
    <row r="29" spans="1:21" ht="24" customHeight="1" x14ac:dyDescent="0.25">
      <c r="B29" s="2647"/>
      <c r="C29" s="2719" t="s">
        <v>2192</v>
      </c>
      <c r="D29" s="2648"/>
      <c r="E29" s="2648"/>
      <c r="F29" s="2648"/>
      <c r="G29" s="2648"/>
      <c r="H29" s="2648"/>
      <c r="I29" s="2648"/>
      <c r="J29" s="2648"/>
      <c r="K29" s="2648"/>
      <c r="L29" s="2648"/>
      <c r="M29" s="2648"/>
      <c r="N29" s="2648"/>
      <c r="O29" s="2648"/>
      <c r="P29" s="2648"/>
      <c r="Q29" s="2648"/>
      <c r="R29" s="2648"/>
      <c r="S29" s="2648"/>
      <c r="T29" s="2649"/>
    </row>
    <row r="30" spans="1:21" ht="18" customHeight="1" x14ac:dyDescent="0.25">
      <c r="B30" s="2716"/>
      <c r="C30" s="2636" t="s">
        <v>2193</v>
      </c>
      <c r="D30" s="848"/>
      <c r="E30" s="848"/>
      <c r="F30" s="848"/>
      <c r="G30" s="848"/>
      <c r="H30" s="848"/>
      <c r="I30" s="848"/>
      <c r="J30" s="848"/>
      <c r="K30" s="848"/>
      <c r="L30" s="848"/>
      <c r="M30" s="848"/>
      <c r="N30" s="848"/>
      <c r="O30" s="848"/>
      <c r="P30" s="848"/>
      <c r="Q30" s="848"/>
      <c r="R30" s="848"/>
      <c r="S30" s="848"/>
      <c r="T30" s="2717"/>
    </row>
    <row r="31" spans="1:21" ht="24" customHeight="1" x14ac:dyDescent="0.25">
      <c r="B31" s="2647"/>
      <c r="C31" s="2719" t="s">
        <v>2194</v>
      </c>
      <c r="D31" s="2648"/>
      <c r="E31" s="2648"/>
      <c r="F31" s="2648"/>
      <c r="G31" s="2648"/>
      <c r="H31" s="2648"/>
      <c r="I31" s="2648"/>
      <c r="J31" s="2648"/>
      <c r="K31" s="2648"/>
      <c r="L31" s="2648"/>
      <c r="M31" s="2648"/>
      <c r="N31" s="2648"/>
      <c r="O31" s="2648"/>
      <c r="P31" s="2648"/>
      <c r="Q31" s="2648"/>
      <c r="R31" s="2648"/>
      <c r="S31" s="2648"/>
      <c r="T31" s="2649"/>
    </row>
    <row r="32" spans="1:21" ht="18" customHeight="1" x14ac:dyDescent="0.25">
      <c r="B32" s="2716"/>
      <c r="C32" s="2650" t="s">
        <v>2195</v>
      </c>
      <c r="D32" s="848"/>
      <c r="E32" s="848"/>
      <c r="F32" s="848"/>
      <c r="G32" s="848"/>
      <c r="H32" s="848"/>
      <c r="I32" s="848"/>
      <c r="J32" s="848"/>
      <c r="K32" s="848"/>
      <c r="L32" s="848"/>
      <c r="M32" s="848"/>
      <c r="N32" s="848"/>
      <c r="O32" s="848"/>
      <c r="P32" s="848"/>
      <c r="Q32" s="848"/>
      <c r="R32" s="848"/>
      <c r="S32" s="848"/>
      <c r="T32" s="2717"/>
    </row>
    <row r="33" spans="2:20" ht="18" customHeight="1" x14ac:dyDescent="0.25">
      <c r="B33" s="2716"/>
      <c r="C33" s="2703" t="s">
        <v>2196</v>
      </c>
      <c r="D33" s="2718"/>
      <c r="E33" s="2718"/>
      <c r="F33" s="2718"/>
      <c r="G33" s="2718"/>
      <c r="H33" s="2718"/>
      <c r="I33" s="2718"/>
      <c r="J33" s="848"/>
      <c r="K33" s="848"/>
      <c r="L33" s="848"/>
      <c r="M33" s="848"/>
      <c r="N33" s="848"/>
      <c r="O33" s="848"/>
      <c r="P33" s="848"/>
      <c r="Q33" s="848"/>
      <c r="R33" s="848"/>
      <c r="S33" s="848"/>
      <c r="T33" s="2717"/>
    </row>
    <row r="34" spans="2:20" ht="18" customHeight="1" x14ac:dyDescent="0.25">
      <c r="B34" s="2716"/>
      <c r="C34" s="2650" t="s">
        <v>2197</v>
      </c>
      <c r="D34" s="848"/>
      <c r="E34" s="848"/>
      <c r="F34" s="848"/>
      <c r="G34" s="848"/>
      <c r="H34" s="848"/>
      <c r="I34" s="848"/>
      <c r="J34" s="848"/>
      <c r="K34" s="848"/>
      <c r="L34" s="848"/>
      <c r="M34" s="848"/>
      <c r="N34" s="848"/>
      <c r="O34" s="848"/>
      <c r="P34" s="848"/>
      <c r="Q34" s="848"/>
      <c r="R34" s="848"/>
      <c r="S34" s="848"/>
      <c r="T34" s="2717"/>
    </row>
    <row r="35" spans="2:20" ht="18" customHeight="1" x14ac:dyDescent="0.25">
      <c r="B35" s="2716"/>
      <c r="C35" s="2650" t="s">
        <v>2198</v>
      </c>
      <c r="D35" s="848"/>
      <c r="E35" s="848"/>
      <c r="F35" s="848"/>
      <c r="G35" s="848"/>
      <c r="H35" s="848"/>
      <c r="I35" s="848"/>
      <c r="J35" s="848"/>
      <c r="K35" s="848"/>
      <c r="L35" s="848"/>
      <c r="M35" s="848"/>
      <c r="N35" s="848"/>
      <c r="O35" s="848"/>
      <c r="P35" s="848"/>
      <c r="Q35" s="848"/>
      <c r="R35" s="848"/>
      <c r="S35" s="848"/>
      <c r="T35" s="2717"/>
    </row>
    <row r="36" spans="2:20" ht="18" customHeight="1" x14ac:dyDescent="0.25">
      <c r="B36" s="2716"/>
      <c r="C36" s="2703" t="s">
        <v>2199</v>
      </c>
      <c r="D36" s="2718"/>
      <c r="E36" s="2718"/>
      <c r="F36" s="2718"/>
      <c r="G36" s="2718"/>
      <c r="H36" s="2718"/>
      <c r="I36" s="2718"/>
      <c r="J36" s="2718"/>
      <c r="K36" s="2718"/>
      <c r="L36" s="2718"/>
      <c r="M36" s="2718"/>
      <c r="N36" s="2718"/>
      <c r="O36" s="2718"/>
      <c r="P36" s="2718"/>
      <c r="Q36" s="848"/>
      <c r="R36" s="848"/>
      <c r="S36" s="848"/>
      <c r="T36" s="2717"/>
    </row>
    <row r="37" spans="2:20" ht="24" customHeight="1" x14ac:dyDescent="0.25">
      <c r="B37" s="2647"/>
      <c r="C37" s="2719" t="s">
        <v>2200</v>
      </c>
      <c r="D37" s="2648"/>
      <c r="E37" s="2648"/>
      <c r="F37" s="2648"/>
      <c r="G37" s="2648"/>
      <c r="H37" s="2648"/>
      <c r="I37" s="2648"/>
      <c r="J37" s="2648"/>
      <c r="K37" s="2648"/>
      <c r="L37" s="2648"/>
      <c r="M37" s="2648"/>
      <c r="N37" s="2648"/>
      <c r="O37" s="2648"/>
      <c r="P37" s="2648"/>
      <c r="Q37" s="2648"/>
      <c r="R37" s="2648"/>
      <c r="S37" s="2648"/>
      <c r="T37" s="2649"/>
    </row>
    <row r="38" spans="2:20" ht="18" customHeight="1" x14ac:dyDescent="0.25">
      <c r="B38" s="2716"/>
      <c r="C38" s="2650" t="s">
        <v>2201</v>
      </c>
      <c r="D38" s="848"/>
      <c r="E38" s="848"/>
      <c r="F38" s="848"/>
      <c r="G38" s="848"/>
      <c r="H38" s="848"/>
      <c r="I38" s="848"/>
      <c r="J38" s="848"/>
      <c r="K38" s="848"/>
      <c r="L38" s="848"/>
      <c r="M38" s="848"/>
      <c r="N38" s="848"/>
      <c r="O38" s="848"/>
      <c r="P38" s="848"/>
      <c r="Q38" s="848"/>
      <c r="R38" s="848"/>
      <c r="S38" s="848"/>
      <c r="T38" s="2717"/>
    </row>
    <row r="39" spans="2:20" ht="18" customHeight="1" x14ac:dyDescent="0.25">
      <c r="B39" s="2716"/>
      <c r="C39" s="2650" t="s">
        <v>2202</v>
      </c>
      <c r="D39" s="848"/>
      <c r="E39" s="848"/>
      <c r="F39" s="848"/>
      <c r="G39" s="848"/>
      <c r="H39" s="848"/>
      <c r="I39" s="848"/>
      <c r="J39" s="848"/>
      <c r="K39" s="848"/>
      <c r="L39" s="848"/>
      <c r="M39" s="848"/>
      <c r="N39" s="848"/>
      <c r="O39" s="848"/>
      <c r="P39" s="848"/>
      <c r="Q39" s="848"/>
      <c r="R39" s="848"/>
      <c r="S39" s="848"/>
      <c r="T39" s="2717"/>
    </row>
    <row r="40" spans="2:20" ht="24" customHeight="1" x14ac:dyDescent="0.25">
      <c r="B40" s="2647"/>
      <c r="C40" s="2719" t="s">
        <v>2203</v>
      </c>
      <c r="D40" s="2648"/>
      <c r="E40" s="2648"/>
      <c r="F40" s="2648"/>
      <c r="G40" s="2648"/>
      <c r="H40" s="2648"/>
      <c r="I40" s="2648"/>
      <c r="J40" s="2648"/>
      <c r="K40" s="2648"/>
      <c r="L40" s="2648"/>
      <c r="M40" s="2648"/>
      <c r="N40" s="2648"/>
      <c r="O40" s="2648"/>
      <c r="P40" s="2648"/>
      <c r="Q40" s="2648"/>
      <c r="R40" s="2648"/>
      <c r="S40" s="2648"/>
      <c r="T40" s="2649"/>
    </row>
    <row r="41" spans="2:20" ht="18" customHeight="1" x14ac:dyDescent="0.25">
      <c r="B41" s="2716"/>
      <c r="C41" s="2650" t="s">
        <v>2204</v>
      </c>
      <c r="D41" s="848"/>
      <c r="E41" s="848"/>
      <c r="F41" s="848"/>
      <c r="G41" s="848"/>
      <c r="H41" s="848"/>
      <c r="I41" s="848"/>
      <c r="J41" s="848"/>
      <c r="K41" s="848"/>
      <c r="L41" s="848"/>
      <c r="M41" s="848"/>
      <c r="N41" s="848"/>
      <c r="O41" s="848"/>
      <c r="P41" s="848"/>
      <c r="Q41" s="848"/>
      <c r="R41" s="848"/>
      <c r="S41" s="848"/>
      <c r="T41" s="2717"/>
    </row>
    <row r="42" spans="2:20" ht="18" customHeight="1" x14ac:dyDescent="0.25">
      <c r="B42" s="2716"/>
      <c r="C42" s="2650" t="s">
        <v>2205</v>
      </c>
      <c r="D42" s="848"/>
      <c r="E42" s="848"/>
      <c r="F42" s="848"/>
      <c r="G42" s="848"/>
      <c r="H42" s="848"/>
      <c r="I42" s="848"/>
      <c r="J42" s="848"/>
      <c r="K42" s="848"/>
      <c r="L42" s="848"/>
      <c r="M42" s="848"/>
      <c r="N42" s="848"/>
      <c r="O42" s="848"/>
      <c r="P42" s="848"/>
      <c r="Q42" s="848"/>
      <c r="R42" s="848"/>
      <c r="S42" s="848"/>
      <c r="T42" s="2717"/>
    </row>
    <row r="43" spans="2:20" ht="18" customHeight="1" x14ac:dyDescent="0.25">
      <c r="B43" s="2716"/>
      <c r="C43" s="2650" t="s">
        <v>2206</v>
      </c>
      <c r="D43" s="848"/>
      <c r="E43" s="848"/>
      <c r="F43" s="848"/>
      <c r="G43" s="848"/>
      <c r="H43" s="848"/>
      <c r="I43" s="848"/>
      <c r="J43" s="848"/>
      <c r="K43" s="848"/>
      <c r="L43" s="848"/>
      <c r="M43" s="848"/>
      <c r="N43" s="848"/>
      <c r="O43" s="848"/>
      <c r="P43" s="848"/>
      <c r="Q43" s="848"/>
      <c r="R43" s="848"/>
      <c r="S43" s="848"/>
      <c r="T43" s="2717"/>
    </row>
    <row r="44" spans="2:20" ht="18" customHeight="1" x14ac:dyDescent="0.25">
      <c r="B44" s="2716"/>
      <c r="C44" s="2703" t="s">
        <v>2207</v>
      </c>
      <c r="D44" s="2718"/>
      <c r="E44" s="2718"/>
      <c r="F44" s="2718"/>
      <c r="G44" s="2718"/>
      <c r="H44" s="2718"/>
      <c r="I44" s="2718"/>
      <c r="J44" s="2718"/>
      <c r="K44" s="2718"/>
      <c r="L44" s="2718"/>
      <c r="M44" s="848"/>
      <c r="N44" s="848"/>
      <c r="O44" s="848"/>
      <c r="P44" s="848"/>
      <c r="Q44" s="848"/>
      <c r="R44" s="848"/>
      <c r="S44" s="848"/>
      <c r="T44" s="2717"/>
    </row>
    <row r="45" spans="2:20" ht="15.75" thickBot="1" x14ac:dyDescent="0.3">
      <c r="B45" s="2651"/>
      <c r="C45" s="2652"/>
      <c r="D45" s="2652"/>
      <c r="E45" s="2652"/>
      <c r="F45" s="2652"/>
      <c r="G45" s="2652"/>
      <c r="H45" s="2652"/>
      <c r="I45" s="2652"/>
      <c r="J45" s="2652"/>
      <c r="K45" s="2652"/>
      <c r="L45" s="2652"/>
      <c r="M45" s="2652"/>
      <c r="N45" s="2652"/>
      <c r="O45" s="2652"/>
      <c r="P45" s="2652"/>
      <c r="Q45" s="2652"/>
      <c r="R45" s="2652"/>
      <c r="S45" s="2652"/>
      <c r="T45" s="2653"/>
    </row>
    <row r="46" spans="2:20" ht="18.75" x14ac:dyDescent="0.25">
      <c r="B46" s="600"/>
      <c r="C46" s="599"/>
      <c r="D46" s="599"/>
      <c r="E46" s="599"/>
      <c r="R46" s="1216"/>
      <c r="S46" s="1216"/>
      <c r="T46" s="1216"/>
    </row>
    <row r="47" spans="2:20" ht="27.75" customHeight="1" x14ac:dyDescent="0.25">
      <c r="B47" s="954" t="s">
        <v>1710</v>
      </c>
      <c r="C47" s="858"/>
      <c r="D47" s="858"/>
      <c r="E47" s="858"/>
      <c r="F47" s="858"/>
      <c r="G47" s="858"/>
      <c r="H47" s="858"/>
      <c r="I47" s="858"/>
      <c r="J47" s="858"/>
      <c r="K47" s="858"/>
      <c r="L47" s="858"/>
      <c r="M47" s="858"/>
      <c r="N47" s="859"/>
      <c r="O47" s="859"/>
      <c r="P47" s="859"/>
      <c r="Q47" s="859"/>
      <c r="R47" s="787"/>
      <c r="S47" s="787"/>
      <c r="T47" s="787"/>
    </row>
    <row r="48" spans="2:20" ht="15.75" thickBot="1" x14ac:dyDescent="0.3"/>
    <row r="49" spans="2:20" x14ac:dyDescent="0.25">
      <c r="B49" s="2654"/>
      <c r="C49" s="2705"/>
      <c r="D49" s="2655"/>
      <c r="E49" s="2655"/>
      <c r="F49" s="2655"/>
      <c r="G49" s="2655"/>
      <c r="H49" s="2656"/>
      <c r="I49" s="2656"/>
      <c r="J49" s="2656"/>
      <c r="K49" s="2656"/>
      <c r="L49" s="2656"/>
      <c r="M49" s="2656"/>
      <c r="N49" s="2656"/>
      <c r="O49" s="2656"/>
      <c r="P49" s="2656"/>
      <c r="Q49" s="2656"/>
      <c r="R49" s="2656"/>
      <c r="S49" s="2656"/>
      <c r="T49" s="2657"/>
    </row>
    <row r="50" spans="2:20" x14ac:dyDescent="0.25">
      <c r="B50" s="803"/>
      <c r="C50" s="2668" t="s">
        <v>2208</v>
      </c>
      <c r="D50" s="804"/>
      <c r="E50" s="804"/>
      <c r="F50" s="804"/>
      <c r="G50" s="804"/>
      <c r="H50" s="799"/>
      <c r="I50" s="799"/>
      <c r="J50" s="799"/>
      <c r="K50" s="799"/>
      <c r="L50" s="799"/>
      <c r="M50" s="799"/>
      <c r="N50" s="799"/>
      <c r="O50" s="799"/>
      <c r="P50" s="799"/>
      <c r="Q50" s="799"/>
      <c r="R50" s="799"/>
      <c r="S50" s="799"/>
      <c r="T50" s="802"/>
    </row>
    <row r="51" spans="2:20" x14ac:dyDescent="0.25">
      <c r="B51" s="803"/>
      <c r="C51" s="2658"/>
      <c r="D51" s="804"/>
      <c r="E51" s="804"/>
      <c r="F51" s="804"/>
      <c r="G51" s="804"/>
      <c r="H51" s="799"/>
      <c r="I51" s="799"/>
      <c r="J51" s="799"/>
      <c r="K51" s="799"/>
      <c r="L51" s="799"/>
      <c r="M51" s="799"/>
      <c r="N51" s="799"/>
      <c r="O51" s="799"/>
      <c r="P51" s="799"/>
      <c r="Q51" s="799"/>
      <c r="R51" s="799"/>
      <c r="S51" s="799"/>
      <c r="T51" s="802"/>
    </row>
    <row r="52" spans="2:20" ht="30.75" customHeight="1" x14ac:dyDescent="0.25">
      <c r="B52" s="803"/>
      <c r="C52" s="3524" t="s">
        <v>2209</v>
      </c>
      <c r="D52" s="3530"/>
      <c r="E52" s="3518" t="s">
        <v>2210</v>
      </c>
      <c r="F52" s="3523"/>
      <c r="G52" s="3519"/>
      <c r="H52" s="3537" t="s">
        <v>2211</v>
      </c>
      <c r="I52" s="3538"/>
      <c r="J52" s="3537" t="s">
        <v>2212</v>
      </c>
      <c r="K52" s="3538"/>
      <c r="L52" s="2696" t="s">
        <v>2213</v>
      </c>
      <c r="M52" s="799"/>
      <c r="N52" s="799"/>
      <c r="O52" s="799"/>
      <c r="P52" s="799"/>
      <c r="Q52" s="799"/>
      <c r="R52" s="799"/>
      <c r="S52" s="799"/>
      <c r="T52" s="802"/>
    </row>
    <row r="53" spans="2:20" ht="48.75" customHeight="1" x14ac:dyDescent="0.25">
      <c r="B53" s="803"/>
      <c r="C53" s="3524" t="s">
        <v>2214</v>
      </c>
      <c r="D53" s="3530"/>
      <c r="E53" s="3535" t="s">
        <v>2215</v>
      </c>
      <c r="F53" s="3536"/>
      <c r="G53" s="3536"/>
      <c r="H53" s="3543" t="s">
        <v>2216</v>
      </c>
      <c r="I53" s="3527"/>
      <c r="J53" s="3527"/>
      <c r="K53" s="3528"/>
      <c r="L53" s="799"/>
      <c r="M53" s="799"/>
      <c r="N53" s="799"/>
      <c r="O53" s="799"/>
      <c r="P53" s="799"/>
      <c r="Q53" s="799"/>
      <c r="R53" s="799"/>
      <c r="S53" s="799"/>
      <c r="T53" s="802"/>
    </row>
    <row r="54" spans="2:20" ht="21" customHeight="1" x14ac:dyDescent="0.25">
      <c r="B54" s="803"/>
      <c r="C54" s="3533" t="s">
        <v>2217</v>
      </c>
      <c r="D54" s="3534"/>
      <c r="E54" s="3520" t="s">
        <v>2218</v>
      </c>
      <c r="F54" s="3522"/>
      <c r="G54" s="3522"/>
      <c r="H54" s="3541"/>
      <c r="I54" s="3541"/>
      <c r="J54" s="3541"/>
      <c r="K54" s="3542"/>
      <c r="L54" s="799"/>
      <c r="M54" s="799"/>
      <c r="N54" s="799"/>
      <c r="O54" s="799"/>
      <c r="P54" s="799"/>
      <c r="Q54" s="799"/>
      <c r="R54" s="799"/>
      <c r="S54" s="799"/>
      <c r="T54" s="802"/>
    </row>
    <row r="55" spans="2:20" x14ac:dyDescent="0.25">
      <c r="B55" s="803"/>
      <c r="C55" s="2658"/>
      <c r="D55" s="804"/>
      <c r="E55" s="804" t="s">
        <v>124</v>
      </c>
      <c r="F55" s="804"/>
      <c r="G55" s="804"/>
      <c r="H55" s="799"/>
      <c r="I55" s="799"/>
      <c r="J55" s="799"/>
      <c r="K55" s="799"/>
      <c r="L55" s="799"/>
      <c r="M55" s="799"/>
      <c r="N55" s="799"/>
      <c r="O55" s="799"/>
      <c r="P55" s="799"/>
      <c r="Q55" s="799"/>
      <c r="R55" s="799"/>
      <c r="S55" s="799"/>
      <c r="T55" s="802"/>
    </row>
    <row r="56" spans="2:20" ht="20.25" customHeight="1" x14ac:dyDescent="0.25">
      <c r="B56" s="805"/>
      <c r="C56" s="3548" t="s">
        <v>2245</v>
      </c>
      <c r="D56" s="3548"/>
      <c r="E56" s="3548"/>
      <c r="F56" s="3548"/>
      <c r="G56" s="3548"/>
      <c r="H56" s="3548"/>
      <c r="I56" s="3548"/>
      <c r="J56" s="3548"/>
      <c r="K56" s="3548"/>
      <c r="L56" s="3548"/>
      <c r="M56" s="3548"/>
      <c r="N56" s="3548"/>
      <c r="O56" s="3548"/>
      <c r="P56" s="3548"/>
      <c r="Q56" s="3548"/>
      <c r="R56" s="3548"/>
      <c r="S56" s="806"/>
      <c r="T56" s="807"/>
    </row>
    <row r="57" spans="2:20" ht="20.25" customHeight="1" x14ac:dyDescent="0.25">
      <c r="B57" s="2642"/>
      <c r="C57" s="818" t="s">
        <v>2219</v>
      </c>
      <c r="D57" s="818"/>
      <c r="E57" s="818"/>
      <c r="F57" s="818"/>
      <c r="G57" s="818"/>
      <c r="H57" s="818"/>
      <c r="I57" s="818"/>
      <c r="J57" s="818"/>
      <c r="K57" s="818"/>
      <c r="L57" s="818"/>
      <c r="M57" s="818"/>
      <c r="N57" s="818"/>
      <c r="O57" s="818"/>
      <c r="P57" s="818"/>
      <c r="Q57" s="818"/>
      <c r="R57" s="818"/>
      <c r="S57" s="818"/>
      <c r="T57" s="807"/>
    </row>
    <row r="58" spans="2:20" ht="20.25" customHeight="1" x14ac:dyDescent="0.25">
      <c r="B58" s="805"/>
      <c r="C58" s="2805" t="s">
        <v>2220</v>
      </c>
      <c r="D58" s="2805"/>
      <c r="E58" s="2805"/>
      <c r="F58" s="2805"/>
      <c r="G58" s="2805"/>
      <c r="H58" s="2805"/>
      <c r="I58" s="2805"/>
      <c r="J58" s="2805"/>
      <c r="K58" s="2805"/>
      <c r="L58" s="2805"/>
      <c r="M58" s="2805"/>
      <c r="N58" s="2805"/>
      <c r="O58" s="2805"/>
      <c r="P58" s="2805"/>
      <c r="Q58" s="2805"/>
      <c r="R58" s="2805"/>
      <c r="S58" s="806"/>
      <c r="T58" s="807"/>
    </row>
    <row r="59" spans="2:20" ht="20.25" customHeight="1" x14ac:dyDescent="0.25">
      <c r="B59" s="805"/>
      <c r="C59" s="2667" t="s">
        <v>2221</v>
      </c>
      <c r="D59" s="952"/>
      <c r="E59" s="952"/>
      <c r="F59" s="1217"/>
      <c r="G59" s="1217"/>
      <c r="H59" s="1217"/>
      <c r="I59" s="1217"/>
      <c r="J59" s="1217"/>
      <c r="K59" s="1217"/>
      <c r="L59" s="1217"/>
      <c r="M59" s="1217"/>
      <c r="N59" s="1217"/>
      <c r="O59" s="1217"/>
      <c r="P59" s="1217"/>
      <c r="Q59" s="1217"/>
      <c r="R59" s="1217"/>
      <c r="S59" s="806"/>
      <c r="T59" s="807"/>
    </row>
    <row r="60" spans="2:20" ht="20.25" customHeight="1" x14ac:dyDescent="0.25">
      <c r="B60" s="803"/>
      <c r="C60" s="2700" t="s">
        <v>2222</v>
      </c>
      <c r="D60" s="2630"/>
      <c r="E60" s="953"/>
      <c r="F60" s="950"/>
      <c r="G60" s="950"/>
      <c r="H60" s="950"/>
      <c r="I60" s="950"/>
      <c r="J60" s="950"/>
      <c r="K60" s="950"/>
      <c r="L60" s="950"/>
      <c r="M60" s="950"/>
      <c r="N60" s="950"/>
      <c r="O60" s="950"/>
      <c r="P60" s="950"/>
      <c r="Q60" s="950"/>
      <c r="R60" s="950"/>
      <c r="S60" s="951"/>
      <c r="T60" s="802"/>
    </row>
    <row r="61" spans="2:20" ht="20.25" customHeight="1" x14ac:dyDescent="0.25">
      <c r="B61" s="803"/>
      <c r="C61" s="2729" t="s">
        <v>2330</v>
      </c>
      <c r="D61" s="2630"/>
      <c r="E61" s="953"/>
      <c r="F61" s="950"/>
      <c r="G61" s="950"/>
      <c r="H61" s="950"/>
      <c r="I61" s="950"/>
      <c r="J61" s="950"/>
      <c r="K61" s="950"/>
      <c r="L61" s="950"/>
      <c r="M61" s="950"/>
      <c r="N61" s="950"/>
      <c r="O61" s="950"/>
      <c r="P61" s="950"/>
      <c r="Q61" s="950"/>
      <c r="R61" s="950"/>
      <c r="S61" s="951"/>
      <c r="T61" s="802"/>
    </row>
    <row r="62" spans="2:20" ht="13.5" customHeight="1" x14ac:dyDescent="0.25">
      <c r="B62" s="803"/>
      <c r="C62" s="2659" t="s">
        <v>12</v>
      </c>
      <c r="D62" s="950"/>
      <c r="E62" s="950"/>
      <c r="F62" s="950"/>
      <c r="G62" s="950"/>
      <c r="H62" s="950"/>
      <c r="I62" s="950"/>
      <c r="J62" s="950"/>
      <c r="K62" s="950"/>
      <c r="L62" s="950"/>
      <c r="M62" s="950"/>
      <c r="N62" s="950"/>
      <c r="O62" s="950"/>
      <c r="P62" s="950"/>
      <c r="Q62" s="950"/>
      <c r="R62" s="950"/>
      <c r="S62" s="951"/>
      <c r="T62" s="802"/>
    </row>
    <row r="63" spans="2:20" ht="13.5" customHeight="1" x14ac:dyDescent="0.25">
      <c r="B63" s="803"/>
      <c r="C63" s="2659" t="s">
        <v>2223</v>
      </c>
      <c r="D63" s="950"/>
      <c r="E63" s="950"/>
      <c r="F63" s="950"/>
      <c r="G63" s="950"/>
      <c r="H63" s="950"/>
      <c r="I63" s="950"/>
      <c r="J63" s="950"/>
      <c r="K63" s="950"/>
      <c r="L63" s="950"/>
      <c r="M63" s="950"/>
      <c r="N63" s="950"/>
      <c r="O63" s="950"/>
      <c r="P63" s="950"/>
      <c r="Q63" s="950"/>
      <c r="R63" s="950"/>
      <c r="S63" s="951"/>
      <c r="T63" s="802"/>
    </row>
    <row r="64" spans="2:20" ht="20.25" customHeight="1" x14ac:dyDescent="0.25">
      <c r="B64" s="803"/>
      <c r="C64" s="2700" t="s">
        <v>2333</v>
      </c>
      <c r="D64" s="2630"/>
      <c r="E64" s="953"/>
      <c r="F64" s="950"/>
      <c r="G64" s="950"/>
      <c r="H64" s="950"/>
      <c r="I64" s="950"/>
      <c r="J64" s="950"/>
      <c r="K64" s="950"/>
      <c r="L64" s="950"/>
      <c r="M64" s="950"/>
      <c r="N64" s="950"/>
      <c r="O64" s="950"/>
      <c r="P64" s="950"/>
      <c r="Q64" s="950"/>
      <c r="R64" s="950"/>
      <c r="S64" s="951"/>
      <c r="T64" s="802"/>
    </row>
    <row r="65" spans="2:20" ht="13.5" customHeight="1" x14ac:dyDescent="0.25">
      <c r="B65" s="803"/>
      <c r="C65" s="2659" t="s">
        <v>2022</v>
      </c>
      <c r="D65" s="2630"/>
      <c r="E65" s="953"/>
      <c r="F65" s="950"/>
      <c r="G65" s="950"/>
      <c r="H65" s="950"/>
      <c r="I65" s="950"/>
      <c r="J65" s="950"/>
      <c r="K65" s="950"/>
      <c r="L65" s="950"/>
      <c r="M65" s="950"/>
      <c r="N65" s="950"/>
      <c r="O65" s="950"/>
      <c r="P65" s="950"/>
      <c r="Q65" s="950"/>
      <c r="R65" s="950"/>
      <c r="S65" s="951"/>
      <c r="T65" s="802"/>
    </row>
    <row r="66" spans="2:20" ht="13.5" customHeight="1" x14ac:dyDescent="0.25">
      <c r="B66" s="803"/>
      <c r="C66" s="2659" t="s">
        <v>2023</v>
      </c>
      <c r="D66" s="2630"/>
      <c r="E66" s="953"/>
      <c r="F66" s="950"/>
      <c r="G66" s="950"/>
      <c r="H66" s="950"/>
      <c r="I66" s="950"/>
      <c r="J66" s="950"/>
      <c r="K66" s="950"/>
      <c r="L66" s="950"/>
      <c r="M66" s="950"/>
      <c r="N66" s="950"/>
      <c r="O66" s="950"/>
      <c r="P66" s="950"/>
      <c r="Q66" s="950"/>
      <c r="R66" s="950"/>
      <c r="S66" s="951"/>
      <c r="T66" s="802"/>
    </row>
    <row r="67" spans="2:20" ht="20.25" customHeight="1" x14ac:dyDescent="0.25">
      <c r="B67" s="803"/>
      <c r="C67" s="2700" t="s">
        <v>2334</v>
      </c>
      <c r="D67" s="2630"/>
      <c r="E67" s="953"/>
      <c r="F67" s="950"/>
      <c r="G67" s="950"/>
      <c r="H67" s="950"/>
      <c r="I67" s="950"/>
      <c r="J67" s="950"/>
      <c r="K67" s="950"/>
      <c r="L67" s="950"/>
      <c r="M67" s="950"/>
      <c r="N67" s="950"/>
      <c r="O67" s="950"/>
      <c r="P67" s="950"/>
      <c r="Q67" s="950"/>
      <c r="R67" s="950"/>
      <c r="S67" s="951"/>
      <c r="T67" s="802"/>
    </row>
    <row r="68" spans="2:20" ht="13.5" customHeight="1" x14ac:dyDescent="0.25">
      <c r="B68" s="803"/>
      <c r="C68" s="2659" t="s">
        <v>2224</v>
      </c>
      <c r="D68" s="2630"/>
      <c r="E68" s="953"/>
      <c r="F68" s="950"/>
      <c r="G68" s="950"/>
      <c r="H68" s="950"/>
      <c r="I68" s="950"/>
      <c r="J68" s="950"/>
      <c r="K68" s="950"/>
      <c r="L68" s="950"/>
      <c r="M68" s="950"/>
      <c r="N68" s="950"/>
      <c r="O68" s="950"/>
      <c r="P68" s="950"/>
      <c r="Q68" s="950"/>
      <c r="R68" s="950"/>
      <c r="S68" s="951"/>
      <c r="T68" s="802"/>
    </row>
    <row r="69" spans="2:20" ht="13.5" customHeight="1" x14ac:dyDescent="0.25">
      <c r="B69" s="803"/>
      <c r="C69" s="953" t="s">
        <v>2225</v>
      </c>
      <c r="D69" s="2630"/>
      <c r="E69" s="953"/>
      <c r="F69" s="950"/>
      <c r="G69" s="950"/>
      <c r="H69" s="950"/>
      <c r="I69" s="950"/>
      <c r="J69" s="950"/>
      <c r="K69" s="950"/>
      <c r="L69" s="950"/>
      <c r="M69" s="950"/>
      <c r="N69" s="950"/>
      <c r="O69" s="950"/>
      <c r="P69" s="950"/>
      <c r="Q69" s="950"/>
      <c r="R69" s="950"/>
      <c r="S69" s="951"/>
      <c r="T69" s="802"/>
    </row>
    <row r="70" spans="2:20" x14ac:dyDescent="0.25">
      <c r="B70" s="803"/>
      <c r="C70" s="953"/>
      <c r="D70" s="2630"/>
      <c r="E70" s="953"/>
      <c r="F70" s="950"/>
      <c r="G70" s="950"/>
      <c r="H70" s="950"/>
      <c r="I70" s="950"/>
      <c r="J70" s="950"/>
      <c r="K70" s="950"/>
      <c r="L70" s="950"/>
      <c r="M70" s="950"/>
      <c r="N70" s="950"/>
      <c r="O70" s="950"/>
      <c r="P70" s="950"/>
      <c r="Q70" s="950"/>
      <c r="R70" s="950"/>
      <c r="S70" s="951"/>
      <c r="T70" s="802"/>
    </row>
    <row r="71" spans="2:20" ht="108.75" customHeight="1" x14ac:dyDescent="0.25">
      <c r="B71" s="803"/>
      <c r="C71" s="953"/>
      <c r="D71" s="2630"/>
      <c r="E71" s="953"/>
      <c r="F71" s="950"/>
      <c r="G71" s="950"/>
      <c r="H71" s="950"/>
      <c r="I71" s="950"/>
      <c r="J71" s="950"/>
      <c r="K71" s="950"/>
      <c r="L71" s="950"/>
      <c r="M71" s="950"/>
      <c r="N71" s="950"/>
      <c r="O71" s="950"/>
      <c r="P71" s="950"/>
      <c r="Q71" s="950"/>
      <c r="R71" s="950"/>
      <c r="S71" s="951"/>
      <c r="T71" s="802"/>
    </row>
    <row r="72" spans="2:20" ht="108.75" customHeight="1" x14ac:dyDescent="0.25">
      <c r="B72" s="803"/>
      <c r="C72" s="953"/>
      <c r="D72" s="2630"/>
      <c r="E72" s="953"/>
      <c r="F72" s="950"/>
      <c r="G72" s="950"/>
      <c r="H72" s="950"/>
      <c r="I72" s="950"/>
      <c r="J72" s="950"/>
      <c r="K72" s="950"/>
      <c r="L72" s="950"/>
      <c r="M72" s="950"/>
      <c r="N72" s="950"/>
      <c r="O72" s="950"/>
      <c r="P72" s="950"/>
      <c r="Q72" s="950"/>
      <c r="R72" s="950"/>
      <c r="S72" s="951"/>
      <c r="T72" s="802"/>
    </row>
    <row r="73" spans="2:20" ht="108.75" customHeight="1" x14ac:dyDescent="0.25">
      <c r="B73" s="803"/>
      <c r="C73" s="953"/>
      <c r="D73" s="2630"/>
      <c r="E73" s="953"/>
      <c r="F73" s="950"/>
      <c r="G73" s="950"/>
      <c r="H73" s="950"/>
      <c r="I73" s="950"/>
      <c r="J73" s="950"/>
      <c r="K73" s="950"/>
      <c r="L73" s="950"/>
      <c r="M73" s="950"/>
      <c r="N73" s="950"/>
      <c r="O73" s="950"/>
      <c r="P73" s="950"/>
      <c r="Q73" s="950"/>
      <c r="R73" s="950"/>
      <c r="S73" s="951"/>
      <c r="T73" s="802"/>
    </row>
    <row r="74" spans="2:20" x14ac:dyDescent="0.25">
      <c r="B74" s="803"/>
      <c r="C74" s="953"/>
      <c r="D74" s="2630"/>
      <c r="E74" s="953"/>
      <c r="F74" s="950"/>
      <c r="G74" s="950"/>
      <c r="H74" s="950"/>
      <c r="I74" s="950"/>
      <c r="J74" s="950"/>
      <c r="K74" s="950"/>
      <c r="L74" s="950"/>
      <c r="M74" s="950"/>
      <c r="N74" s="950"/>
      <c r="O74" s="950"/>
      <c r="P74" s="950"/>
      <c r="Q74" s="950"/>
      <c r="R74" s="950"/>
      <c r="S74" s="951"/>
      <c r="T74" s="802"/>
    </row>
    <row r="75" spans="2:20" ht="21" customHeight="1" x14ac:dyDescent="0.25">
      <c r="B75" s="2730" t="s">
        <v>2226</v>
      </c>
      <c r="C75" s="2630"/>
      <c r="D75" s="2630"/>
      <c r="E75" s="953"/>
      <c r="F75" s="950"/>
      <c r="G75" s="950"/>
      <c r="H75" s="950"/>
      <c r="I75" s="950"/>
      <c r="J75" s="950"/>
      <c r="K75" s="950"/>
      <c r="L75" s="950"/>
      <c r="M75" s="950"/>
      <c r="N75" s="950"/>
      <c r="O75" s="950"/>
      <c r="P75" s="950"/>
      <c r="Q75" s="950"/>
      <c r="R75" s="950"/>
      <c r="S75" s="951"/>
      <c r="T75" s="802"/>
    </row>
    <row r="76" spans="2:20" ht="17.25" customHeight="1" x14ac:dyDescent="0.25">
      <c r="B76" s="2730" t="s">
        <v>2227</v>
      </c>
      <c r="C76" s="2630"/>
      <c r="D76" s="2630"/>
      <c r="E76" s="953"/>
      <c r="F76" s="950"/>
      <c r="G76" s="950"/>
      <c r="H76" s="950"/>
      <c r="I76" s="950"/>
      <c r="J76" s="950"/>
      <c r="K76" s="950"/>
      <c r="L76" s="950"/>
      <c r="M76" s="950"/>
      <c r="N76" s="950"/>
      <c r="O76" s="950"/>
      <c r="P76" s="950"/>
      <c r="Q76" s="950"/>
      <c r="R76" s="950"/>
      <c r="S76" s="951"/>
      <c r="T76" s="802"/>
    </row>
    <row r="77" spans="2:20" ht="17.25" customHeight="1" x14ac:dyDescent="0.25">
      <c r="B77" s="2730" t="s">
        <v>2228</v>
      </c>
      <c r="C77" s="2630"/>
      <c r="D77" s="2630"/>
      <c r="E77" s="953"/>
      <c r="F77" s="950"/>
      <c r="G77" s="950"/>
      <c r="H77" s="950"/>
      <c r="I77" s="950"/>
      <c r="J77" s="950"/>
      <c r="K77" s="950"/>
      <c r="L77" s="950"/>
      <c r="M77" s="950"/>
      <c r="N77" s="950"/>
      <c r="O77" s="950"/>
      <c r="P77" s="950"/>
      <c r="Q77" s="950"/>
      <c r="R77" s="950"/>
      <c r="S77" s="951"/>
      <c r="T77" s="802"/>
    </row>
    <row r="78" spans="2:20" ht="30.75" customHeight="1" x14ac:dyDescent="0.25">
      <c r="B78" s="2730" t="s">
        <v>2229</v>
      </c>
      <c r="C78" s="2630"/>
      <c r="D78" s="2630"/>
      <c r="E78" s="953"/>
      <c r="F78" s="950"/>
      <c r="G78" s="950"/>
      <c r="H78" s="950"/>
      <c r="I78" s="950"/>
      <c r="J78" s="950"/>
      <c r="K78" s="950"/>
      <c r="L78" s="950"/>
      <c r="M78" s="950"/>
      <c r="N78" s="950"/>
      <c r="O78" s="950"/>
      <c r="P78" s="950"/>
      <c r="Q78" s="950"/>
      <c r="R78" s="950"/>
      <c r="S78" s="951"/>
      <c r="T78" s="802"/>
    </row>
    <row r="79" spans="2:20" ht="15.75" customHeight="1" x14ac:dyDescent="0.25">
      <c r="B79" s="2730" t="s">
        <v>2230</v>
      </c>
      <c r="C79" s="2630"/>
      <c r="D79" s="2630"/>
      <c r="E79" s="953"/>
      <c r="F79" s="2636" t="s">
        <v>2231</v>
      </c>
      <c r="G79" s="950"/>
      <c r="H79" s="950"/>
      <c r="I79" s="950"/>
      <c r="J79" s="950"/>
      <c r="K79" s="950"/>
      <c r="L79" s="950"/>
      <c r="M79" s="950"/>
      <c r="N79" s="950"/>
      <c r="O79" s="950"/>
      <c r="P79" s="950"/>
      <c r="Q79" s="950"/>
      <c r="R79" s="950"/>
      <c r="S79" s="951"/>
      <c r="T79" s="802"/>
    </row>
    <row r="80" spans="2:20" ht="27" customHeight="1" x14ac:dyDescent="0.25">
      <c r="B80" s="2730" t="s">
        <v>2232</v>
      </c>
      <c r="C80" s="2630"/>
      <c r="D80" s="2630"/>
      <c r="E80" s="953"/>
      <c r="F80" s="950"/>
      <c r="G80" s="950"/>
      <c r="H80" s="950"/>
      <c r="I80" s="950"/>
      <c r="J80" s="950"/>
      <c r="K80" s="950"/>
      <c r="L80" s="950"/>
      <c r="M80" s="950"/>
      <c r="N80" s="950"/>
      <c r="O80" s="950"/>
      <c r="P80" s="950"/>
      <c r="Q80" s="950"/>
      <c r="R80" s="950"/>
      <c r="S80" s="951"/>
      <c r="T80" s="802"/>
    </row>
    <row r="81" spans="2:20" ht="31.5" customHeight="1" x14ac:dyDescent="0.25">
      <c r="B81" s="2730"/>
      <c r="C81" s="2667" t="s">
        <v>2233</v>
      </c>
      <c r="D81" s="2630"/>
      <c r="E81" s="953"/>
      <c r="F81" s="950"/>
      <c r="G81" s="950"/>
      <c r="H81" s="950"/>
      <c r="I81" s="950"/>
      <c r="J81" s="950"/>
      <c r="K81" s="950"/>
      <c r="L81" s="950"/>
      <c r="M81" s="950"/>
      <c r="N81" s="950"/>
      <c r="O81" s="950"/>
      <c r="P81" s="950"/>
      <c r="Q81" s="950"/>
      <c r="R81" s="950"/>
      <c r="S81" s="951"/>
      <c r="T81" s="802"/>
    </row>
    <row r="82" spans="2:20" ht="21" customHeight="1" x14ac:dyDescent="0.25">
      <c r="B82" s="2730" t="s">
        <v>2234</v>
      </c>
      <c r="C82" s="2630"/>
      <c r="D82" s="2630"/>
      <c r="E82" s="953"/>
      <c r="F82" s="950"/>
      <c r="G82" s="950"/>
      <c r="H82" s="950"/>
      <c r="I82" s="950"/>
      <c r="J82" s="950"/>
      <c r="K82" s="950"/>
      <c r="L82" s="950"/>
      <c r="M82" s="950"/>
      <c r="N82" s="950"/>
      <c r="O82" s="950"/>
      <c r="P82" s="950"/>
      <c r="Q82" s="950"/>
      <c r="R82" s="950"/>
      <c r="S82" s="951"/>
      <c r="T82" s="802"/>
    </row>
    <row r="83" spans="2:20" ht="21" customHeight="1" x14ac:dyDescent="0.25">
      <c r="B83" s="2732" t="s">
        <v>2235</v>
      </c>
      <c r="C83" s="2731"/>
      <c r="D83" s="2630"/>
      <c r="E83" s="953"/>
      <c r="F83" s="950"/>
      <c r="G83" s="950"/>
      <c r="H83" s="950"/>
      <c r="I83" s="950"/>
      <c r="J83" s="950"/>
      <c r="K83" s="950"/>
      <c r="L83" s="950"/>
      <c r="M83" s="950"/>
      <c r="N83" s="950"/>
      <c r="O83" s="950"/>
      <c r="P83" s="950"/>
      <c r="Q83" s="950"/>
      <c r="R83" s="950"/>
      <c r="S83" s="951"/>
      <c r="T83" s="802"/>
    </row>
    <row r="84" spans="2:20" ht="16.5" customHeight="1" x14ac:dyDescent="0.25">
      <c r="B84" s="2730" t="s">
        <v>2236</v>
      </c>
      <c r="C84" s="2630"/>
      <c r="D84" s="2630"/>
      <c r="E84" s="953"/>
      <c r="F84" s="950"/>
      <c r="G84" s="950"/>
      <c r="H84" s="950"/>
      <c r="I84" s="950"/>
      <c r="J84" s="950"/>
      <c r="K84" s="950"/>
      <c r="L84" s="950"/>
      <c r="M84" s="950"/>
      <c r="N84" s="950"/>
      <c r="O84" s="950"/>
      <c r="P84" s="950"/>
      <c r="Q84" s="950"/>
      <c r="R84" s="950"/>
      <c r="S84" s="951"/>
      <c r="T84" s="802"/>
    </row>
    <row r="85" spans="2:20" ht="15.75" thickBot="1" x14ac:dyDescent="0.3">
      <c r="B85" s="808"/>
      <c r="C85" s="809"/>
      <c r="D85" s="809"/>
      <c r="E85" s="809"/>
      <c r="F85" s="809"/>
      <c r="G85" s="809"/>
      <c r="H85" s="810"/>
      <c r="I85" s="810"/>
      <c r="J85" s="810"/>
      <c r="K85" s="810"/>
      <c r="L85" s="810"/>
      <c r="M85" s="810"/>
      <c r="N85" s="810"/>
      <c r="O85" s="810"/>
      <c r="P85" s="810"/>
      <c r="Q85" s="810"/>
      <c r="R85" s="810"/>
      <c r="S85" s="810"/>
      <c r="T85" s="811"/>
    </row>
    <row r="86" spans="2:20" ht="27" customHeight="1" x14ac:dyDescent="0.25">
      <c r="B86" s="600"/>
      <c r="C86" s="599"/>
      <c r="D86" s="599"/>
      <c r="E86" s="599"/>
      <c r="R86" s="1216"/>
      <c r="S86" s="1216"/>
      <c r="T86" s="1216"/>
    </row>
    <row r="87" spans="2:20" ht="27.75" customHeight="1" x14ac:dyDescent="0.25">
      <c r="B87" s="954" t="s">
        <v>1711</v>
      </c>
      <c r="C87" s="858"/>
      <c r="D87" s="858"/>
      <c r="E87" s="858"/>
      <c r="F87" s="858"/>
      <c r="G87" s="858"/>
      <c r="H87" s="858"/>
      <c r="I87" s="858"/>
      <c r="J87" s="858"/>
      <c r="K87" s="858"/>
      <c r="L87" s="858"/>
      <c r="M87" s="858"/>
      <c r="N87" s="859"/>
      <c r="O87" s="859"/>
      <c r="P87" s="859"/>
      <c r="Q87" s="859"/>
      <c r="R87" s="787"/>
      <c r="S87" s="787"/>
      <c r="T87" s="787"/>
    </row>
    <row r="88" spans="2:20" ht="15.75" thickBot="1" x14ac:dyDescent="0.3"/>
    <row r="89" spans="2:20" ht="12.75" customHeight="1" x14ac:dyDescent="0.25">
      <c r="B89" s="2687"/>
      <c r="C89" s="2706"/>
      <c r="D89" s="2656"/>
      <c r="E89" s="2656"/>
      <c r="F89" s="2656"/>
      <c r="G89" s="2656"/>
      <c r="H89" s="2656"/>
      <c r="I89" s="2656"/>
      <c r="J89" s="2656"/>
      <c r="K89" s="2656"/>
      <c r="L89" s="2656"/>
      <c r="M89" s="2656"/>
      <c r="N89" s="2656"/>
      <c r="O89" s="2656"/>
      <c r="P89" s="2656"/>
      <c r="Q89" s="2656"/>
      <c r="R89" s="2656"/>
      <c r="S89" s="2656"/>
      <c r="T89" s="2657"/>
    </row>
    <row r="90" spans="2:20" ht="12.75" customHeight="1" x14ac:dyDescent="0.25">
      <c r="B90" s="2720"/>
      <c r="C90" s="2721" t="s">
        <v>2208</v>
      </c>
      <c r="D90" s="799"/>
      <c r="E90" s="799"/>
      <c r="F90" s="799"/>
      <c r="G90" s="799"/>
      <c r="H90" s="799"/>
      <c r="I90" s="799"/>
      <c r="J90" s="799"/>
      <c r="K90" s="799"/>
      <c r="L90" s="799"/>
      <c r="M90" s="799"/>
      <c r="N90" s="799"/>
      <c r="O90" s="799"/>
      <c r="P90" s="799"/>
      <c r="Q90" s="799"/>
      <c r="R90" s="799"/>
      <c r="S90" s="799"/>
      <c r="T90" s="802"/>
    </row>
    <row r="91" spans="2:20" ht="12.75" customHeight="1" x14ac:dyDescent="0.25">
      <c r="B91" s="1237"/>
      <c r="C91" s="799"/>
      <c r="D91" s="799"/>
      <c r="E91" s="799"/>
      <c r="F91" s="799"/>
      <c r="G91" s="799"/>
      <c r="H91" s="799"/>
      <c r="I91" s="799"/>
      <c r="J91" s="799"/>
      <c r="K91" s="799"/>
      <c r="L91" s="799"/>
      <c r="M91" s="799"/>
      <c r="N91" s="799"/>
      <c r="O91" s="799"/>
      <c r="P91" s="799"/>
      <c r="Q91" s="799"/>
      <c r="R91" s="799"/>
      <c r="S91" s="799"/>
      <c r="T91" s="802"/>
    </row>
    <row r="92" spans="2:20" ht="33.75" customHeight="1" x14ac:dyDescent="0.25">
      <c r="B92" s="1237"/>
      <c r="C92" s="3524" t="s">
        <v>2209</v>
      </c>
      <c r="D92" s="3530"/>
      <c r="E92" s="3518" t="s">
        <v>2237</v>
      </c>
      <c r="F92" s="3523"/>
      <c r="G92" s="3519"/>
      <c r="H92" s="3518" t="s">
        <v>2238</v>
      </c>
      <c r="I92" s="3519"/>
      <c r="J92" s="3518" t="s">
        <v>2239</v>
      </c>
      <c r="K92" s="3519"/>
      <c r="L92" s="799"/>
      <c r="M92" s="799"/>
      <c r="N92" s="799"/>
      <c r="O92" s="799"/>
      <c r="P92" s="799"/>
      <c r="Q92" s="799"/>
      <c r="R92" s="799"/>
      <c r="S92" s="799"/>
      <c r="T92" s="802"/>
    </row>
    <row r="93" spans="2:20" ht="20.25" customHeight="1" x14ac:dyDescent="0.25">
      <c r="B93" s="1237"/>
      <c r="C93" s="3524" t="s">
        <v>2214</v>
      </c>
      <c r="D93" s="3530"/>
      <c r="E93" s="3520" t="s">
        <v>2240</v>
      </c>
      <c r="F93" s="3522"/>
      <c r="G93" s="3521"/>
      <c r="H93" s="3520" t="s">
        <v>2241</v>
      </c>
      <c r="I93" s="3521"/>
      <c r="J93" s="3520" t="s">
        <v>2242</v>
      </c>
      <c r="K93" s="3521"/>
      <c r="L93" s="2696" t="s">
        <v>2243</v>
      </c>
      <c r="M93" s="799"/>
      <c r="N93" s="799"/>
      <c r="O93" s="799"/>
      <c r="P93" s="799"/>
      <c r="Q93" s="799"/>
      <c r="R93" s="799"/>
      <c r="S93" s="799"/>
      <c r="T93" s="802"/>
    </row>
    <row r="94" spans="2:20" ht="20.25" customHeight="1" x14ac:dyDescent="0.25">
      <c r="B94" s="1237"/>
      <c r="C94" s="3533" t="s">
        <v>2217</v>
      </c>
      <c r="D94" s="3534"/>
      <c r="E94" s="3520" t="s">
        <v>2244</v>
      </c>
      <c r="F94" s="3522"/>
      <c r="G94" s="3522"/>
      <c r="H94" s="3522"/>
      <c r="I94" s="3522"/>
      <c r="J94" s="3522"/>
      <c r="K94" s="3521"/>
      <c r="L94" s="799"/>
      <c r="M94" s="799"/>
      <c r="N94" s="799"/>
      <c r="O94" s="799"/>
      <c r="P94" s="799"/>
      <c r="Q94" s="799"/>
      <c r="R94" s="799"/>
      <c r="S94" s="799"/>
      <c r="T94" s="802"/>
    </row>
    <row r="95" spans="2:20" x14ac:dyDescent="0.25">
      <c r="B95" s="1237"/>
      <c r="C95" s="799"/>
      <c r="D95" s="799"/>
      <c r="E95" s="799"/>
      <c r="F95" s="799"/>
      <c r="G95" s="799"/>
      <c r="H95" s="799"/>
      <c r="I95" s="799"/>
      <c r="J95" s="799"/>
      <c r="K95" s="799"/>
      <c r="L95" s="799"/>
      <c r="M95" s="799"/>
      <c r="N95" s="799"/>
      <c r="O95" s="799"/>
      <c r="P95" s="799"/>
      <c r="Q95" s="799"/>
      <c r="R95" s="799"/>
      <c r="S95" s="799"/>
      <c r="T95" s="802"/>
    </row>
    <row r="96" spans="2:20" ht="15.75" x14ac:dyDescent="0.25">
      <c r="B96" s="1237"/>
      <c r="C96" s="2634" t="s">
        <v>2245</v>
      </c>
      <c r="D96" s="799"/>
      <c r="E96" s="799"/>
      <c r="F96" s="799"/>
      <c r="G96" s="799"/>
      <c r="H96" s="799"/>
      <c r="I96" s="799"/>
      <c r="J96" s="799"/>
      <c r="K96" s="799"/>
      <c r="L96" s="799"/>
      <c r="M96" s="799"/>
      <c r="N96" s="799"/>
      <c r="O96" s="799"/>
      <c r="P96" s="799"/>
      <c r="Q96" s="799"/>
      <c r="R96" s="799"/>
      <c r="S96" s="799"/>
      <c r="T96" s="802"/>
    </row>
    <row r="97" spans="2:21" ht="20.25" customHeight="1" x14ac:dyDescent="0.25">
      <c r="B97" s="1237"/>
      <c r="C97" s="799" t="s">
        <v>2219</v>
      </c>
      <c r="D97" s="799"/>
      <c r="E97" s="799"/>
      <c r="F97" s="799"/>
      <c r="G97" s="799"/>
      <c r="H97" s="799"/>
      <c r="I97" s="799"/>
      <c r="J97" s="799"/>
      <c r="K97" s="799"/>
      <c r="L97" s="799"/>
      <c r="M97" s="799"/>
      <c r="N97" s="799"/>
      <c r="O97" s="799"/>
      <c r="P97" s="799"/>
      <c r="Q97" s="799"/>
      <c r="R97" s="799"/>
      <c r="S97" s="799"/>
      <c r="T97" s="802"/>
    </row>
    <row r="98" spans="2:21" ht="17.25" customHeight="1" x14ac:dyDescent="0.25">
      <c r="B98" s="1237"/>
      <c r="C98" s="799" t="s">
        <v>2246</v>
      </c>
      <c r="D98" s="799"/>
      <c r="E98" s="799"/>
      <c r="F98" s="799"/>
      <c r="G98" s="799"/>
      <c r="H98" s="799"/>
      <c r="I98" s="799"/>
      <c r="J98" s="799"/>
      <c r="K98" s="799"/>
      <c r="L98" s="799"/>
      <c r="M98" s="799"/>
      <c r="N98" s="799"/>
      <c r="O98" s="799"/>
      <c r="P98" s="799"/>
      <c r="Q98" s="799"/>
      <c r="R98" s="799"/>
      <c r="S98" s="799"/>
      <c r="T98" s="802"/>
    </row>
    <row r="99" spans="2:21" ht="17.25" customHeight="1" x14ac:dyDescent="0.25">
      <c r="B99" s="1237"/>
      <c r="C99" s="799" t="s">
        <v>2247</v>
      </c>
      <c r="D99" s="799"/>
      <c r="E99" s="799"/>
      <c r="F99" s="799"/>
      <c r="G99" s="799"/>
      <c r="H99" s="799"/>
      <c r="I99" s="799"/>
      <c r="J99" s="799"/>
      <c r="K99" s="799"/>
      <c r="L99" s="799"/>
      <c r="M99" s="799"/>
      <c r="N99" s="799"/>
      <c r="O99" s="799"/>
      <c r="P99" s="799"/>
      <c r="Q99" s="799"/>
      <c r="R99" s="799"/>
      <c r="S99" s="799"/>
      <c r="T99" s="802"/>
    </row>
    <row r="100" spans="2:21" ht="29.25" customHeight="1" x14ac:dyDescent="0.25">
      <c r="B100" s="1237"/>
      <c r="C100" s="2634" t="s">
        <v>2248</v>
      </c>
      <c r="D100" s="799"/>
      <c r="E100" s="799"/>
      <c r="F100" s="799"/>
      <c r="G100" s="799"/>
      <c r="H100" s="799"/>
      <c r="I100" s="799"/>
      <c r="J100" s="799"/>
      <c r="K100" s="799"/>
      <c r="L100" s="799"/>
      <c r="M100" s="799"/>
      <c r="N100" s="799"/>
      <c r="O100" s="799"/>
      <c r="P100" s="799"/>
      <c r="Q100" s="799"/>
      <c r="R100" s="799"/>
      <c r="S100" s="799"/>
      <c r="T100" s="802"/>
    </row>
    <row r="101" spans="2:21" ht="22.5" customHeight="1" x14ac:dyDescent="0.25">
      <c r="B101" s="1237"/>
      <c r="C101" s="799" t="s">
        <v>2249</v>
      </c>
      <c r="D101" s="2634"/>
      <c r="E101" s="799"/>
      <c r="F101" s="799"/>
      <c r="G101" s="799"/>
      <c r="H101" s="799"/>
      <c r="I101" s="799"/>
      <c r="J101" s="799"/>
      <c r="K101" s="799"/>
      <c r="L101" s="799"/>
      <c r="M101" s="799"/>
      <c r="N101" s="799"/>
      <c r="O101" s="799"/>
      <c r="P101" s="799"/>
      <c r="Q101" s="799"/>
      <c r="R101" s="799"/>
      <c r="S101" s="799"/>
      <c r="T101" s="802"/>
    </row>
    <row r="102" spans="2:21" ht="21" x14ac:dyDescent="0.25">
      <c r="B102" s="2678"/>
      <c r="C102" s="2679"/>
      <c r="D102" s="2679"/>
      <c r="E102" s="2679"/>
      <c r="F102" s="2679"/>
      <c r="G102" s="2679"/>
      <c r="H102" s="2679"/>
      <c r="I102" s="2679"/>
      <c r="J102" s="2679"/>
      <c r="K102" s="2679"/>
      <c r="L102" s="2679"/>
      <c r="M102" s="2679"/>
      <c r="N102" s="2680"/>
      <c r="O102" s="2680"/>
      <c r="P102" s="2680"/>
      <c r="Q102" s="2680"/>
      <c r="R102" s="799"/>
      <c r="S102" s="799"/>
      <c r="T102" s="802"/>
    </row>
    <row r="103" spans="2:21" ht="15.75" x14ac:dyDescent="0.25">
      <c r="B103" s="2688"/>
      <c r="C103" s="2684"/>
      <c r="D103" s="2684"/>
      <c r="E103" s="2684"/>
      <c r="F103" s="2684"/>
      <c r="G103" s="2685"/>
      <c r="H103" s="2686"/>
      <c r="I103" s="2686"/>
      <c r="J103" s="2686"/>
      <c r="K103" s="2686"/>
      <c r="L103" s="2686"/>
      <c r="M103" s="2686"/>
      <c r="N103" s="2686"/>
      <c r="O103" s="2686"/>
      <c r="P103" s="2686"/>
      <c r="Q103" s="2686"/>
      <c r="R103" s="2686"/>
      <c r="S103" s="2686"/>
      <c r="T103" s="2689"/>
    </row>
    <row r="104" spans="2:21" ht="18.75" x14ac:dyDescent="0.25">
      <c r="B104" s="795"/>
      <c r="C104" s="797" t="s">
        <v>2250</v>
      </c>
      <c r="D104" s="796"/>
      <c r="E104" s="796"/>
      <c r="F104" s="797"/>
      <c r="G104" s="798"/>
      <c r="H104" s="799"/>
      <c r="I104" s="799"/>
      <c r="J104" s="799"/>
      <c r="K104" s="799"/>
      <c r="L104" s="799"/>
      <c r="M104" s="799"/>
      <c r="N104" s="799"/>
      <c r="O104" s="800"/>
      <c r="P104" s="800"/>
      <c r="Q104" s="800"/>
      <c r="R104" s="801"/>
      <c r="S104" s="799"/>
      <c r="T104" s="802"/>
    </row>
    <row r="105" spans="2:21" x14ac:dyDescent="0.25">
      <c r="B105" s="803"/>
      <c r="C105" s="804"/>
      <c r="D105" s="804"/>
      <c r="E105" s="804"/>
      <c r="F105" s="804"/>
      <c r="G105" s="804"/>
      <c r="H105" s="799"/>
      <c r="I105" s="799"/>
      <c r="J105" s="799"/>
      <c r="K105" s="799"/>
      <c r="L105" s="799"/>
      <c r="M105" s="799"/>
      <c r="N105" s="799"/>
      <c r="O105" s="799"/>
      <c r="P105" s="799"/>
      <c r="Q105" s="799"/>
      <c r="R105" s="799"/>
      <c r="S105" s="799"/>
      <c r="T105" s="802"/>
    </row>
    <row r="106" spans="2:21" ht="21" customHeight="1" x14ac:dyDescent="0.25">
      <c r="B106" s="805"/>
      <c r="C106" s="818" t="s">
        <v>2251</v>
      </c>
      <c r="D106" s="818"/>
      <c r="E106" s="818"/>
      <c r="F106" s="818"/>
      <c r="G106" s="818"/>
      <c r="H106" s="818"/>
      <c r="I106" s="818"/>
      <c r="J106" s="818"/>
      <c r="K106" s="818"/>
      <c r="L106" s="818"/>
      <c r="M106" s="818"/>
      <c r="N106" s="818"/>
      <c r="O106" s="818"/>
      <c r="P106" s="818"/>
      <c r="Q106" s="818"/>
      <c r="R106" s="818"/>
      <c r="S106" s="806"/>
      <c r="T106" s="807"/>
    </row>
    <row r="107" spans="2:21" ht="17.25" customHeight="1" x14ac:dyDescent="0.25">
      <c r="B107" s="805"/>
      <c r="C107" s="818" t="s">
        <v>2252</v>
      </c>
      <c r="D107" s="818"/>
      <c r="E107" s="818"/>
      <c r="F107" s="818"/>
      <c r="G107" s="818"/>
      <c r="H107" s="818"/>
      <c r="I107" s="818"/>
      <c r="J107" s="818"/>
      <c r="K107" s="818"/>
      <c r="L107" s="818"/>
      <c r="M107" s="818"/>
      <c r="N107" s="818"/>
      <c r="O107" s="818"/>
      <c r="P107" s="818"/>
      <c r="Q107" s="818"/>
      <c r="R107" s="818"/>
      <c r="S107" s="818"/>
      <c r="T107" s="819"/>
    </row>
    <row r="108" spans="2:21" ht="21" customHeight="1" x14ac:dyDescent="0.25">
      <c r="B108" s="805"/>
      <c r="C108" s="2805" t="s">
        <v>2253</v>
      </c>
      <c r="D108" s="2805"/>
      <c r="E108" s="2805"/>
      <c r="F108" s="2805"/>
      <c r="G108" s="2805"/>
      <c r="H108" s="2805"/>
      <c r="I108" s="2805"/>
      <c r="J108" s="2805"/>
      <c r="K108" s="2805"/>
      <c r="L108" s="2805"/>
      <c r="M108" s="2805"/>
      <c r="N108" s="2805"/>
      <c r="O108" s="2805"/>
      <c r="P108" s="2805"/>
      <c r="Q108" s="2805"/>
      <c r="R108" s="2805"/>
      <c r="S108" s="806"/>
      <c r="T108" s="807"/>
    </row>
    <row r="109" spans="2:21" ht="17.25" customHeight="1" x14ac:dyDescent="0.25">
      <c r="B109" s="805"/>
      <c r="C109" s="799" t="s">
        <v>2254</v>
      </c>
      <c r="D109" s="799"/>
      <c r="E109" s="799"/>
      <c r="F109" s="799"/>
      <c r="G109" s="799"/>
      <c r="H109" s="799"/>
      <c r="I109" s="799"/>
      <c r="J109" s="799"/>
      <c r="K109" s="799"/>
      <c r="L109" s="799"/>
      <c r="M109" s="799"/>
      <c r="N109" s="799"/>
      <c r="O109" s="799"/>
      <c r="P109" s="799"/>
      <c r="Q109" s="799"/>
      <c r="R109" s="799"/>
      <c r="S109" s="799"/>
      <c r="T109" s="802"/>
    </row>
    <row r="110" spans="2:21" ht="21" customHeight="1" x14ac:dyDescent="0.25">
      <c r="B110" s="803"/>
      <c r="C110" s="2733" t="s">
        <v>2255</v>
      </c>
      <c r="D110" s="2636"/>
      <c r="E110" s="2636"/>
      <c r="F110" s="2636"/>
      <c r="G110" s="2636"/>
      <c r="H110" s="2636"/>
      <c r="I110" s="2636"/>
      <c r="J110" s="2636"/>
      <c r="K110" s="2636"/>
      <c r="L110" s="2636"/>
      <c r="M110" s="2636"/>
      <c r="N110" s="2636"/>
      <c r="O110" s="2636"/>
      <c r="P110" s="2636"/>
      <c r="Q110" s="2636"/>
      <c r="R110" s="2636"/>
      <c r="S110" s="2636"/>
      <c r="T110" s="802"/>
    </row>
    <row r="111" spans="2:21" ht="21" customHeight="1" x14ac:dyDescent="0.25">
      <c r="B111" s="803"/>
      <c r="C111" s="2704" t="s">
        <v>2256</v>
      </c>
      <c r="D111" s="818"/>
      <c r="E111" s="818"/>
      <c r="F111" s="818"/>
      <c r="G111" s="818"/>
      <c r="H111" s="818"/>
      <c r="I111" s="818"/>
      <c r="J111" s="818"/>
      <c r="K111" s="818"/>
      <c r="L111" s="818"/>
      <c r="M111" s="818"/>
      <c r="N111" s="818"/>
      <c r="O111" s="818"/>
      <c r="P111" s="818"/>
      <c r="Q111" s="818"/>
      <c r="R111" s="818"/>
      <c r="S111" s="818"/>
      <c r="T111" s="818"/>
      <c r="U111" s="2690"/>
    </row>
    <row r="112" spans="2:21" x14ac:dyDescent="0.25">
      <c r="B112" s="2669"/>
      <c r="C112" s="2670"/>
      <c r="D112" s="2670"/>
      <c r="E112" s="2670"/>
      <c r="F112" s="2670"/>
      <c r="G112" s="2670"/>
      <c r="H112" s="971"/>
      <c r="I112" s="971"/>
      <c r="J112" s="971"/>
      <c r="K112" s="971"/>
      <c r="L112" s="971"/>
      <c r="M112" s="971"/>
      <c r="N112" s="971"/>
      <c r="O112" s="971"/>
      <c r="P112" s="971"/>
      <c r="Q112" s="971"/>
      <c r="R112" s="971"/>
      <c r="S112" s="971"/>
      <c r="T112" s="2671"/>
      <c r="U112" s="2690"/>
    </row>
    <row r="113" spans="2:20" ht="15.75" x14ac:dyDescent="0.25">
      <c r="B113" s="2688"/>
      <c r="C113" s="2684"/>
      <c r="D113" s="2684"/>
      <c r="E113" s="2684"/>
      <c r="F113" s="2684"/>
      <c r="G113" s="2685"/>
      <c r="H113" s="2686"/>
      <c r="I113" s="2686"/>
      <c r="J113" s="2686"/>
      <c r="K113" s="2686"/>
      <c r="L113" s="2686"/>
      <c r="M113" s="2686"/>
      <c r="N113" s="2686"/>
      <c r="O113" s="2686"/>
      <c r="P113" s="2686"/>
      <c r="Q113" s="2686"/>
      <c r="R113" s="2686"/>
      <c r="S113" s="2686"/>
      <c r="T113" s="2689"/>
    </row>
    <row r="114" spans="2:20" ht="18.75" x14ac:dyDescent="0.25">
      <c r="B114" s="795"/>
      <c r="C114" s="797" t="s">
        <v>2257</v>
      </c>
      <c r="D114" s="796"/>
      <c r="E114" s="796"/>
      <c r="F114" s="797"/>
      <c r="G114" s="798"/>
      <c r="H114" s="799"/>
      <c r="I114" s="799"/>
      <c r="J114" s="799"/>
      <c r="K114" s="799"/>
      <c r="L114" s="799"/>
      <c r="M114" s="799"/>
      <c r="N114" s="799"/>
      <c r="O114" s="800"/>
      <c r="P114" s="800"/>
      <c r="Q114" s="800"/>
      <c r="R114" s="801"/>
      <c r="S114" s="799"/>
      <c r="T114" s="802"/>
    </row>
    <row r="115" spans="2:20" x14ac:dyDescent="0.25">
      <c r="B115" s="803"/>
      <c r="C115" s="804"/>
      <c r="D115" s="804"/>
      <c r="E115" s="804"/>
      <c r="F115" s="804"/>
      <c r="G115" s="804"/>
      <c r="H115" s="799"/>
      <c r="I115" s="799"/>
      <c r="J115" s="799"/>
      <c r="K115" s="799"/>
      <c r="L115" s="799"/>
      <c r="M115" s="799"/>
      <c r="N115" s="799"/>
      <c r="O115" s="799"/>
      <c r="P115" s="799"/>
      <c r="Q115" s="799"/>
      <c r="R115" s="799"/>
      <c r="S115" s="799"/>
      <c r="T115" s="802"/>
    </row>
    <row r="116" spans="2:20" ht="15" customHeight="1" x14ac:dyDescent="0.25">
      <c r="B116" s="805"/>
      <c r="C116" s="818" t="s">
        <v>2258</v>
      </c>
      <c r="D116" s="818"/>
      <c r="E116" s="818"/>
      <c r="F116" s="818"/>
      <c r="G116" s="818"/>
      <c r="H116" s="818"/>
      <c r="I116" s="818"/>
      <c r="J116" s="818"/>
      <c r="K116" s="818"/>
      <c r="L116" s="818"/>
      <c r="M116" s="818"/>
      <c r="N116" s="818"/>
      <c r="O116" s="818"/>
      <c r="P116" s="818"/>
      <c r="Q116" s="818"/>
      <c r="R116" s="818"/>
      <c r="S116" s="806"/>
      <c r="T116" s="807"/>
    </row>
    <row r="117" spans="2:20" ht="21.75" customHeight="1" x14ac:dyDescent="0.25">
      <c r="B117" s="805"/>
      <c r="C117" s="818" t="s">
        <v>2259</v>
      </c>
      <c r="D117" s="818"/>
      <c r="E117" s="818"/>
      <c r="F117" s="818"/>
      <c r="G117" s="818"/>
      <c r="H117" s="818"/>
      <c r="I117" s="818"/>
      <c r="J117" s="818"/>
      <c r="K117" s="818"/>
      <c r="L117" s="818"/>
      <c r="M117" s="818"/>
      <c r="N117" s="818"/>
      <c r="O117" s="818"/>
      <c r="P117" s="818"/>
      <c r="Q117" s="818"/>
      <c r="R117" s="818"/>
      <c r="S117" s="806"/>
      <c r="T117" s="807"/>
    </row>
    <row r="118" spans="2:20" ht="17.25" customHeight="1" x14ac:dyDescent="0.25">
      <c r="B118" s="805"/>
      <c r="C118" s="818" t="s">
        <v>2260</v>
      </c>
      <c r="D118" s="818"/>
      <c r="E118" s="818"/>
      <c r="F118" s="818"/>
      <c r="G118" s="818"/>
      <c r="H118" s="818"/>
      <c r="I118" s="818"/>
      <c r="J118" s="818"/>
      <c r="K118" s="818"/>
      <c r="L118" s="818"/>
      <c r="M118" s="818"/>
      <c r="N118" s="818"/>
      <c r="O118" s="818"/>
      <c r="P118" s="818"/>
      <c r="Q118" s="818"/>
      <c r="R118" s="818"/>
      <c r="S118" s="818"/>
      <c r="T118" s="807"/>
    </row>
    <row r="119" spans="2:20" ht="45" customHeight="1" x14ac:dyDescent="0.25">
      <c r="B119" s="805"/>
      <c r="C119" s="3560" t="s">
        <v>2261</v>
      </c>
      <c r="D119" s="3560"/>
      <c r="E119" s="3560"/>
      <c r="F119" s="3560"/>
      <c r="G119" s="3560"/>
      <c r="H119" s="3560"/>
      <c r="I119" s="3560"/>
      <c r="J119" s="3560"/>
      <c r="K119" s="3560"/>
      <c r="L119" s="3560"/>
      <c r="M119" s="3560"/>
      <c r="N119" s="3560"/>
      <c r="O119" s="3560"/>
      <c r="P119" s="3560"/>
      <c r="Q119" s="3560"/>
      <c r="R119" s="3560"/>
      <c r="S119" s="806"/>
      <c r="T119" s="807"/>
    </row>
    <row r="120" spans="2:20" ht="17.25" customHeight="1" x14ac:dyDescent="0.25">
      <c r="B120" s="805"/>
      <c r="C120" s="799" t="s">
        <v>2262</v>
      </c>
      <c r="D120" s="799"/>
      <c r="E120" s="799"/>
      <c r="F120" s="799"/>
      <c r="G120" s="799"/>
      <c r="H120" s="799"/>
      <c r="I120" s="799"/>
      <c r="J120" s="799"/>
      <c r="K120" s="799"/>
      <c r="L120" s="799"/>
      <c r="M120" s="799"/>
      <c r="N120" s="799"/>
      <c r="O120" s="799"/>
      <c r="P120" s="799"/>
      <c r="Q120" s="799"/>
      <c r="R120" s="799"/>
      <c r="S120" s="799"/>
      <c r="T120" s="802"/>
    </row>
    <row r="121" spans="2:20" ht="17.25" customHeight="1" x14ac:dyDescent="0.25">
      <c r="B121" s="803"/>
      <c r="C121" s="2636" t="s">
        <v>2263</v>
      </c>
      <c r="D121" s="2636"/>
      <c r="E121" s="2636"/>
      <c r="F121" s="2636"/>
      <c r="G121" s="2636"/>
      <c r="H121" s="2636"/>
      <c r="I121" s="2636"/>
      <c r="J121" s="2636"/>
      <c r="K121" s="2636"/>
      <c r="L121" s="2636"/>
      <c r="M121" s="2636"/>
      <c r="N121" s="2636"/>
      <c r="O121" s="2636"/>
      <c r="P121" s="2636"/>
      <c r="Q121" s="2636"/>
      <c r="R121" s="2636"/>
      <c r="S121" s="2636"/>
      <c r="T121" s="2643"/>
    </row>
    <row r="122" spans="2:20" ht="26.25" customHeight="1" x14ac:dyDescent="0.25">
      <c r="B122" s="803"/>
      <c r="C122" s="2734" t="s">
        <v>2264</v>
      </c>
      <c r="D122" s="2636"/>
      <c r="E122" s="2636"/>
      <c r="F122" s="2636"/>
      <c r="G122" s="2636"/>
      <c r="H122" s="2636"/>
      <c r="I122" s="2636"/>
      <c r="J122" s="2636"/>
      <c r="K122" s="2636"/>
      <c r="L122" s="2636"/>
      <c r="M122" s="2636"/>
      <c r="N122" s="2636"/>
      <c r="O122" s="2636"/>
      <c r="P122" s="2636"/>
      <c r="Q122" s="2636"/>
      <c r="R122" s="2636"/>
      <c r="S122" s="2636"/>
      <c r="T122" s="2643"/>
    </row>
    <row r="123" spans="2:20" ht="17.25" customHeight="1" x14ac:dyDescent="0.25">
      <c r="B123" s="803"/>
      <c r="C123" s="2636" t="s">
        <v>2265</v>
      </c>
      <c r="D123" s="2636"/>
      <c r="E123" s="2636"/>
      <c r="F123" s="2636"/>
      <c r="G123" s="2636"/>
      <c r="H123" s="2636"/>
      <c r="I123" s="2636"/>
      <c r="J123" s="2636"/>
      <c r="K123" s="2636"/>
      <c r="L123" s="2636"/>
      <c r="M123" s="2636"/>
      <c r="N123" s="2636"/>
      <c r="O123" s="2636"/>
      <c r="P123" s="2636"/>
      <c r="Q123" s="2636"/>
      <c r="R123" s="2636"/>
      <c r="S123" s="951"/>
      <c r="T123" s="802"/>
    </row>
    <row r="124" spans="2:20" x14ac:dyDescent="0.25">
      <c r="B124" s="803"/>
      <c r="C124" s="2630"/>
      <c r="D124" s="953"/>
      <c r="E124" s="953"/>
      <c r="F124" s="950"/>
      <c r="G124" s="950"/>
      <c r="H124" s="950"/>
      <c r="I124" s="950"/>
      <c r="J124" s="950"/>
      <c r="K124" s="950"/>
      <c r="L124" s="950"/>
      <c r="M124" s="950"/>
      <c r="N124" s="950"/>
      <c r="O124" s="950"/>
      <c r="P124" s="950"/>
      <c r="Q124" s="950"/>
      <c r="R124" s="950"/>
      <c r="S124" s="951"/>
      <c r="T124" s="802"/>
    </row>
    <row r="125" spans="2:20" x14ac:dyDescent="0.25">
      <c r="B125" s="2669"/>
      <c r="C125" s="2670"/>
      <c r="D125" s="2670"/>
      <c r="E125" s="2670"/>
      <c r="F125" s="2670"/>
      <c r="G125" s="2670"/>
      <c r="H125" s="971"/>
      <c r="I125" s="971"/>
      <c r="J125" s="971"/>
      <c r="K125" s="971"/>
      <c r="L125" s="971"/>
      <c r="M125" s="971"/>
      <c r="N125" s="971"/>
      <c r="O125" s="971"/>
      <c r="P125" s="971"/>
      <c r="Q125" s="971"/>
      <c r="R125" s="971"/>
      <c r="S125" s="971"/>
      <c r="T125" s="2671"/>
    </row>
    <row r="126" spans="2:20" x14ac:dyDescent="0.25">
      <c r="B126" s="803"/>
      <c r="C126" s="804"/>
      <c r="D126" s="804"/>
      <c r="E126" s="804"/>
      <c r="F126" s="804"/>
      <c r="G126" s="804"/>
      <c r="H126" s="799"/>
      <c r="I126" s="799"/>
      <c r="J126" s="799"/>
      <c r="K126" s="799"/>
      <c r="L126" s="799"/>
      <c r="M126" s="799"/>
      <c r="N126" s="799"/>
      <c r="O126" s="799"/>
      <c r="P126" s="799"/>
      <c r="Q126" s="799"/>
      <c r="R126" s="799"/>
      <c r="S126" s="799"/>
      <c r="T126" s="802"/>
    </row>
    <row r="127" spans="2:20" ht="15.75" x14ac:dyDescent="0.25">
      <c r="B127" s="803"/>
      <c r="C127" s="2667" t="s">
        <v>2266</v>
      </c>
      <c r="D127" s="804"/>
      <c r="E127" s="804"/>
      <c r="F127" s="804"/>
      <c r="G127" s="804"/>
      <c r="H127" s="799"/>
      <c r="I127" s="799"/>
      <c r="J127" s="799"/>
      <c r="K127" s="799"/>
      <c r="L127" s="799"/>
      <c r="M127" s="799"/>
      <c r="N127" s="799"/>
      <c r="O127" s="799"/>
      <c r="P127" s="799"/>
      <c r="Q127" s="799"/>
      <c r="R127" s="799"/>
      <c r="S127" s="799"/>
      <c r="T127" s="802"/>
    </row>
    <row r="128" spans="2:20" ht="12" customHeight="1" x14ac:dyDescent="0.25">
      <c r="B128" s="803"/>
      <c r="C128" s="804"/>
      <c r="D128" s="2662"/>
      <c r="E128" s="804"/>
      <c r="F128" s="804"/>
      <c r="G128" s="804"/>
      <c r="H128" s="799"/>
      <c r="I128" s="799"/>
      <c r="J128" s="799"/>
      <c r="K128" s="799"/>
      <c r="L128" s="799"/>
      <c r="M128" s="799"/>
      <c r="N128" s="799"/>
      <c r="O128" s="799"/>
      <c r="P128" s="799"/>
      <c r="Q128" s="799"/>
      <c r="R128" s="799"/>
      <c r="S128" s="799"/>
      <c r="T128" s="802"/>
    </row>
    <row r="129" spans="2:20" ht="15.75" x14ac:dyDescent="0.25">
      <c r="B129" s="2730" t="s">
        <v>2267</v>
      </c>
      <c r="C129" s="804"/>
      <c r="D129" s="2662"/>
      <c r="E129" s="804"/>
      <c r="F129" s="804"/>
      <c r="G129" s="804"/>
      <c r="H129" s="799"/>
      <c r="I129" s="799"/>
      <c r="J129" s="799"/>
      <c r="K129" s="799"/>
      <c r="L129" s="799"/>
      <c r="M129" s="799"/>
      <c r="N129" s="799"/>
      <c r="O129" s="799"/>
      <c r="P129" s="799"/>
      <c r="Q129" s="799"/>
      <c r="R129" s="799"/>
      <c r="S129" s="799"/>
      <c r="T129" s="802"/>
    </row>
    <row r="130" spans="2:20" ht="9.75" customHeight="1" x14ac:dyDescent="0.25">
      <c r="B130" s="2730"/>
      <c r="C130" s="804"/>
      <c r="D130" s="2662"/>
      <c r="E130" s="804"/>
      <c r="F130" s="804"/>
      <c r="G130" s="804"/>
      <c r="H130" s="799"/>
      <c r="I130" s="799"/>
      <c r="J130" s="799"/>
      <c r="K130" s="799"/>
      <c r="L130" s="799"/>
      <c r="M130" s="799"/>
      <c r="N130" s="799"/>
      <c r="O130" s="799"/>
      <c r="P130" s="799"/>
      <c r="Q130" s="799"/>
      <c r="R130" s="799"/>
      <c r="S130" s="799"/>
      <c r="T130" s="802"/>
    </row>
    <row r="131" spans="2:20" ht="15.75" x14ac:dyDescent="0.25">
      <c r="B131" s="2730" t="s">
        <v>2268</v>
      </c>
      <c r="C131" s="804"/>
      <c r="D131" s="2662"/>
      <c r="E131" s="804"/>
      <c r="F131" s="804"/>
      <c r="G131" s="804"/>
      <c r="H131" s="799"/>
      <c r="I131" s="799"/>
      <c r="J131" s="799"/>
      <c r="K131" s="799"/>
      <c r="L131" s="799"/>
      <c r="M131" s="799"/>
      <c r="N131" s="799"/>
      <c r="O131" s="799"/>
      <c r="P131" s="799"/>
      <c r="Q131" s="799"/>
      <c r="R131" s="799"/>
      <c r="S131" s="799"/>
      <c r="T131" s="802"/>
    </row>
    <row r="132" spans="2:20" ht="9.75" customHeight="1" x14ac:dyDescent="0.25">
      <c r="B132" s="2730"/>
      <c r="C132" s="804"/>
      <c r="D132" s="2662"/>
      <c r="E132" s="804"/>
      <c r="F132" s="804"/>
      <c r="G132" s="804"/>
      <c r="H132" s="799"/>
      <c r="I132" s="799"/>
      <c r="J132" s="799"/>
      <c r="K132" s="799"/>
      <c r="L132" s="799"/>
      <c r="M132" s="799"/>
      <c r="N132" s="799"/>
      <c r="O132" s="799"/>
      <c r="P132" s="799"/>
      <c r="Q132" s="799"/>
      <c r="R132" s="799"/>
      <c r="S132" s="799"/>
      <c r="T132" s="802"/>
    </row>
    <row r="133" spans="2:20" x14ac:dyDescent="0.25">
      <c r="B133" s="2730" t="s">
        <v>2269</v>
      </c>
      <c r="C133" s="804"/>
      <c r="D133" s="804"/>
      <c r="E133" s="804"/>
      <c r="F133" s="804"/>
      <c r="G133" s="804"/>
      <c r="H133" s="799"/>
      <c r="I133" s="799"/>
      <c r="J133" s="799"/>
      <c r="K133" s="799"/>
      <c r="L133" s="799"/>
      <c r="M133" s="799"/>
      <c r="N133" s="799"/>
      <c r="O133" s="799"/>
      <c r="P133" s="799"/>
      <c r="Q133" s="799"/>
      <c r="R133" s="799"/>
      <c r="S133" s="799"/>
      <c r="T133" s="802"/>
    </row>
    <row r="134" spans="2:20" x14ac:dyDescent="0.25">
      <c r="B134" s="2730" t="s">
        <v>2270</v>
      </c>
      <c r="C134" s="804"/>
      <c r="D134" s="804"/>
      <c r="E134" s="804"/>
      <c r="F134" s="804"/>
      <c r="G134" s="804"/>
      <c r="H134" s="799"/>
      <c r="I134" s="799"/>
      <c r="J134" s="799"/>
      <c r="K134" s="799"/>
      <c r="L134" s="799"/>
      <c r="M134" s="799"/>
      <c r="N134" s="799"/>
      <c r="O134" s="799"/>
      <c r="P134" s="799"/>
      <c r="Q134" s="799"/>
      <c r="R134" s="799"/>
      <c r="S134" s="799"/>
      <c r="T134" s="802"/>
    </row>
    <row r="135" spans="2:20" ht="15.75" thickBot="1" x14ac:dyDescent="0.3">
      <c r="B135" s="808"/>
      <c r="C135" s="809"/>
      <c r="D135" s="809"/>
      <c r="E135" s="809"/>
      <c r="F135" s="809"/>
      <c r="G135" s="809"/>
      <c r="H135" s="810"/>
      <c r="I135" s="810"/>
      <c r="J135" s="810"/>
      <c r="K135" s="810"/>
      <c r="L135" s="810"/>
      <c r="M135" s="810"/>
      <c r="N135" s="810"/>
      <c r="O135" s="810"/>
      <c r="P135" s="810"/>
      <c r="Q135" s="810"/>
      <c r="R135" s="810"/>
      <c r="S135" s="810"/>
      <c r="T135" s="811"/>
    </row>
    <row r="136" spans="2:20" ht="27" customHeight="1" x14ac:dyDescent="0.25">
      <c r="B136" s="600"/>
      <c r="C136" s="599"/>
      <c r="D136" s="599"/>
      <c r="E136" s="599"/>
      <c r="R136" s="1216"/>
      <c r="S136" s="1216"/>
      <c r="T136" s="1216"/>
    </row>
    <row r="137" spans="2:20" ht="27.75" customHeight="1" x14ac:dyDescent="0.25">
      <c r="B137" s="954" t="s">
        <v>2271</v>
      </c>
      <c r="C137" s="858"/>
      <c r="D137" s="858"/>
      <c r="E137" s="858"/>
      <c r="F137" s="858"/>
      <c r="G137" s="858"/>
      <c r="H137" s="858"/>
      <c r="I137" s="858"/>
      <c r="J137" s="858"/>
      <c r="K137" s="858"/>
      <c r="L137" s="858"/>
      <c r="M137" s="858"/>
      <c r="N137" s="859"/>
      <c r="O137" s="859"/>
      <c r="P137" s="859"/>
      <c r="Q137" s="859"/>
      <c r="R137" s="787"/>
      <c r="S137" s="787"/>
      <c r="T137" s="787"/>
    </row>
    <row r="138" spans="2:20" ht="21.75" thickBot="1" x14ac:dyDescent="0.3">
      <c r="B138" s="2631"/>
      <c r="C138" s="2632"/>
      <c r="D138" s="2632"/>
      <c r="E138" s="2632"/>
      <c r="F138" s="2632"/>
      <c r="G138" s="2632"/>
      <c r="H138" s="2632"/>
      <c r="I138" s="2632"/>
      <c r="J138" s="2632"/>
      <c r="K138" s="2632"/>
      <c r="L138" s="2632"/>
      <c r="M138" s="2632"/>
      <c r="N138" s="2633"/>
      <c r="O138" s="2633"/>
      <c r="P138" s="2633"/>
      <c r="Q138" s="2633"/>
    </row>
    <row r="139" spans="2:20" ht="12.75" customHeight="1" x14ac:dyDescent="0.25">
      <c r="B139" s="2675"/>
      <c r="C139" s="2676"/>
      <c r="D139" s="2676"/>
      <c r="E139" s="2676"/>
      <c r="F139" s="2676"/>
      <c r="G139" s="2676"/>
      <c r="H139" s="2676"/>
      <c r="I139" s="2676"/>
      <c r="J139" s="2676"/>
      <c r="K139" s="2676"/>
      <c r="L139" s="2676"/>
      <c r="M139" s="2676"/>
      <c r="N139" s="2677"/>
      <c r="O139" s="2677"/>
      <c r="P139" s="2677"/>
      <c r="Q139" s="2677"/>
      <c r="R139" s="2656"/>
      <c r="S139" s="2656"/>
      <c r="T139" s="2657"/>
    </row>
    <row r="140" spans="2:20" ht="12.75" customHeight="1" x14ac:dyDescent="0.25">
      <c r="B140" s="2678"/>
      <c r="C140" s="2707" t="s">
        <v>2272</v>
      </c>
      <c r="D140" s="2728"/>
      <c r="E140" s="2728"/>
      <c r="F140" s="2728"/>
      <c r="G140" s="2728"/>
      <c r="H140" s="2728"/>
      <c r="I140" s="2728"/>
      <c r="J140" s="2728"/>
      <c r="K140" s="2679"/>
      <c r="L140" s="2679"/>
      <c r="M140" s="2679"/>
      <c r="N140" s="2680"/>
      <c r="O140" s="2680"/>
      <c r="P140" s="2680"/>
      <c r="Q140" s="2680"/>
      <c r="R140" s="799"/>
      <c r="S140" s="799"/>
      <c r="T140" s="802"/>
    </row>
    <row r="141" spans="2:20" ht="12.75" customHeight="1" x14ac:dyDescent="0.25">
      <c r="B141" s="2678"/>
      <c r="C141" s="2707"/>
      <c r="D141" s="2728"/>
      <c r="E141" s="2728"/>
      <c r="F141" s="2728"/>
      <c r="G141" s="2728"/>
      <c r="H141" s="2728"/>
      <c r="I141" s="2728"/>
      <c r="J141" s="2728"/>
      <c r="K141" s="2679"/>
      <c r="L141" s="2679"/>
      <c r="M141" s="2679"/>
      <c r="N141" s="2680"/>
      <c r="O141" s="2680"/>
      <c r="P141" s="2680"/>
      <c r="Q141" s="2680"/>
      <c r="R141" s="799"/>
      <c r="S141" s="799"/>
      <c r="T141" s="802"/>
    </row>
    <row r="142" spans="2:20" ht="32.25" customHeight="1" x14ac:dyDescent="0.25">
      <c r="B142" s="2678"/>
      <c r="C142" s="3524" t="s">
        <v>2209</v>
      </c>
      <c r="D142" s="3530"/>
      <c r="E142" s="3518" t="s">
        <v>2237</v>
      </c>
      <c r="F142" s="3523"/>
      <c r="G142" s="3519"/>
      <c r="H142" s="3518" t="s">
        <v>2238</v>
      </c>
      <c r="I142" s="3519"/>
      <c r="J142" s="3518" t="s">
        <v>2239</v>
      </c>
      <c r="K142" s="3519"/>
      <c r="L142" s="2679"/>
      <c r="M142" s="2679"/>
      <c r="N142" s="2680"/>
      <c r="O142" s="2680"/>
      <c r="P142" s="2680"/>
      <c r="Q142" s="2680"/>
      <c r="R142" s="799"/>
      <c r="S142" s="799"/>
      <c r="T142" s="802"/>
    </row>
    <row r="143" spans="2:20" ht="21" x14ac:dyDescent="0.25">
      <c r="B143" s="2678"/>
      <c r="C143" s="3524" t="s">
        <v>2214</v>
      </c>
      <c r="D143" s="3530"/>
      <c r="E143" s="3520" t="s">
        <v>2273</v>
      </c>
      <c r="F143" s="3522"/>
      <c r="G143" s="3521"/>
      <c r="H143" s="3520" t="s">
        <v>2274</v>
      </c>
      <c r="I143" s="3521"/>
      <c r="J143" s="3520" t="s">
        <v>2275</v>
      </c>
      <c r="K143" s="3521"/>
      <c r="L143" s="2695" t="s">
        <v>2276</v>
      </c>
      <c r="M143" s="2679"/>
      <c r="N143" s="2680"/>
      <c r="O143" s="2680"/>
      <c r="P143" s="2680"/>
      <c r="Q143" s="2680"/>
      <c r="R143" s="799"/>
      <c r="S143" s="799"/>
      <c r="T143" s="802"/>
    </row>
    <row r="144" spans="2:20" ht="21" x14ac:dyDescent="0.25">
      <c r="B144" s="2678"/>
      <c r="C144" s="3533" t="s">
        <v>2217</v>
      </c>
      <c r="D144" s="3534"/>
      <c r="E144" s="3520" t="s">
        <v>2277</v>
      </c>
      <c r="F144" s="3522"/>
      <c r="G144" s="3522"/>
      <c r="H144" s="3522"/>
      <c r="I144" s="3522"/>
      <c r="J144" s="3522"/>
      <c r="K144" s="3521"/>
      <c r="L144" s="2679"/>
      <c r="M144" s="2679"/>
      <c r="N144" s="2680"/>
      <c r="O144" s="2680"/>
      <c r="P144" s="2680"/>
      <c r="Q144" s="2680"/>
      <c r="R144" s="799"/>
      <c r="S144" s="799"/>
      <c r="T144" s="802"/>
    </row>
    <row r="145" spans="2:20" ht="15" customHeight="1" x14ac:dyDescent="0.25">
      <c r="B145" s="2678"/>
      <c r="C145" s="2664"/>
      <c r="D145" s="2664"/>
      <c r="E145" s="2665"/>
      <c r="F145" s="2665"/>
      <c r="G145" s="2665"/>
      <c r="H145" s="2665"/>
      <c r="I145" s="2665"/>
      <c r="J145" s="2665"/>
      <c r="K145" s="2665"/>
      <c r="L145" s="2679"/>
      <c r="M145" s="2679"/>
      <c r="N145" s="2680"/>
      <c r="O145" s="2680"/>
      <c r="P145" s="2680"/>
      <c r="Q145" s="2680"/>
      <c r="R145" s="799"/>
      <c r="S145" s="799"/>
      <c r="T145" s="802"/>
    </row>
    <row r="146" spans="2:20" ht="21" x14ac:dyDescent="0.25">
      <c r="B146" s="2678"/>
      <c r="C146" s="2667" t="s">
        <v>2245</v>
      </c>
      <c r="D146" s="2665"/>
      <c r="E146" s="2665"/>
      <c r="F146" s="2665"/>
      <c r="G146" s="2665"/>
      <c r="H146" s="2665"/>
      <c r="I146" s="2665"/>
      <c r="J146" s="2665"/>
      <c r="K146" s="2665"/>
      <c r="L146" s="2679"/>
      <c r="M146" s="2679"/>
      <c r="N146" s="2680"/>
      <c r="O146" s="2680"/>
      <c r="P146" s="2680"/>
      <c r="Q146" s="2680"/>
      <c r="R146" s="799"/>
      <c r="S146" s="799"/>
      <c r="T146" s="802"/>
    </row>
    <row r="147" spans="2:20" ht="11.25" customHeight="1" x14ac:dyDescent="0.3">
      <c r="B147" s="2678"/>
      <c r="C147" s="2668"/>
      <c r="D147" s="2668"/>
      <c r="E147" s="949"/>
      <c r="F147" s="949"/>
      <c r="G147" s="949"/>
      <c r="H147" s="949"/>
      <c r="I147" s="949"/>
      <c r="J147" s="949"/>
      <c r="K147" s="949"/>
      <c r="L147" s="2691"/>
      <c r="M147" s="2691"/>
      <c r="N147" s="2692"/>
      <c r="O147" s="2692"/>
      <c r="P147" s="2692"/>
      <c r="Q147" s="2692"/>
      <c r="R147" s="949"/>
      <c r="S147" s="949"/>
      <c r="T147" s="2660"/>
    </row>
    <row r="148" spans="2:20" ht="17.25" customHeight="1" x14ac:dyDescent="0.3">
      <c r="B148" s="2678"/>
      <c r="C148" s="975" t="s">
        <v>2278</v>
      </c>
      <c r="D148" s="2668"/>
      <c r="E148" s="949"/>
      <c r="F148" s="949"/>
      <c r="G148" s="949"/>
      <c r="H148" s="949"/>
      <c r="I148" s="949"/>
      <c r="J148" s="949"/>
      <c r="K148" s="949"/>
      <c r="L148" s="2691"/>
      <c r="M148" s="2691"/>
      <c r="N148" s="2692"/>
      <c r="O148" s="2692"/>
      <c r="P148" s="2692"/>
      <c r="Q148" s="2692"/>
      <c r="R148" s="949"/>
      <c r="S148" s="949"/>
      <c r="T148" s="2660"/>
    </row>
    <row r="149" spans="2:20" ht="17.25" customHeight="1" x14ac:dyDescent="0.3">
      <c r="B149" s="2678"/>
      <c r="C149" s="975" t="s">
        <v>2246</v>
      </c>
      <c r="D149" s="2668"/>
      <c r="E149" s="949"/>
      <c r="F149" s="949"/>
      <c r="G149" s="949"/>
      <c r="H149" s="949"/>
      <c r="I149" s="949"/>
      <c r="J149" s="949"/>
      <c r="K149" s="949"/>
      <c r="L149" s="2691"/>
      <c r="M149" s="2691"/>
      <c r="N149" s="2692"/>
      <c r="O149" s="2692"/>
      <c r="P149" s="2692"/>
      <c r="Q149" s="2692"/>
      <c r="R149" s="949"/>
      <c r="S149" s="949"/>
      <c r="T149" s="2660"/>
    </row>
    <row r="150" spans="2:20" ht="17.25" customHeight="1" x14ac:dyDescent="0.3">
      <c r="B150" s="2678"/>
      <c r="C150" s="975" t="s">
        <v>2279</v>
      </c>
      <c r="D150" s="2668"/>
      <c r="E150" s="949"/>
      <c r="F150" s="949"/>
      <c r="G150" s="949"/>
      <c r="H150" s="949"/>
      <c r="I150" s="949"/>
      <c r="J150" s="949"/>
      <c r="K150" s="949"/>
      <c r="L150" s="2691"/>
      <c r="M150" s="2691"/>
      <c r="N150" s="2692"/>
      <c r="O150" s="2692"/>
      <c r="P150" s="2692"/>
      <c r="Q150" s="2692"/>
      <c r="R150" s="949"/>
      <c r="S150" s="949"/>
      <c r="T150" s="2660"/>
    </row>
    <row r="151" spans="2:20" ht="30" customHeight="1" x14ac:dyDescent="0.3">
      <c r="B151" s="2678"/>
      <c r="C151" s="2667" t="s">
        <v>2248</v>
      </c>
      <c r="D151" s="949"/>
      <c r="E151" s="949"/>
      <c r="F151" s="949"/>
      <c r="G151" s="949"/>
      <c r="H151" s="949"/>
      <c r="I151" s="949"/>
      <c r="J151" s="949"/>
      <c r="K151" s="949"/>
      <c r="L151" s="2691"/>
      <c r="M151" s="2691"/>
      <c r="N151" s="2692"/>
      <c r="O151" s="2692"/>
      <c r="P151" s="2692"/>
      <c r="Q151" s="2692"/>
      <c r="R151" s="949"/>
      <c r="S151" s="949"/>
      <c r="T151" s="2660"/>
    </row>
    <row r="152" spans="2:20" ht="21" x14ac:dyDescent="0.3">
      <c r="B152" s="2678"/>
      <c r="C152" s="975" t="s">
        <v>2280</v>
      </c>
      <c r="D152" s="2667"/>
      <c r="E152" s="949"/>
      <c r="F152" s="949"/>
      <c r="G152" s="949"/>
      <c r="H152" s="949"/>
      <c r="I152" s="949"/>
      <c r="J152" s="949"/>
      <c r="K152" s="949"/>
      <c r="L152" s="2691"/>
      <c r="M152" s="2691"/>
      <c r="N152" s="2692"/>
      <c r="O152" s="2692"/>
      <c r="P152" s="2692"/>
      <c r="Q152" s="2692"/>
      <c r="R152" s="949"/>
      <c r="S152" s="949"/>
      <c r="T152" s="2660"/>
    </row>
    <row r="153" spans="2:20" ht="21" x14ac:dyDescent="0.3">
      <c r="B153" s="2678"/>
      <c r="C153" s="2691"/>
      <c r="D153" s="2691"/>
      <c r="E153" s="2691"/>
      <c r="F153" s="2691"/>
      <c r="G153" s="2691"/>
      <c r="H153" s="2691"/>
      <c r="I153" s="2691"/>
      <c r="J153" s="2691"/>
      <c r="K153" s="2691"/>
      <c r="L153" s="2691"/>
      <c r="M153" s="2691"/>
      <c r="N153" s="2692"/>
      <c r="O153" s="2692"/>
      <c r="P153" s="2692"/>
      <c r="Q153" s="2692"/>
      <c r="R153" s="949"/>
      <c r="S153" s="949"/>
      <c r="T153" s="2660"/>
    </row>
    <row r="154" spans="2:20" ht="15.75" x14ac:dyDescent="0.25">
      <c r="B154" s="2688"/>
      <c r="C154" s="2684"/>
      <c r="D154" s="2684"/>
      <c r="E154" s="2684"/>
      <c r="F154" s="2684"/>
      <c r="G154" s="2685"/>
      <c r="H154" s="2686"/>
      <c r="I154" s="2686"/>
      <c r="J154" s="2686"/>
      <c r="K154" s="2686"/>
      <c r="L154" s="2686"/>
      <c r="M154" s="2686"/>
      <c r="N154" s="2686"/>
      <c r="O154" s="2686"/>
      <c r="P154" s="2686"/>
      <c r="Q154" s="2686"/>
      <c r="R154" s="2686"/>
      <c r="S154" s="2686"/>
      <c r="T154" s="2689"/>
    </row>
    <row r="155" spans="2:20" ht="18.75" x14ac:dyDescent="0.25">
      <c r="B155" s="795"/>
      <c r="C155" s="796" t="s">
        <v>2281</v>
      </c>
      <c r="D155" s="796"/>
      <c r="E155" s="796"/>
      <c r="F155" s="797"/>
      <c r="G155" s="798"/>
      <c r="H155" s="799"/>
      <c r="I155" s="799"/>
      <c r="J155" s="799"/>
      <c r="K155" s="799"/>
      <c r="L155" s="799"/>
      <c r="M155" s="799"/>
      <c r="N155" s="799"/>
      <c r="O155" s="800"/>
      <c r="P155" s="800"/>
      <c r="Q155" s="800"/>
      <c r="R155" s="801"/>
      <c r="S155" s="799"/>
      <c r="T155" s="802"/>
    </row>
    <row r="156" spans="2:20" ht="6.75" customHeight="1" x14ac:dyDescent="0.25">
      <c r="B156" s="803"/>
      <c r="C156" s="804"/>
      <c r="D156" s="804"/>
      <c r="E156" s="804"/>
      <c r="F156" s="804"/>
      <c r="G156" s="804"/>
      <c r="H156" s="799"/>
      <c r="I156" s="799"/>
      <c r="J156" s="799"/>
      <c r="K156" s="799"/>
      <c r="L156" s="799"/>
      <c r="M156" s="799"/>
      <c r="N156" s="799"/>
      <c r="O156" s="799"/>
      <c r="P156" s="799"/>
      <c r="Q156" s="799"/>
      <c r="R156" s="799"/>
      <c r="S156" s="799"/>
      <c r="T156" s="802"/>
    </row>
    <row r="157" spans="2:20" x14ac:dyDescent="0.25">
      <c r="B157" s="805"/>
      <c r="C157" s="2811" t="s">
        <v>2282</v>
      </c>
      <c r="D157" s="2811"/>
      <c r="E157" s="2811"/>
      <c r="F157" s="2811"/>
      <c r="G157" s="2811"/>
      <c r="H157" s="2811"/>
      <c r="I157" s="2811"/>
      <c r="J157" s="2811"/>
      <c r="K157" s="2811"/>
      <c r="L157" s="2811"/>
      <c r="M157" s="2811"/>
      <c r="N157" s="2811"/>
      <c r="O157" s="2811"/>
      <c r="P157" s="2811"/>
      <c r="Q157" s="2811"/>
      <c r="R157" s="2811"/>
      <c r="S157" s="806"/>
      <c r="T157" s="807"/>
    </row>
    <row r="158" spans="2:20" ht="6.75" customHeight="1" x14ac:dyDescent="0.25">
      <c r="B158" s="805"/>
      <c r="C158" s="2625"/>
      <c r="D158" s="2625"/>
      <c r="E158" s="2625"/>
      <c r="F158" s="2626"/>
      <c r="G158" s="2626"/>
      <c r="H158" s="2626"/>
      <c r="I158" s="2626"/>
      <c r="J158" s="2626"/>
      <c r="K158" s="2626"/>
      <c r="L158" s="2626"/>
      <c r="M158" s="2626"/>
      <c r="N158" s="2626"/>
      <c r="O158" s="2626"/>
      <c r="P158" s="2626"/>
      <c r="Q158" s="2626"/>
      <c r="R158" s="2626"/>
      <c r="S158" s="806"/>
      <c r="T158" s="807"/>
    </row>
    <row r="159" spans="2:20" x14ac:dyDescent="0.25">
      <c r="B159" s="805"/>
      <c r="C159" s="2805" t="s">
        <v>2283</v>
      </c>
      <c r="D159" s="2805"/>
      <c r="E159" s="2805"/>
      <c r="F159" s="2805"/>
      <c r="G159" s="2805"/>
      <c r="H159" s="2805"/>
      <c r="I159" s="2805"/>
      <c r="J159" s="2805"/>
      <c r="K159" s="2805"/>
      <c r="L159" s="2805"/>
      <c r="M159" s="2805"/>
      <c r="N159" s="2805"/>
      <c r="O159" s="2805"/>
      <c r="P159" s="2805"/>
      <c r="Q159" s="2805"/>
      <c r="R159" s="2805"/>
      <c r="S159" s="806"/>
      <c r="T159" s="807"/>
    </row>
    <row r="160" spans="2:20" ht="6.75" customHeight="1" x14ac:dyDescent="0.25">
      <c r="B160" s="805"/>
      <c r="C160" s="952"/>
      <c r="D160" s="952"/>
      <c r="E160" s="952"/>
      <c r="F160" s="1217"/>
      <c r="G160" s="1217"/>
      <c r="H160" s="1217"/>
      <c r="I160" s="1217"/>
      <c r="J160" s="1217"/>
      <c r="K160" s="1217"/>
      <c r="L160" s="1217"/>
      <c r="M160" s="1217"/>
      <c r="N160" s="1217"/>
      <c r="O160" s="1217"/>
      <c r="P160" s="1217"/>
      <c r="Q160" s="1217"/>
      <c r="R160" s="1217"/>
      <c r="S160" s="806"/>
      <c r="T160" s="807"/>
    </row>
    <row r="161" spans="2:20" ht="6.75" customHeight="1" x14ac:dyDescent="0.25">
      <c r="B161" s="803"/>
      <c r="C161" s="953"/>
      <c r="D161" s="953"/>
      <c r="E161" s="953"/>
      <c r="F161" s="950"/>
      <c r="G161" s="950"/>
      <c r="H161" s="950"/>
      <c r="I161" s="950"/>
      <c r="J161" s="950"/>
      <c r="K161" s="950"/>
      <c r="L161" s="950"/>
      <c r="M161" s="950"/>
      <c r="N161" s="950"/>
      <c r="O161" s="950"/>
      <c r="P161" s="950"/>
      <c r="Q161" s="950"/>
      <c r="R161" s="950"/>
      <c r="S161" s="951"/>
      <c r="T161" s="802"/>
    </row>
    <row r="162" spans="2:20" ht="6.75" customHeight="1" x14ac:dyDescent="0.25">
      <c r="B162" s="2669"/>
      <c r="C162" s="2670"/>
      <c r="D162" s="2670"/>
      <c r="E162" s="2670"/>
      <c r="F162" s="2670"/>
      <c r="G162" s="2670"/>
      <c r="H162" s="971"/>
      <c r="I162" s="971"/>
      <c r="J162" s="971"/>
      <c r="K162" s="971"/>
      <c r="L162" s="971"/>
      <c r="M162" s="971"/>
      <c r="N162" s="971"/>
      <c r="O162" s="971"/>
      <c r="P162" s="971"/>
      <c r="Q162" s="971"/>
      <c r="R162" s="971"/>
      <c r="S162" s="971"/>
      <c r="T162" s="2671"/>
    </row>
    <row r="163" spans="2:20" ht="15.75" x14ac:dyDescent="0.25">
      <c r="B163" s="2688"/>
      <c r="C163" s="2684"/>
      <c r="D163" s="2684"/>
      <c r="E163" s="2684"/>
      <c r="F163" s="2684"/>
      <c r="G163" s="2685"/>
      <c r="H163" s="2686"/>
      <c r="I163" s="2686"/>
      <c r="J163" s="2686"/>
      <c r="K163" s="2686"/>
      <c r="L163" s="2686"/>
      <c r="M163" s="2686"/>
      <c r="N163" s="2686"/>
      <c r="O163" s="2686"/>
      <c r="P163" s="2686"/>
      <c r="Q163" s="2686"/>
      <c r="R163" s="2686"/>
      <c r="S163" s="2686"/>
      <c r="T163" s="2689"/>
    </row>
    <row r="164" spans="2:20" ht="18.75" x14ac:dyDescent="0.25">
      <c r="B164" s="795"/>
      <c r="C164" s="796" t="s">
        <v>2284</v>
      </c>
      <c r="D164" s="796"/>
      <c r="E164" s="796"/>
      <c r="F164" s="797"/>
      <c r="G164" s="798"/>
      <c r="H164" s="799"/>
      <c r="I164" s="799"/>
      <c r="J164" s="799"/>
      <c r="K164" s="799"/>
      <c r="L164" s="799"/>
      <c r="M164" s="799"/>
      <c r="N164" s="799"/>
      <c r="O164" s="800"/>
      <c r="P164" s="800"/>
      <c r="Q164" s="800"/>
      <c r="R164" s="801"/>
      <c r="S164" s="799"/>
      <c r="T164" s="802"/>
    </row>
    <row r="165" spans="2:20" ht="6.75" customHeight="1" x14ac:dyDescent="0.25">
      <c r="B165" s="803"/>
      <c r="C165" s="804"/>
      <c r="D165" s="804"/>
      <c r="E165" s="804"/>
      <c r="F165" s="804"/>
      <c r="G165" s="804"/>
      <c r="H165" s="799"/>
      <c r="I165" s="799"/>
      <c r="J165" s="799"/>
      <c r="K165" s="799"/>
      <c r="L165" s="799"/>
      <c r="M165" s="799"/>
      <c r="N165" s="799"/>
      <c r="O165" s="799"/>
      <c r="P165" s="799"/>
      <c r="Q165" s="799"/>
      <c r="R165" s="799"/>
      <c r="S165" s="799"/>
      <c r="T165" s="802"/>
    </row>
    <row r="166" spans="2:20" x14ac:dyDescent="0.25">
      <c r="B166" s="805"/>
      <c r="C166" s="2811" t="s">
        <v>2285</v>
      </c>
      <c r="D166" s="2811"/>
      <c r="E166" s="2811"/>
      <c r="F166" s="2811"/>
      <c r="G166" s="2811"/>
      <c r="H166" s="2811"/>
      <c r="I166" s="2811"/>
      <c r="J166" s="2811"/>
      <c r="K166" s="2811"/>
      <c r="L166" s="2811"/>
      <c r="M166" s="2811"/>
      <c r="N166" s="2811"/>
      <c r="O166" s="2811"/>
      <c r="P166" s="2811"/>
      <c r="Q166" s="2811"/>
      <c r="R166" s="2811"/>
      <c r="S166" s="806"/>
      <c r="T166" s="807"/>
    </row>
    <row r="167" spans="2:20" ht="6.75" customHeight="1" x14ac:dyDescent="0.25">
      <c r="B167" s="805"/>
      <c r="C167" s="2625"/>
      <c r="D167" s="2625"/>
      <c r="E167" s="2625"/>
      <c r="F167" s="2626"/>
      <c r="G167" s="2626"/>
      <c r="H167" s="2626"/>
      <c r="I167" s="2626"/>
      <c r="J167" s="2626"/>
      <c r="K167" s="2626"/>
      <c r="L167" s="2626"/>
      <c r="M167" s="2626"/>
      <c r="N167" s="2626"/>
      <c r="O167" s="2626"/>
      <c r="P167" s="2626"/>
      <c r="Q167" s="2626"/>
      <c r="R167" s="2626"/>
      <c r="S167" s="806"/>
      <c r="T167" s="807"/>
    </row>
    <row r="168" spans="2:20" x14ac:dyDescent="0.25">
      <c r="B168" s="805"/>
      <c r="C168" s="2805" t="s">
        <v>2286</v>
      </c>
      <c r="D168" s="2805"/>
      <c r="E168" s="2805"/>
      <c r="F168" s="2805"/>
      <c r="G168" s="2805"/>
      <c r="H168" s="2805"/>
      <c r="I168" s="2805"/>
      <c r="J168" s="2805"/>
      <c r="K168" s="2805"/>
      <c r="L168" s="2805"/>
      <c r="M168" s="2805"/>
      <c r="N168" s="2805"/>
      <c r="O168" s="2805"/>
      <c r="P168" s="2805"/>
      <c r="Q168" s="2805"/>
      <c r="R168" s="2805"/>
      <c r="S168" s="806"/>
      <c r="T168" s="807"/>
    </row>
    <row r="169" spans="2:20" ht="6.75" customHeight="1" x14ac:dyDescent="0.25">
      <c r="B169" s="805"/>
      <c r="C169" s="952"/>
      <c r="D169" s="952"/>
      <c r="E169" s="952"/>
      <c r="F169" s="1217"/>
      <c r="G169" s="1217"/>
      <c r="H169" s="1217"/>
      <c r="I169" s="1217"/>
      <c r="J169" s="1217"/>
      <c r="K169" s="1217"/>
      <c r="L169" s="1217"/>
      <c r="M169" s="1217"/>
      <c r="N169" s="1217"/>
      <c r="O169" s="1217"/>
      <c r="P169" s="1217"/>
      <c r="Q169" s="1217"/>
      <c r="R169" s="1217"/>
      <c r="S169" s="806"/>
      <c r="T169" s="807"/>
    </row>
    <row r="170" spans="2:20" ht="6.75" customHeight="1" x14ac:dyDescent="0.25">
      <c r="B170" s="803"/>
      <c r="C170" s="953"/>
      <c r="D170" s="953"/>
      <c r="E170" s="953"/>
      <c r="F170" s="950"/>
      <c r="G170" s="950"/>
      <c r="H170" s="950"/>
      <c r="I170" s="950"/>
      <c r="J170" s="950"/>
      <c r="K170" s="950"/>
      <c r="L170" s="950"/>
      <c r="M170" s="950"/>
      <c r="N170" s="950"/>
      <c r="O170" s="950"/>
      <c r="P170" s="950"/>
      <c r="Q170" s="950"/>
      <c r="R170" s="950"/>
      <c r="S170" s="951"/>
      <c r="T170" s="802"/>
    </row>
    <row r="171" spans="2:20" ht="15.75" thickBot="1" x14ac:dyDescent="0.3">
      <c r="B171" s="808"/>
      <c r="C171" s="809"/>
      <c r="D171" s="809"/>
      <c r="E171" s="809"/>
      <c r="F171" s="809"/>
      <c r="G171" s="809"/>
      <c r="H171" s="810"/>
      <c r="I171" s="810"/>
      <c r="J171" s="810"/>
      <c r="K171" s="810"/>
      <c r="L171" s="810"/>
      <c r="M171" s="810"/>
      <c r="N171" s="810"/>
      <c r="O171" s="810"/>
      <c r="P171" s="810"/>
      <c r="Q171" s="810"/>
      <c r="R171" s="810"/>
      <c r="S171" s="810"/>
      <c r="T171" s="811"/>
    </row>
    <row r="172" spans="2:20" ht="27" customHeight="1" x14ac:dyDescent="0.25">
      <c r="B172" s="600"/>
      <c r="C172" s="599"/>
      <c r="D172" s="599"/>
      <c r="E172" s="599"/>
      <c r="R172" s="1216"/>
      <c r="S172" s="1216"/>
      <c r="T172" s="1216"/>
    </row>
    <row r="173" spans="2:20" ht="27.75" customHeight="1" x14ac:dyDescent="0.25">
      <c r="B173" s="954" t="s">
        <v>1712</v>
      </c>
      <c r="C173" s="858"/>
      <c r="D173" s="858"/>
      <c r="E173" s="858"/>
      <c r="F173" s="858"/>
      <c r="G173" s="858"/>
      <c r="H173" s="858"/>
      <c r="I173" s="858"/>
      <c r="J173" s="858"/>
      <c r="K173" s="858"/>
      <c r="L173" s="858"/>
      <c r="M173" s="858"/>
      <c r="N173" s="859"/>
      <c r="O173" s="859"/>
      <c r="P173" s="859"/>
      <c r="Q173" s="859"/>
      <c r="R173" s="787"/>
      <c r="S173" s="787"/>
      <c r="T173" s="787"/>
    </row>
    <row r="174" spans="2:20" ht="21.75" thickBot="1" x14ac:dyDescent="0.3">
      <c r="B174" s="2631"/>
      <c r="C174" s="2632"/>
      <c r="D174" s="2632"/>
      <c r="E174" s="2632"/>
      <c r="F174" s="2632"/>
      <c r="G174" s="2632"/>
      <c r="H174" s="2632"/>
      <c r="I174" s="2632"/>
      <c r="J174" s="2632"/>
      <c r="K174" s="2632"/>
      <c r="L174" s="2632"/>
      <c r="M174" s="2632"/>
      <c r="N174" s="2633"/>
      <c r="O174" s="2633"/>
      <c r="P174" s="2633"/>
      <c r="Q174" s="2633"/>
    </row>
    <row r="175" spans="2:20" ht="12.75" customHeight="1" x14ac:dyDescent="0.25">
      <c r="B175" s="2675"/>
      <c r="C175" s="2676"/>
      <c r="D175" s="2676"/>
      <c r="E175" s="2676"/>
      <c r="F175" s="2676"/>
      <c r="G175" s="2676"/>
      <c r="H175" s="2676"/>
      <c r="I175" s="2676"/>
      <c r="J175" s="2676"/>
      <c r="K175" s="2676"/>
      <c r="L175" s="2676"/>
      <c r="M175" s="2676"/>
      <c r="N175" s="2677"/>
      <c r="O175" s="2677"/>
      <c r="P175" s="2677"/>
      <c r="Q175" s="2677"/>
      <c r="R175" s="2656"/>
      <c r="S175" s="2656"/>
      <c r="T175" s="2657"/>
    </row>
    <row r="176" spans="2:20" ht="12.75" customHeight="1" x14ac:dyDescent="0.25">
      <c r="B176" s="2678"/>
      <c r="C176" s="2695" t="s">
        <v>2287</v>
      </c>
      <c r="D176" s="2679"/>
      <c r="E176" s="2679"/>
      <c r="F176" s="2679"/>
      <c r="G176" s="2679"/>
      <c r="H176" s="2679"/>
      <c r="I176" s="2679"/>
      <c r="J176" s="2679"/>
      <c r="K176" s="2679"/>
      <c r="L176" s="2679"/>
      <c r="M176" s="2679"/>
      <c r="N176" s="2680"/>
      <c r="O176" s="2680"/>
      <c r="P176" s="2680"/>
      <c r="Q176" s="2680"/>
      <c r="R176" s="799"/>
      <c r="S176" s="799"/>
      <c r="T176" s="802"/>
    </row>
    <row r="177" spans="2:20" ht="12.75" customHeight="1" x14ac:dyDescent="0.25">
      <c r="B177" s="2678"/>
      <c r="C177" s="2695"/>
      <c r="D177" s="2679"/>
      <c r="E177" s="2679"/>
      <c r="F177" s="2679"/>
      <c r="G177" s="2679"/>
      <c r="H177" s="2679"/>
      <c r="I177" s="2679"/>
      <c r="J177" s="2679"/>
      <c r="K177" s="2679"/>
      <c r="L177" s="2679"/>
      <c r="M177" s="2679"/>
      <c r="N177" s="2680"/>
      <c r="O177" s="2680"/>
      <c r="P177" s="2680"/>
      <c r="Q177" s="2680"/>
      <c r="R177" s="799"/>
      <c r="S177" s="799"/>
      <c r="T177" s="802"/>
    </row>
    <row r="178" spans="2:20" ht="33.75" customHeight="1" x14ac:dyDescent="0.25">
      <c r="B178" s="2678"/>
      <c r="C178" s="3524" t="s">
        <v>2209</v>
      </c>
      <c r="D178" s="3530"/>
      <c r="E178" s="3518" t="s">
        <v>2237</v>
      </c>
      <c r="F178" s="3523"/>
      <c r="G178" s="3519"/>
      <c r="H178" s="3518" t="s">
        <v>2238</v>
      </c>
      <c r="I178" s="3519"/>
      <c r="J178" s="3518" t="s">
        <v>2239</v>
      </c>
      <c r="K178" s="3519"/>
      <c r="L178" s="2679"/>
      <c r="M178" s="2679"/>
      <c r="N178" s="2680"/>
      <c r="O178" s="2680"/>
      <c r="P178" s="2680"/>
      <c r="Q178" s="2680"/>
      <c r="R178" s="799"/>
      <c r="S178" s="799"/>
      <c r="T178" s="802"/>
    </row>
    <row r="179" spans="2:20" ht="21" x14ac:dyDescent="0.25">
      <c r="B179" s="2678"/>
      <c r="C179" s="3524" t="s">
        <v>2214</v>
      </c>
      <c r="D179" s="3530"/>
      <c r="E179" s="3520" t="s">
        <v>2288</v>
      </c>
      <c r="F179" s="3522"/>
      <c r="G179" s="3521"/>
      <c r="H179" s="3520" t="s">
        <v>2289</v>
      </c>
      <c r="I179" s="3522"/>
      <c r="J179" s="3522"/>
      <c r="K179" s="3521"/>
      <c r="L179" s="2695" t="s">
        <v>2276</v>
      </c>
      <c r="M179" s="2679"/>
      <c r="N179" s="2680"/>
      <c r="O179" s="2680"/>
      <c r="P179" s="2680"/>
      <c r="Q179" s="2680"/>
      <c r="R179" s="799"/>
      <c r="S179" s="799"/>
      <c r="T179" s="802"/>
    </row>
    <row r="180" spans="2:20" ht="21" x14ac:dyDescent="0.25">
      <c r="B180" s="2678"/>
      <c r="C180" s="3533" t="s">
        <v>2217</v>
      </c>
      <c r="D180" s="3534"/>
      <c r="E180" s="3520" t="s">
        <v>2290</v>
      </c>
      <c r="F180" s="3522"/>
      <c r="G180" s="3522"/>
      <c r="H180" s="3522"/>
      <c r="I180" s="3522"/>
      <c r="J180" s="3522"/>
      <c r="K180" s="3521"/>
      <c r="L180" s="2679"/>
      <c r="M180" s="2679"/>
      <c r="N180" s="2680"/>
      <c r="O180" s="2680"/>
      <c r="P180" s="2680"/>
      <c r="Q180" s="2680"/>
      <c r="R180" s="799"/>
      <c r="S180" s="799"/>
      <c r="T180" s="802"/>
    </row>
    <row r="181" spans="2:20" ht="21" x14ac:dyDescent="0.25">
      <c r="B181" s="2678"/>
      <c r="C181" s="2664"/>
      <c r="D181" s="2664"/>
      <c r="E181" s="2665"/>
      <c r="F181" s="2665"/>
      <c r="G181" s="2665"/>
      <c r="H181" s="2665"/>
      <c r="I181" s="2665"/>
      <c r="J181" s="2665"/>
      <c r="K181" s="2665"/>
      <c r="L181" s="2679"/>
      <c r="M181" s="2679"/>
      <c r="N181" s="2680"/>
      <c r="O181" s="2680"/>
      <c r="P181" s="2680"/>
      <c r="Q181" s="2680"/>
      <c r="R181" s="799"/>
      <c r="S181" s="799"/>
      <c r="T181" s="802"/>
    </row>
    <row r="182" spans="2:20" ht="21" x14ac:dyDescent="0.25">
      <c r="B182" s="2678"/>
      <c r="C182" s="2667" t="s">
        <v>2245</v>
      </c>
      <c r="D182" s="2665"/>
      <c r="E182" s="2665"/>
      <c r="F182" s="2665"/>
      <c r="G182" s="2665"/>
      <c r="H182" s="2665"/>
      <c r="I182" s="2665"/>
      <c r="J182" s="2665"/>
      <c r="K182" s="2665"/>
      <c r="L182" s="2679"/>
      <c r="M182" s="2679"/>
      <c r="N182" s="2680"/>
      <c r="O182" s="2680"/>
      <c r="P182" s="2680"/>
      <c r="Q182" s="2680"/>
      <c r="R182" s="799"/>
      <c r="S182" s="799"/>
      <c r="T182" s="802"/>
    </row>
    <row r="183" spans="2:20" ht="21" x14ac:dyDescent="0.35">
      <c r="B183" s="2693"/>
      <c r="C183" s="975" t="s">
        <v>2219</v>
      </c>
      <c r="D183" s="2666"/>
      <c r="E183" s="2665"/>
      <c r="F183" s="2665"/>
      <c r="G183" s="2665"/>
      <c r="H183" s="2665"/>
      <c r="I183" s="2665"/>
      <c r="J183" s="2665"/>
      <c r="K183" s="2665"/>
      <c r="L183" s="2679"/>
      <c r="M183" s="2679"/>
      <c r="N183" s="2680"/>
      <c r="O183" s="2680"/>
      <c r="P183" s="2680"/>
      <c r="Q183" s="2680"/>
      <c r="R183" s="799"/>
      <c r="S183" s="799"/>
      <c r="T183" s="802"/>
    </row>
    <row r="184" spans="2:20" ht="21" x14ac:dyDescent="0.25">
      <c r="B184" s="2678"/>
      <c r="C184" s="2700" t="s">
        <v>2279</v>
      </c>
      <c r="D184" s="2664"/>
      <c r="E184" s="2665"/>
      <c r="F184" s="2665"/>
      <c r="G184" s="2665"/>
      <c r="H184" s="2665"/>
      <c r="I184" s="2665"/>
      <c r="J184" s="2665"/>
      <c r="K184" s="2665"/>
      <c r="L184" s="2679"/>
      <c r="M184" s="2679"/>
      <c r="N184" s="2680"/>
      <c r="O184" s="2680"/>
      <c r="P184" s="2680"/>
      <c r="Q184" s="2680"/>
      <c r="R184" s="799"/>
      <c r="S184" s="799"/>
      <c r="T184" s="802"/>
    </row>
    <row r="185" spans="2:20" ht="30.75" customHeight="1" x14ac:dyDescent="0.25">
      <c r="B185" s="2678"/>
      <c r="C185" s="2667" t="s">
        <v>2248</v>
      </c>
      <c r="D185" s="2665"/>
      <c r="E185" s="2665"/>
      <c r="F185" s="2665"/>
      <c r="G185" s="2665"/>
      <c r="H185" s="2665"/>
      <c r="I185" s="2665"/>
      <c r="J185" s="2665"/>
      <c r="K185" s="2665"/>
      <c r="L185" s="2679"/>
      <c r="M185" s="2679"/>
      <c r="N185" s="2680"/>
      <c r="O185" s="2680"/>
      <c r="P185" s="2680"/>
      <c r="Q185" s="2680"/>
      <c r="R185" s="799"/>
      <c r="S185" s="799"/>
      <c r="T185" s="802"/>
    </row>
    <row r="186" spans="2:20" ht="21" x14ac:dyDescent="0.25">
      <c r="B186" s="2678"/>
      <c r="C186" s="975" t="s">
        <v>2291</v>
      </c>
      <c r="D186" s="2666"/>
      <c r="E186" s="2665"/>
      <c r="F186" s="2665"/>
      <c r="G186" s="2665"/>
      <c r="H186" s="2665"/>
      <c r="I186" s="2665"/>
      <c r="J186" s="2665"/>
      <c r="K186" s="2665"/>
      <c r="L186" s="2679"/>
      <c r="M186" s="2679"/>
      <c r="N186" s="2680"/>
      <c r="O186" s="2680"/>
      <c r="P186" s="2680"/>
      <c r="Q186" s="2680"/>
      <c r="R186" s="799"/>
      <c r="S186" s="799"/>
      <c r="T186" s="802"/>
    </row>
    <row r="187" spans="2:20" ht="21" x14ac:dyDescent="0.25">
      <c r="B187" s="2678"/>
      <c r="C187" s="2664"/>
      <c r="D187" s="2664"/>
      <c r="E187" s="2665"/>
      <c r="F187" s="2665"/>
      <c r="G187" s="2665"/>
      <c r="H187" s="2665"/>
      <c r="I187" s="2665"/>
      <c r="J187" s="2665"/>
      <c r="K187" s="2665"/>
      <c r="L187" s="2679"/>
      <c r="M187" s="2679"/>
      <c r="N187" s="2680"/>
      <c r="O187" s="2680"/>
      <c r="P187" s="2680"/>
      <c r="Q187" s="2680"/>
      <c r="R187" s="799"/>
      <c r="S187" s="799"/>
      <c r="T187" s="802"/>
    </row>
    <row r="188" spans="2:20" ht="15.75" x14ac:dyDescent="0.25">
      <c r="B188" s="2688"/>
      <c r="C188" s="2684"/>
      <c r="D188" s="2684"/>
      <c r="E188" s="2684"/>
      <c r="F188" s="2684"/>
      <c r="G188" s="2685"/>
      <c r="H188" s="2686"/>
      <c r="I188" s="2686"/>
      <c r="J188" s="2686"/>
      <c r="K188" s="2686"/>
      <c r="L188" s="2686"/>
      <c r="M188" s="2686"/>
      <c r="N188" s="2686"/>
      <c r="O188" s="2686"/>
      <c r="P188" s="2686"/>
      <c r="Q188" s="2686"/>
      <c r="R188" s="2686"/>
      <c r="S188" s="2686"/>
      <c r="T188" s="2689"/>
    </row>
    <row r="189" spans="2:20" ht="18.75" x14ac:dyDescent="0.25">
      <c r="B189" s="795"/>
      <c r="C189" s="796" t="s">
        <v>129</v>
      </c>
      <c r="D189" s="796"/>
      <c r="E189" s="796"/>
      <c r="F189" s="797"/>
      <c r="G189" s="798"/>
      <c r="H189" s="799"/>
      <c r="I189" s="799"/>
      <c r="J189" s="799"/>
      <c r="K189" s="799"/>
      <c r="L189" s="799"/>
      <c r="M189" s="799"/>
      <c r="N189" s="799"/>
      <c r="O189" s="800"/>
      <c r="P189" s="800"/>
      <c r="Q189" s="800"/>
      <c r="R189" s="801"/>
      <c r="S189" s="799"/>
      <c r="T189" s="802"/>
    </row>
    <row r="190" spans="2:20" ht="12" customHeight="1" x14ac:dyDescent="0.25">
      <c r="B190" s="803"/>
      <c r="C190" s="804"/>
      <c r="D190" s="804"/>
      <c r="E190" s="804"/>
      <c r="F190" s="804"/>
      <c r="G190" s="804"/>
      <c r="H190" s="799"/>
      <c r="I190" s="799"/>
      <c r="J190" s="799"/>
      <c r="K190" s="799"/>
      <c r="L190" s="799"/>
      <c r="M190" s="799"/>
      <c r="N190" s="799"/>
      <c r="O190" s="799"/>
      <c r="P190" s="799"/>
      <c r="Q190" s="799"/>
      <c r="R190" s="799"/>
      <c r="S190" s="799"/>
      <c r="T190" s="802"/>
    </row>
    <row r="191" spans="2:20" ht="19.5" customHeight="1" x14ac:dyDescent="0.25">
      <c r="B191" s="805"/>
      <c r="C191" s="2805" t="s">
        <v>2292</v>
      </c>
      <c r="D191" s="2805"/>
      <c r="E191" s="2805"/>
      <c r="F191" s="2805"/>
      <c r="G191" s="2805"/>
      <c r="H191" s="2805"/>
      <c r="I191" s="2805"/>
      <c r="J191" s="2805"/>
      <c r="K191" s="2805"/>
      <c r="L191" s="2805"/>
      <c r="M191" s="2805"/>
      <c r="N191" s="2805"/>
      <c r="O191" s="2805"/>
      <c r="P191" s="2805"/>
      <c r="Q191" s="2805"/>
      <c r="R191" s="2805"/>
      <c r="S191" s="2805"/>
      <c r="T191" s="3529"/>
    </row>
    <row r="192" spans="2:20" ht="19.5" customHeight="1" x14ac:dyDescent="0.25">
      <c r="B192" s="805"/>
      <c r="C192" s="949" t="s">
        <v>2293</v>
      </c>
      <c r="D192" s="817"/>
      <c r="E192" s="817"/>
      <c r="F192" s="817"/>
      <c r="G192" s="817"/>
      <c r="H192" s="817"/>
      <c r="I192" s="817"/>
      <c r="J192" s="817"/>
      <c r="K192" s="817"/>
      <c r="L192" s="817"/>
      <c r="M192" s="817"/>
      <c r="N192" s="817"/>
      <c r="O192" s="817"/>
      <c r="P192" s="817"/>
      <c r="Q192" s="817"/>
      <c r="R192" s="817"/>
      <c r="S192" s="823"/>
      <c r="T192" s="2663"/>
    </row>
    <row r="193" spans="2:20" ht="24" customHeight="1" x14ac:dyDescent="0.25">
      <c r="B193" s="2697"/>
      <c r="C193" s="949" t="s">
        <v>2332</v>
      </c>
      <c r="D193" s="2625"/>
      <c r="E193" s="2625"/>
      <c r="F193" s="2626"/>
      <c r="G193" s="2626"/>
      <c r="H193" s="2626"/>
      <c r="I193" s="2626"/>
      <c r="J193" s="2626"/>
      <c r="K193" s="2626"/>
      <c r="L193" s="2626"/>
      <c r="M193" s="2626"/>
      <c r="N193" s="2626"/>
      <c r="O193" s="2626"/>
      <c r="P193" s="2626"/>
      <c r="Q193" s="2626"/>
      <c r="R193" s="2626"/>
      <c r="S193" s="806"/>
      <c r="T193" s="807"/>
    </row>
    <row r="194" spans="2:20" ht="19.5" customHeight="1" x14ac:dyDescent="0.25">
      <c r="B194" s="2698"/>
      <c r="C194" s="817" t="s">
        <v>2294</v>
      </c>
      <c r="D194" s="2699"/>
      <c r="E194" s="2699"/>
      <c r="F194" s="2699"/>
      <c r="G194" s="2699"/>
      <c r="H194" s="2699"/>
      <c r="I194" s="2699"/>
      <c r="J194" s="2699"/>
      <c r="K194" s="2699"/>
      <c r="L194" s="2699"/>
      <c r="M194" s="2699"/>
      <c r="N194" s="2699"/>
      <c r="O194" s="2699"/>
      <c r="P194" s="2699"/>
      <c r="Q194" s="2699"/>
      <c r="R194" s="2699"/>
      <c r="S194" s="806"/>
      <c r="T194" s="807"/>
    </row>
    <row r="195" spans="2:20" x14ac:dyDescent="0.25">
      <c r="B195" s="2669"/>
      <c r="C195" s="2670"/>
      <c r="D195" s="2670"/>
      <c r="E195" s="2670"/>
      <c r="F195" s="2670"/>
      <c r="G195" s="2670"/>
      <c r="H195" s="971"/>
      <c r="I195" s="971"/>
      <c r="J195" s="971"/>
      <c r="K195" s="971"/>
      <c r="L195" s="971"/>
      <c r="M195" s="971"/>
      <c r="N195" s="971"/>
      <c r="O195" s="971"/>
      <c r="P195" s="971"/>
      <c r="Q195" s="971"/>
      <c r="R195" s="971"/>
      <c r="S195" s="971"/>
      <c r="T195" s="2671"/>
    </row>
    <row r="196" spans="2:20" ht="15.75" x14ac:dyDescent="0.25">
      <c r="B196" s="2688"/>
      <c r="C196" s="2684"/>
      <c r="D196" s="2684"/>
      <c r="E196" s="2684"/>
      <c r="F196" s="2684"/>
      <c r="G196" s="2685"/>
      <c r="H196" s="2686"/>
      <c r="I196" s="2686"/>
      <c r="J196" s="2686"/>
      <c r="K196" s="2686"/>
      <c r="L196" s="2686"/>
      <c r="M196" s="2686"/>
      <c r="N196" s="2686"/>
      <c r="O196" s="2686"/>
      <c r="P196" s="2686"/>
      <c r="Q196" s="2686"/>
      <c r="R196" s="2686"/>
      <c r="S196" s="2686"/>
      <c r="T196" s="2689"/>
    </row>
    <row r="197" spans="2:20" ht="18.75" x14ac:dyDescent="0.25">
      <c r="B197" s="795"/>
      <c r="C197" s="796" t="s">
        <v>2331</v>
      </c>
      <c r="D197" s="796"/>
      <c r="E197" s="796"/>
      <c r="F197" s="797"/>
      <c r="G197" s="798"/>
      <c r="H197" s="799"/>
      <c r="I197" s="799"/>
      <c r="J197" s="799"/>
      <c r="K197" s="799"/>
      <c r="L197" s="799"/>
      <c r="M197" s="799"/>
      <c r="N197" s="799"/>
      <c r="O197" s="800"/>
      <c r="P197" s="800"/>
      <c r="Q197" s="800"/>
      <c r="R197" s="801"/>
      <c r="S197" s="799"/>
      <c r="T197" s="802"/>
    </row>
    <row r="198" spans="2:20" ht="12" customHeight="1" x14ac:dyDescent="0.25">
      <c r="B198" s="803"/>
      <c r="C198" s="804"/>
      <c r="D198" s="804"/>
      <c r="E198" s="804"/>
      <c r="F198" s="804"/>
      <c r="G198" s="804"/>
      <c r="H198" s="799"/>
      <c r="I198" s="799"/>
      <c r="J198" s="799"/>
      <c r="K198" s="799"/>
      <c r="L198" s="799"/>
      <c r="M198" s="799"/>
      <c r="N198" s="799"/>
      <c r="O198" s="799"/>
      <c r="P198" s="799"/>
      <c r="Q198" s="799"/>
      <c r="R198" s="799"/>
      <c r="S198" s="799"/>
      <c r="T198" s="802"/>
    </row>
    <row r="199" spans="2:20" ht="18.75" customHeight="1" x14ac:dyDescent="0.25">
      <c r="B199" s="805"/>
      <c r="C199" s="3559" t="s">
        <v>2295</v>
      </c>
      <c r="D199" s="3559"/>
      <c r="E199" s="3559"/>
      <c r="F199" s="3559"/>
      <c r="G199" s="3559"/>
      <c r="H199" s="3559"/>
      <c r="I199" s="3559"/>
      <c r="J199" s="3559"/>
      <c r="K199" s="3559"/>
      <c r="L199" s="3559"/>
      <c r="M199" s="3559"/>
      <c r="N199" s="3559"/>
      <c r="O199" s="3559"/>
      <c r="P199" s="3559"/>
      <c r="Q199" s="3559"/>
      <c r="R199" s="3559"/>
      <c r="S199" s="806"/>
      <c r="T199" s="807"/>
    </row>
    <row r="200" spans="2:20" ht="18.75" customHeight="1" x14ac:dyDescent="0.25">
      <c r="B200" s="805"/>
      <c r="C200" s="817" t="s">
        <v>2296</v>
      </c>
      <c r="D200" s="2625"/>
      <c r="E200" s="2625"/>
      <c r="F200" s="2626"/>
      <c r="G200" s="2626"/>
      <c r="H200" s="2626"/>
      <c r="I200" s="2626"/>
      <c r="J200" s="2626"/>
      <c r="K200" s="2626"/>
      <c r="L200" s="2626"/>
      <c r="M200" s="2626"/>
      <c r="N200" s="2626"/>
      <c r="O200" s="2626"/>
      <c r="P200" s="2626"/>
      <c r="Q200" s="2626"/>
      <c r="R200" s="2626"/>
      <c r="S200" s="806"/>
      <c r="T200" s="807"/>
    </row>
    <row r="201" spans="2:20" ht="22.5" customHeight="1" x14ac:dyDescent="0.25">
      <c r="B201" s="805"/>
      <c r="C201" s="3559" t="s">
        <v>2297</v>
      </c>
      <c r="D201" s="3559"/>
      <c r="E201" s="3559"/>
      <c r="F201" s="3559"/>
      <c r="G201" s="3559"/>
      <c r="H201" s="3559"/>
      <c r="I201" s="3559"/>
      <c r="J201" s="3559"/>
      <c r="K201" s="3559"/>
      <c r="L201" s="3559"/>
      <c r="M201" s="3559"/>
      <c r="N201" s="3559"/>
      <c r="O201" s="3559"/>
      <c r="P201" s="3559"/>
      <c r="Q201" s="3559"/>
      <c r="R201" s="3559"/>
      <c r="S201" s="806"/>
      <c r="T201" s="807"/>
    </row>
    <row r="202" spans="2:20" ht="18.75" customHeight="1" x14ac:dyDescent="0.25">
      <c r="B202" s="805"/>
      <c r="C202" s="3557" t="s">
        <v>2298</v>
      </c>
      <c r="D202" s="3557"/>
      <c r="E202" s="3557"/>
      <c r="F202" s="3557"/>
      <c r="G202" s="3557"/>
      <c r="H202" s="3557"/>
      <c r="I202" s="3557"/>
      <c r="J202" s="3557"/>
      <c r="K202" s="3557"/>
      <c r="L202" s="3557"/>
      <c r="M202" s="3557"/>
      <c r="N202" s="3557"/>
      <c r="O202" s="3557"/>
      <c r="P202" s="3557"/>
      <c r="Q202" s="3557"/>
      <c r="R202" s="3557"/>
      <c r="S202" s="3557"/>
      <c r="T202" s="3558"/>
    </row>
    <row r="203" spans="2:20" ht="21.75" customHeight="1" x14ac:dyDescent="0.25">
      <c r="B203" s="805"/>
      <c r="C203" s="949" t="s">
        <v>2299</v>
      </c>
      <c r="D203" s="949"/>
      <c r="E203" s="949"/>
      <c r="F203" s="949"/>
      <c r="G203" s="949"/>
      <c r="H203" s="949"/>
      <c r="I203" s="949"/>
      <c r="J203" s="949"/>
      <c r="K203" s="949"/>
      <c r="L203" s="949"/>
      <c r="M203" s="949"/>
      <c r="N203" s="949"/>
      <c r="O203" s="949"/>
      <c r="P203" s="949"/>
      <c r="Q203" s="949"/>
      <c r="R203" s="949"/>
      <c r="S203" s="949"/>
      <c r="T203" s="2660"/>
    </row>
    <row r="204" spans="2:20" ht="15" customHeight="1" x14ac:dyDescent="0.25">
      <c r="B204" s="805"/>
      <c r="C204" s="2704" t="s">
        <v>2300</v>
      </c>
      <c r="D204" s="949"/>
      <c r="E204" s="949"/>
      <c r="F204" s="949"/>
      <c r="G204" s="949"/>
      <c r="H204" s="949"/>
      <c r="I204" s="949"/>
      <c r="J204" s="949"/>
      <c r="K204" s="949"/>
      <c r="L204" s="949"/>
      <c r="M204" s="949"/>
      <c r="N204" s="949"/>
      <c r="O204" s="949"/>
      <c r="P204" s="949"/>
      <c r="Q204" s="949"/>
      <c r="R204" s="949"/>
      <c r="S204" s="949"/>
      <c r="T204" s="2660"/>
    </row>
    <row r="205" spans="2:20" ht="18.75" customHeight="1" x14ac:dyDescent="0.25">
      <c r="B205" s="803"/>
      <c r="C205" s="3549" t="s">
        <v>2335</v>
      </c>
      <c r="D205" s="3549"/>
      <c r="E205" s="3549"/>
      <c r="F205" s="3549"/>
      <c r="G205" s="3549"/>
      <c r="H205" s="3549"/>
      <c r="I205" s="3549"/>
      <c r="J205" s="3549"/>
      <c r="K205" s="3549"/>
      <c r="L205" s="3549"/>
      <c r="M205" s="3549"/>
      <c r="N205" s="3549"/>
      <c r="O205" s="3549"/>
      <c r="P205" s="3549"/>
      <c r="Q205" s="3549"/>
      <c r="R205" s="3549"/>
      <c r="S205" s="3549"/>
      <c r="T205" s="3550"/>
    </row>
    <row r="206" spans="2:20" ht="21.75" customHeight="1" x14ac:dyDescent="0.25">
      <c r="B206" s="803"/>
      <c r="C206" s="975" t="s">
        <v>2301</v>
      </c>
      <c r="D206" s="2694"/>
      <c r="E206" s="2694"/>
      <c r="F206" s="2694"/>
      <c r="G206" s="2694"/>
      <c r="H206" s="2694"/>
      <c r="I206" s="2694"/>
      <c r="J206" s="2694"/>
      <c r="K206" s="2694"/>
      <c r="L206" s="2694"/>
      <c r="M206" s="2694"/>
      <c r="N206" s="2694"/>
      <c r="O206" s="2694"/>
      <c r="P206" s="2694"/>
      <c r="Q206" s="2694"/>
      <c r="R206" s="2694"/>
      <c r="S206" s="2694"/>
      <c r="T206" s="2661"/>
    </row>
    <row r="207" spans="2:20" ht="18.75" customHeight="1" x14ac:dyDescent="0.25">
      <c r="B207" s="803"/>
      <c r="C207" s="2710" t="s">
        <v>2302</v>
      </c>
      <c r="D207" s="2694"/>
      <c r="E207" s="2694"/>
      <c r="F207" s="2694"/>
      <c r="G207" s="2694"/>
      <c r="H207" s="2694"/>
      <c r="I207" s="2694"/>
      <c r="J207" s="2694"/>
      <c r="K207" s="2694"/>
      <c r="L207" s="2694"/>
      <c r="M207" s="2694"/>
      <c r="N207" s="2694"/>
      <c r="O207" s="2694"/>
      <c r="P207" s="2694"/>
      <c r="Q207" s="2694"/>
      <c r="R207" s="2694"/>
      <c r="S207" s="2694"/>
      <c r="T207" s="2661"/>
    </row>
    <row r="208" spans="2:20" x14ac:dyDescent="0.25">
      <c r="B208" s="2669"/>
      <c r="C208" s="2670"/>
      <c r="D208" s="2670"/>
      <c r="E208" s="2670"/>
      <c r="F208" s="2670"/>
      <c r="G208" s="2670"/>
      <c r="H208" s="971"/>
      <c r="I208" s="971"/>
      <c r="J208" s="971"/>
      <c r="K208" s="971"/>
      <c r="L208" s="971"/>
      <c r="M208" s="971"/>
      <c r="N208" s="971"/>
      <c r="O208" s="971"/>
      <c r="P208" s="971"/>
      <c r="Q208" s="971"/>
      <c r="R208" s="971"/>
      <c r="S208" s="971"/>
      <c r="T208" s="2671"/>
    </row>
    <row r="209" spans="2:20" x14ac:dyDescent="0.25">
      <c r="B209" s="803"/>
      <c r="C209" s="804"/>
      <c r="D209" s="804"/>
      <c r="E209" s="804"/>
      <c r="F209" s="804"/>
      <c r="G209" s="804"/>
      <c r="H209" s="799"/>
      <c r="I209" s="799"/>
      <c r="J209" s="799"/>
      <c r="K209" s="799"/>
      <c r="L209" s="799"/>
      <c r="M209" s="799"/>
      <c r="N209" s="799"/>
      <c r="O209" s="799"/>
      <c r="P209" s="799"/>
      <c r="Q209" s="799"/>
      <c r="R209" s="799"/>
      <c r="S209" s="799"/>
      <c r="T209" s="802"/>
    </row>
    <row r="210" spans="2:20" ht="16.5" customHeight="1" x14ac:dyDescent="0.25">
      <c r="B210" s="803"/>
      <c r="C210" s="2662" t="s">
        <v>2266</v>
      </c>
      <c r="D210" s="804"/>
      <c r="E210" s="804"/>
      <c r="F210" s="804"/>
      <c r="G210" s="804"/>
      <c r="H210" s="799"/>
      <c r="I210" s="799"/>
      <c r="J210" s="799"/>
      <c r="K210" s="799"/>
      <c r="L210" s="799"/>
      <c r="M210" s="799"/>
      <c r="N210" s="799"/>
      <c r="O210" s="799"/>
      <c r="P210" s="799"/>
      <c r="Q210" s="799"/>
      <c r="R210" s="799"/>
      <c r="S210" s="799"/>
      <c r="T210" s="802"/>
    </row>
    <row r="211" spans="2:20" ht="21.75" customHeight="1" x14ac:dyDescent="0.25">
      <c r="B211" s="803"/>
      <c r="C211" s="804" t="s">
        <v>2303</v>
      </c>
      <c r="D211" s="804"/>
      <c r="E211" s="804"/>
      <c r="F211" s="804"/>
      <c r="G211" s="804"/>
      <c r="H211" s="799"/>
      <c r="I211" s="799"/>
      <c r="J211" s="799"/>
      <c r="K211" s="799"/>
      <c r="L211" s="799"/>
      <c r="M211" s="799"/>
      <c r="N211" s="799"/>
      <c r="O211" s="799"/>
      <c r="P211" s="799"/>
      <c r="Q211" s="799"/>
      <c r="R211" s="799"/>
      <c r="S211" s="799"/>
      <c r="T211" s="802"/>
    </row>
    <row r="212" spans="2:20" x14ac:dyDescent="0.25">
      <c r="B212" s="803"/>
      <c r="C212" s="804" t="s">
        <v>2304</v>
      </c>
      <c r="D212" s="804"/>
      <c r="E212" s="804"/>
      <c r="F212" s="804"/>
      <c r="G212" s="804"/>
      <c r="H212" s="799"/>
      <c r="I212" s="799"/>
      <c r="J212" s="799"/>
      <c r="K212" s="799"/>
      <c r="L212" s="799"/>
      <c r="M212" s="799"/>
      <c r="N212" s="799"/>
      <c r="O212" s="799"/>
      <c r="P212" s="799"/>
      <c r="Q212" s="799"/>
      <c r="R212" s="799"/>
      <c r="S212" s="799"/>
      <c r="T212" s="802"/>
    </row>
    <row r="213" spans="2:20" x14ac:dyDescent="0.25">
      <c r="B213" s="803"/>
      <c r="C213" s="804"/>
      <c r="D213" s="804"/>
      <c r="E213" s="804"/>
      <c r="F213" s="804"/>
      <c r="G213" s="804"/>
      <c r="H213" s="799"/>
      <c r="I213" s="799"/>
      <c r="J213" s="799"/>
      <c r="K213" s="799"/>
      <c r="L213" s="799"/>
      <c r="M213" s="799"/>
      <c r="N213" s="799"/>
      <c r="O213" s="799"/>
      <c r="P213" s="799"/>
      <c r="Q213" s="799"/>
      <c r="R213" s="799"/>
      <c r="S213" s="799"/>
      <c r="T213" s="802"/>
    </row>
    <row r="214" spans="2:20" ht="15.75" thickBot="1" x14ac:dyDescent="0.3">
      <c r="B214" s="808"/>
      <c r="C214" s="809"/>
      <c r="D214" s="809"/>
      <c r="E214" s="809"/>
      <c r="F214" s="809"/>
      <c r="G214" s="809"/>
      <c r="H214" s="810"/>
      <c r="I214" s="810"/>
      <c r="J214" s="810"/>
      <c r="K214" s="810"/>
      <c r="L214" s="810"/>
      <c r="M214" s="810"/>
      <c r="N214" s="810"/>
      <c r="O214" s="810"/>
      <c r="P214" s="810"/>
      <c r="Q214" s="810"/>
      <c r="R214" s="810"/>
      <c r="S214" s="810"/>
      <c r="T214" s="811"/>
    </row>
    <row r="215" spans="2:20" ht="27" customHeight="1" x14ac:dyDescent="0.25">
      <c r="B215" s="600"/>
      <c r="C215" s="599"/>
      <c r="D215" s="599"/>
      <c r="E215" s="599"/>
      <c r="R215" s="1216"/>
      <c r="S215" s="1216"/>
      <c r="T215" s="1216"/>
    </row>
    <row r="216" spans="2:20" ht="27.75" customHeight="1" x14ac:dyDescent="0.25">
      <c r="B216" s="954" t="s">
        <v>1713</v>
      </c>
      <c r="C216" s="858"/>
      <c r="D216" s="858"/>
      <c r="E216" s="858"/>
      <c r="F216" s="858"/>
      <c r="G216" s="858"/>
      <c r="H216" s="858"/>
      <c r="I216" s="858"/>
      <c r="J216" s="858"/>
      <c r="K216" s="858"/>
      <c r="L216" s="858"/>
      <c r="M216" s="858"/>
      <c r="N216" s="859"/>
      <c r="O216" s="859"/>
      <c r="P216" s="859"/>
      <c r="Q216" s="859"/>
      <c r="R216" s="787"/>
      <c r="S216" s="787"/>
      <c r="T216" s="787"/>
    </row>
    <row r="217" spans="2:20" ht="21.75" thickBot="1" x14ac:dyDescent="0.3">
      <c r="B217" s="2631"/>
      <c r="C217" s="2632"/>
      <c r="D217" s="2632"/>
      <c r="E217" s="2632"/>
      <c r="F217" s="2632"/>
      <c r="G217" s="2632"/>
      <c r="H217" s="2632"/>
      <c r="I217" s="2632"/>
      <c r="J217" s="2632"/>
      <c r="K217" s="2632"/>
      <c r="L217" s="2632"/>
      <c r="M217" s="2632"/>
      <c r="N217" s="2633"/>
      <c r="O217" s="2633"/>
      <c r="P217" s="2633"/>
      <c r="Q217" s="2633"/>
    </row>
    <row r="218" spans="2:20" ht="12.75" customHeight="1" x14ac:dyDescent="0.25">
      <c r="B218" s="2675"/>
      <c r="C218" s="2676"/>
      <c r="D218" s="2676"/>
      <c r="E218" s="2676"/>
      <c r="F218" s="2676"/>
      <c r="G218" s="2676"/>
      <c r="H218" s="2676"/>
      <c r="I218" s="2676"/>
      <c r="J218" s="2676"/>
      <c r="K218" s="2676"/>
      <c r="L218" s="2676"/>
      <c r="M218" s="2676"/>
      <c r="N218" s="2677"/>
      <c r="O218" s="2677"/>
      <c r="P218" s="2677"/>
      <c r="Q218" s="2677"/>
      <c r="R218" s="2656"/>
      <c r="S218" s="2656"/>
      <c r="T218" s="2657"/>
    </row>
    <row r="219" spans="2:20" ht="12.75" customHeight="1" x14ac:dyDescent="0.25">
      <c r="B219" s="2678"/>
      <c r="C219" s="2707" t="s">
        <v>2208</v>
      </c>
      <c r="D219" s="2679"/>
      <c r="E219" s="2679"/>
      <c r="F219" s="2679"/>
      <c r="G219" s="2679"/>
      <c r="H219" s="2679"/>
      <c r="I219" s="2679"/>
      <c r="J219" s="2679"/>
      <c r="K219" s="2679"/>
      <c r="L219" s="2679"/>
      <c r="M219" s="2679"/>
      <c r="N219" s="2680"/>
      <c r="O219" s="2680"/>
      <c r="P219" s="2680"/>
      <c r="Q219" s="2680"/>
      <c r="R219" s="799"/>
      <c r="S219" s="799"/>
      <c r="T219" s="802"/>
    </row>
    <row r="220" spans="2:20" ht="12.75" customHeight="1" x14ac:dyDescent="0.25">
      <c r="B220" s="2678"/>
      <c r="C220" s="2679"/>
      <c r="D220" s="2679"/>
      <c r="E220" s="2679"/>
      <c r="F220" s="2679"/>
      <c r="G220" s="2679"/>
      <c r="H220" s="2679"/>
      <c r="I220" s="2679"/>
      <c r="J220" s="2679"/>
      <c r="K220" s="2679"/>
      <c r="L220" s="2679"/>
      <c r="M220" s="2679"/>
      <c r="N220" s="2680"/>
      <c r="O220" s="2680"/>
      <c r="P220" s="2680"/>
      <c r="Q220" s="2680"/>
      <c r="R220" s="799"/>
      <c r="S220" s="799"/>
      <c r="T220" s="802"/>
    </row>
    <row r="221" spans="2:20" ht="33.75" customHeight="1" x14ac:dyDescent="0.25">
      <c r="B221" s="2678"/>
      <c r="C221" s="3524" t="s">
        <v>2209</v>
      </c>
      <c r="D221" s="3530"/>
      <c r="E221" s="3518" t="s">
        <v>2237</v>
      </c>
      <c r="F221" s="3523"/>
      <c r="G221" s="3519"/>
      <c r="H221" s="3518" t="s">
        <v>2238</v>
      </c>
      <c r="I221" s="3519"/>
      <c r="J221" s="3518" t="s">
        <v>2239</v>
      </c>
      <c r="K221" s="3519"/>
      <c r="L221" s="2680"/>
      <c r="M221" s="2679"/>
      <c r="N221" s="2680"/>
      <c r="O221" s="2680"/>
      <c r="P221" s="2680"/>
      <c r="Q221" s="2680"/>
      <c r="R221" s="799"/>
      <c r="S221" s="799"/>
      <c r="T221" s="802"/>
    </row>
    <row r="222" spans="2:20" ht="21" x14ac:dyDescent="0.25">
      <c r="B222" s="2678"/>
      <c r="C222" s="3524" t="s">
        <v>2214</v>
      </c>
      <c r="D222" s="3530"/>
      <c r="E222" s="3526" t="s">
        <v>2305</v>
      </c>
      <c r="F222" s="3527"/>
      <c r="G222" s="3527"/>
      <c r="H222" s="3527"/>
      <c r="I222" s="3527"/>
      <c r="J222" s="3527"/>
      <c r="K222" s="3528"/>
      <c r="L222" s="2695" t="s">
        <v>2276</v>
      </c>
      <c r="M222" s="2679"/>
      <c r="N222" s="2680"/>
      <c r="O222" s="2680"/>
      <c r="P222" s="2680"/>
      <c r="Q222" s="2680"/>
      <c r="R222" s="799"/>
      <c r="S222" s="799"/>
      <c r="T222" s="802"/>
    </row>
    <row r="223" spans="2:20" ht="21" x14ac:dyDescent="0.25">
      <c r="B223" s="2678"/>
      <c r="C223" s="3524" t="s">
        <v>2217</v>
      </c>
      <c r="D223" s="3525"/>
      <c r="E223" s="3526" t="s">
        <v>2306</v>
      </c>
      <c r="F223" s="3527"/>
      <c r="G223" s="3527"/>
      <c r="H223" s="3527"/>
      <c r="I223" s="3527"/>
      <c r="J223" s="3527"/>
      <c r="K223" s="3528"/>
      <c r="L223" s="2679"/>
      <c r="M223" s="2679"/>
      <c r="N223" s="2680"/>
      <c r="O223" s="2680"/>
      <c r="P223" s="2680"/>
      <c r="Q223" s="2680"/>
      <c r="R223" s="799"/>
      <c r="S223" s="799"/>
      <c r="T223" s="802"/>
    </row>
    <row r="224" spans="2:20" ht="21" x14ac:dyDescent="0.25">
      <c r="B224" s="2678"/>
      <c r="C224" s="2664"/>
      <c r="D224" s="2664"/>
      <c r="E224" s="2665"/>
      <c r="F224" s="2665"/>
      <c r="G224" s="2665"/>
      <c r="H224" s="2665"/>
      <c r="I224" s="2665"/>
      <c r="J224" s="2665"/>
      <c r="K224" s="2665"/>
      <c r="L224" s="2679"/>
      <c r="M224" s="2679"/>
      <c r="N224" s="2680"/>
      <c r="O224" s="2680"/>
      <c r="P224" s="2680"/>
      <c r="Q224" s="2680"/>
      <c r="R224" s="799"/>
      <c r="S224" s="799"/>
      <c r="T224" s="802"/>
    </row>
    <row r="225" spans="2:20" ht="24" customHeight="1" x14ac:dyDescent="0.25">
      <c r="B225" s="2678"/>
      <c r="C225" s="2667" t="s">
        <v>2245</v>
      </c>
      <c r="D225" s="2665"/>
      <c r="E225" s="2665"/>
      <c r="F225" s="2665"/>
      <c r="G225" s="2665"/>
      <c r="H225" s="2665"/>
      <c r="I225" s="2665"/>
      <c r="J225" s="2665"/>
      <c r="K225" s="2665"/>
      <c r="L225" s="2679"/>
      <c r="M225" s="2679"/>
      <c r="N225" s="2680"/>
      <c r="O225" s="2680"/>
      <c r="P225" s="2680"/>
      <c r="Q225" s="2680"/>
      <c r="R225" s="799"/>
      <c r="S225" s="799"/>
      <c r="T225" s="802"/>
    </row>
    <row r="226" spans="2:20" ht="21" x14ac:dyDescent="0.25">
      <c r="B226" s="2681"/>
      <c r="C226" s="975" t="s">
        <v>2219</v>
      </c>
      <c r="D226" s="2667"/>
      <c r="E226" s="2665"/>
      <c r="F226" s="2665"/>
      <c r="G226" s="2665"/>
      <c r="H226" s="2665"/>
      <c r="I226" s="2665"/>
      <c r="J226" s="2665"/>
      <c r="K226" s="2665"/>
      <c r="L226" s="2679"/>
      <c r="M226" s="2679"/>
      <c r="N226" s="2680"/>
      <c r="O226" s="2680"/>
      <c r="P226" s="2680"/>
      <c r="Q226" s="2680"/>
      <c r="R226" s="799"/>
      <c r="S226" s="799"/>
      <c r="T226" s="802"/>
    </row>
    <row r="227" spans="2:20" ht="21" x14ac:dyDescent="0.25">
      <c r="B227" s="2678"/>
      <c r="C227" s="975" t="s">
        <v>2279</v>
      </c>
      <c r="D227" s="2667"/>
      <c r="E227" s="2665"/>
      <c r="F227" s="2665"/>
      <c r="G227" s="2665"/>
      <c r="H227" s="2665"/>
      <c r="I227" s="2665"/>
      <c r="J227" s="2665"/>
      <c r="K227" s="2665"/>
      <c r="L227" s="2679"/>
      <c r="M227" s="2679"/>
      <c r="N227" s="2680"/>
      <c r="O227" s="2680"/>
      <c r="P227" s="2680"/>
      <c r="Q227" s="2680"/>
      <c r="R227" s="799"/>
      <c r="S227" s="799"/>
      <c r="T227" s="802"/>
    </row>
    <row r="228" spans="2:20" ht="24" customHeight="1" x14ac:dyDescent="0.25">
      <c r="B228" s="2678"/>
      <c r="C228" s="2667" t="s">
        <v>2322</v>
      </c>
      <c r="D228" s="2679"/>
      <c r="E228" s="2679"/>
      <c r="F228" s="2679"/>
      <c r="G228" s="2679"/>
      <c r="H228" s="2679"/>
      <c r="I228" s="2679"/>
      <c r="J228" s="2679"/>
      <c r="K228" s="2679"/>
      <c r="L228" s="2679"/>
      <c r="M228" s="2679"/>
      <c r="N228" s="2680"/>
      <c r="O228" s="2680"/>
      <c r="P228" s="2680"/>
      <c r="Q228" s="2680"/>
      <c r="R228" s="799"/>
      <c r="S228" s="799"/>
      <c r="T228" s="802"/>
    </row>
    <row r="229" spans="2:20" ht="21" customHeight="1" x14ac:dyDescent="0.25">
      <c r="B229" s="1237"/>
      <c r="C229" s="799" t="s">
        <v>2307</v>
      </c>
      <c r="D229" s="799"/>
      <c r="E229" s="799"/>
      <c r="F229" s="799"/>
      <c r="G229" s="799"/>
      <c r="H229" s="799"/>
      <c r="I229" s="799"/>
      <c r="J229" s="799"/>
      <c r="K229" s="799"/>
      <c r="L229" s="799"/>
      <c r="M229" s="799"/>
      <c r="N229" s="799"/>
      <c r="O229" s="799"/>
      <c r="P229" s="799"/>
      <c r="Q229" s="799"/>
      <c r="R229" s="799"/>
      <c r="S229" s="799"/>
      <c r="T229" s="802"/>
    </row>
    <row r="230" spans="2:20" ht="21" customHeight="1" x14ac:dyDescent="0.25">
      <c r="B230" s="1237"/>
      <c r="C230" s="799" t="s">
        <v>2308</v>
      </c>
      <c r="D230" s="799"/>
      <c r="E230" s="799"/>
      <c r="F230" s="799"/>
      <c r="G230" s="799"/>
      <c r="H230" s="799"/>
      <c r="I230" s="799"/>
      <c r="J230" s="799"/>
      <c r="K230" s="799"/>
      <c r="L230" s="799"/>
      <c r="M230" s="799"/>
      <c r="N230" s="799"/>
      <c r="O230" s="799"/>
      <c r="P230" s="799"/>
      <c r="Q230" s="799"/>
      <c r="R230" s="799"/>
      <c r="S230" s="799"/>
      <c r="T230" s="802"/>
    </row>
    <row r="231" spans="2:20" ht="21" customHeight="1" x14ac:dyDescent="0.25">
      <c r="B231" s="2682"/>
      <c r="C231" s="817" t="s">
        <v>2309</v>
      </c>
      <c r="D231" s="2673"/>
      <c r="E231" s="2673"/>
      <c r="F231" s="2673"/>
      <c r="G231" s="2672"/>
      <c r="H231" s="2674"/>
      <c r="I231" s="2674"/>
      <c r="J231" s="2674"/>
      <c r="K231" s="2674"/>
      <c r="L231" s="2674"/>
      <c r="M231" s="2674"/>
      <c r="N231" s="2674"/>
      <c r="O231" s="2674"/>
      <c r="P231" s="2674"/>
      <c r="Q231" s="2674"/>
      <c r="R231" s="2674"/>
      <c r="S231" s="2674"/>
      <c r="T231" s="2683"/>
    </row>
    <row r="232" spans="2:20" ht="24" customHeight="1" x14ac:dyDescent="0.25">
      <c r="B232" s="803"/>
      <c r="C232" s="2667" t="s">
        <v>2266</v>
      </c>
      <c r="D232" s="804"/>
      <c r="E232" s="804"/>
      <c r="F232" s="804"/>
      <c r="G232" s="804"/>
      <c r="H232" s="799"/>
      <c r="I232" s="799"/>
      <c r="J232" s="799"/>
      <c r="K232" s="799"/>
      <c r="L232" s="799"/>
      <c r="M232" s="799"/>
      <c r="N232" s="799"/>
      <c r="O232" s="799"/>
      <c r="P232" s="799"/>
      <c r="Q232" s="799"/>
      <c r="R232" s="799"/>
      <c r="S232" s="799"/>
      <c r="T232" s="802"/>
    </row>
    <row r="233" spans="2:20" ht="21" customHeight="1" x14ac:dyDescent="0.25">
      <c r="B233" s="805"/>
      <c r="C233" s="949" t="s">
        <v>2310</v>
      </c>
      <c r="D233" s="2625"/>
      <c r="E233" s="2625"/>
      <c r="F233" s="2626"/>
      <c r="G233" s="2626"/>
      <c r="H233" s="2626"/>
      <c r="I233" s="2626"/>
      <c r="J233" s="2626"/>
      <c r="K233" s="2626"/>
      <c r="L233" s="2626"/>
      <c r="M233" s="2626"/>
      <c r="N233" s="2626"/>
      <c r="O233" s="2626"/>
      <c r="P233" s="2626"/>
      <c r="Q233" s="2626"/>
      <c r="R233" s="2626"/>
      <c r="S233" s="806"/>
      <c r="T233" s="807"/>
    </row>
    <row r="234" spans="2:20" ht="15.75" thickBot="1" x14ac:dyDescent="0.3">
      <c r="B234" s="808"/>
      <c r="C234" s="809"/>
      <c r="D234" s="809"/>
      <c r="E234" s="809"/>
      <c r="F234" s="809"/>
      <c r="G234" s="809"/>
      <c r="H234" s="810"/>
      <c r="I234" s="810"/>
      <c r="J234" s="810"/>
      <c r="K234" s="810"/>
      <c r="L234" s="810"/>
      <c r="M234" s="810"/>
      <c r="N234" s="810"/>
      <c r="O234" s="810"/>
      <c r="P234" s="810"/>
      <c r="Q234" s="810"/>
      <c r="R234" s="810"/>
      <c r="S234" s="810"/>
      <c r="T234" s="811"/>
    </row>
    <row r="235" spans="2:20" ht="27" customHeight="1" x14ac:dyDescent="0.25">
      <c r="B235" s="600"/>
      <c r="C235" s="599"/>
      <c r="D235" s="599"/>
      <c r="E235" s="599"/>
      <c r="R235" s="1216"/>
      <c r="S235" s="1216"/>
      <c r="T235" s="1216"/>
    </row>
    <row r="236" spans="2:20" ht="27.75" customHeight="1" x14ac:dyDescent="0.25">
      <c r="B236" s="954" t="s">
        <v>1714</v>
      </c>
      <c r="C236" s="858"/>
      <c r="D236" s="858"/>
      <c r="E236" s="858"/>
      <c r="F236" s="858"/>
      <c r="G236" s="858"/>
      <c r="H236" s="858"/>
      <c r="I236" s="858"/>
      <c r="J236" s="858"/>
      <c r="K236" s="858"/>
      <c r="L236" s="858"/>
      <c r="M236" s="858"/>
      <c r="N236" s="859"/>
      <c r="O236" s="859"/>
      <c r="P236" s="859"/>
      <c r="Q236" s="859"/>
      <c r="R236" s="787"/>
      <c r="S236" s="787"/>
      <c r="T236" s="787"/>
    </row>
    <row r="237" spans="2:20" ht="15.75" thickBot="1" x14ac:dyDescent="0.3"/>
    <row r="238" spans="2:20" ht="12.75" customHeight="1" x14ac:dyDescent="0.25">
      <c r="B238" s="2701"/>
      <c r="C238" s="2656"/>
      <c r="D238" s="2656"/>
      <c r="E238" s="2656"/>
      <c r="F238" s="2656"/>
      <c r="G238" s="2656"/>
      <c r="H238" s="2656"/>
      <c r="I238" s="2656"/>
      <c r="J238" s="2656"/>
      <c r="K238" s="2656"/>
      <c r="L238" s="2656"/>
      <c r="M238" s="2656"/>
      <c r="N238" s="2656"/>
      <c r="O238" s="2656"/>
      <c r="P238" s="2656"/>
      <c r="Q238" s="2656"/>
      <c r="R238" s="2656"/>
      <c r="S238" s="2656"/>
      <c r="T238" s="2657"/>
    </row>
    <row r="239" spans="2:20" ht="12.75" customHeight="1" x14ac:dyDescent="0.25">
      <c r="B239" s="1237"/>
      <c r="C239" s="2707" t="s">
        <v>2208</v>
      </c>
      <c r="D239" s="799"/>
      <c r="E239" s="799"/>
      <c r="F239" s="799"/>
      <c r="G239" s="799"/>
      <c r="H239" s="799"/>
      <c r="I239" s="799"/>
      <c r="J239" s="799"/>
      <c r="K239" s="799"/>
      <c r="L239" s="799"/>
      <c r="M239" s="799"/>
      <c r="N239" s="799"/>
      <c r="O239" s="799"/>
      <c r="P239" s="799"/>
      <c r="Q239" s="799"/>
      <c r="R239" s="799"/>
      <c r="S239" s="799"/>
      <c r="T239" s="802"/>
    </row>
    <row r="240" spans="2:20" ht="12.75" customHeight="1" x14ac:dyDescent="0.25">
      <c r="B240" s="1237"/>
      <c r="C240" s="799"/>
      <c r="D240" s="799"/>
      <c r="E240" s="799"/>
      <c r="F240" s="799"/>
      <c r="G240" s="799"/>
      <c r="H240" s="799"/>
      <c r="I240" s="799"/>
      <c r="J240" s="799"/>
      <c r="K240" s="799"/>
      <c r="L240" s="799"/>
      <c r="M240" s="799"/>
      <c r="N240" s="799"/>
      <c r="O240" s="799"/>
      <c r="P240" s="799"/>
      <c r="Q240" s="799"/>
      <c r="R240" s="799"/>
      <c r="S240" s="799"/>
      <c r="T240" s="802"/>
    </row>
    <row r="241" spans="2:20" ht="33.75" customHeight="1" x14ac:dyDescent="0.25">
      <c r="B241" s="1237"/>
      <c r="C241" s="3524" t="s">
        <v>2209</v>
      </c>
      <c r="D241" s="3530"/>
      <c r="E241" s="3518" t="s">
        <v>2237</v>
      </c>
      <c r="F241" s="3523"/>
      <c r="G241" s="3519"/>
      <c r="H241" s="3518" t="s">
        <v>2238</v>
      </c>
      <c r="I241" s="3519"/>
      <c r="J241" s="3518" t="s">
        <v>2239</v>
      </c>
      <c r="K241" s="3519"/>
      <c r="L241" s="799"/>
      <c r="M241" s="799"/>
      <c r="N241" s="799"/>
      <c r="O241" s="799"/>
      <c r="P241" s="799"/>
      <c r="Q241" s="799"/>
      <c r="R241" s="799"/>
      <c r="S241" s="799"/>
      <c r="T241" s="802"/>
    </row>
    <row r="242" spans="2:20" ht="21" customHeight="1" x14ac:dyDescent="0.25">
      <c r="B242" s="1237"/>
      <c r="C242" s="3524" t="s">
        <v>2214</v>
      </c>
      <c r="D242" s="3530"/>
      <c r="E242" s="3526" t="s">
        <v>2311</v>
      </c>
      <c r="F242" s="3527"/>
      <c r="G242" s="3527"/>
      <c r="H242" s="3527"/>
      <c r="I242" s="3527"/>
      <c r="J242" s="3527"/>
      <c r="K242" s="3528"/>
      <c r="L242" s="2696" t="s">
        <v>2276</v>
      </c>
      <c r="M242" s="799"/>
      <c r="N242" s="799"/>
      <c r="O242" s="799"/>
      <c r="P242" s="799"/>
      <c r="Q242" s="799"/>
      <c r="R242" s="799"/>
      <c r="S242" s="799"/>
      <c r="T242" s="802"/>
    </row>
    <row r="243" spans="2:20" ht="21" customHeight="1" x14ac:dyDescent="0.25">
      <c r="B243" s="1237"/>
      <c r="C243" s="3524" t="s">
        <v>2217</v>
      </c>
      <c r="D243" s="3525"/>
      <c r="E243" s="3526" t="s">
        <v>2312</v>
      </c>
      <c r="F243" s="3527"/>
      <c r="G243" s="3527"/>
      <c r="H243" s="3527"/>
      <c r="I243" s="3527"/>
      <c r="J243" s="3527"/>
      <c r="K243" s="3528"/>
      <c r="L243" s="799"/>
      <c r="M243" s="799"/>
      <c r="N243" s="799"/>
      <c r="O243" s="799"/>
      <c r="P243" s="799"/>
      <c r="Q243" s="799"/>
      <c r="R243" s="799"/>
      <c r="S243" s="799"/>
      <c r="T243" s="802"/>
    </row>
    <row r="244" spans="2:20" ht="21" customHeight="1" x14ac:dyDescent="0.25">
      <c r="B244" s="1237"/>
      <c r="C244" s="799"/>
      <c r="D244" s="799"/>
      <c r="E244" s="799"/>
      <c r="F244" s="799"/>
      <c r="G244" s="799"/>
      <c r="H244" s="799"/>
      <c r="I244" s="799"/>
      <c r="J244" s="799"/>
      <c r="K244" s="799"/>
      <c r="L244" s="799"/>
      <c r="M244" s="799"/>
      <c r="N244" s="799"/>
      <c r="O244" s="799"/>
      <c r="P244" s="799"/>
      <c r="Q244" s="799"/>
      <c r="R244" s="799"/>
      <c r="S244" s="799"/>
      <c r="T244" s="802"/>
    </row>
    <row r="245" spans="2:20" ht="24" customHeight="1" x14ac:dyDescent="0.25">
      <c r="B245" s="1237"/>
      <c r="C245" s="2667" t="s">
        <v>2245</v>
      </c>
      <c r="D245" s="2665"/>
      <c r="E245" s="799"/>
      <c r="F245" s="799"/>
      <c r="G245" s="799"/>
      <c r="H245" s="799"/>
      <c r="I245" s="799"/>
      <c r="J245" s="799"/>
      <c r="K245" s="799"/>
      <c r="L245" s="799"/>
      <c r="M245" s="799"/>
      <c r="N245" s="799"/>
      <c r="O245" s="799"/>
      <c r="P245" s="799"/>
      <c r="Q245" s="799"/>
      <c r="R245" s="799"/>
      <c r="S245" s="799"/>
      <c r="T245" s="802"/>
    </row>
    <row r="246" spans="2:20" ht="21" customHeight="1" x14ac:dyDescent="0.25">
      <c r="B246" s="1237"/>
      <c r="C246" s="799" t="s">
        <v>2219</v>
      </c>
      <c r="D246" s="799"/>
      <c r="E246" s="799"/>
      <c r="F246" s="799"/>
      <c r="G246" s="799"/>
      <c r="H246" s="799"/>
      <c r="I246" s="799"/>
      <c r="J246" s="799"/>
      <c r="K246" s="799"/>
      <c r="L246" s="799"/>
      <c r="M246" s="799"/>
      <c r="N246" s="799"/>
      <c r="O246" s="799"/>
      <c r="P246" s="799"/>
      <c r="Q246" s="799"/>
      <c r="R246" s="799"/>
      <c r="S246" s="799"/>
      <c r="T246" s="802"/>
    </row>
    <row r="247" spans="2:20" ht="21" customHeight="1" x14ac:dyDescent="0.25">
      <c r="B247" s="1237"/>
      <c r="C247" s="799" t="s">
        <v>2279</v>
      </c>
      <c r="D247" s="799"/>
      <c r="E247" s="799"/>
      <c r="F247" s="799"/>
      <c r="G247" s="799"/>
      <c r="H247" s="799"/>
      <c r="I247" s="799"/>
      <c r="J247" s="799"/>
      <c r="K247" s="799"/>
      <c r="L247" s="799"/>
      <c r="M247" s="799"/>
      <c r="N247" s="799"/>
      <c r="O247" s="799"/>
      <c r="P247" s="799"/>
      <c r="Q247" s="799"/>
      <c r="R247" s="799"/>
      <c r="S247" s="799"/>
      <c r="T247" s="802"/>
    </row>
    <row r="248" spans="2:20" ht="24" customHeight="1" x14ac:dyDescent="0.25">
      <c r="B248" s="1237"/>
      <c r="C248" s="2667" t="s">
        <v>2322</v>
      </c>
      <c r="D248" s="2679"/>
      <c r="E248" s="799"/>
      <c r="F248" s="799"/>
      <c r="G248" s="799"/>
      <c r="H248" s="799"/>
      <c r="I248" s="799"/>
      <c r="J248" s="799"/>
      <c r="K248" s="799"/>
      <c r="L248" s="799"/>
      <c r="M248" s="799"/>
      <c r="N248" s="799"/>
      <c r="O248" s="799"/>
      <c r="P248" s="799"/>
      <c r="Q248" s="799"/>
      <c r="R248" s="799"/>
      <c r="S248" s="799"/>
      <c r="T248" s="802"/>
    </row>
    <row r="249" spans="2:20" ht="21" customHeight="1" x14ac:dyDescent="0.25">
      <c r="B249" s="1237"/>
      <c r="C249" s="799" t="s">
        <v>2313</v>
      </c>
      <c r="D249" s="799"/>
      <c r="E249" s="799"/>
      <c r="F249" s="799"/>
      <c r="G249" s="799"/>
      <c r="H249" s="799"/>
      <c r="I249" s="799"/>
      <c r="J249" s="799"/>
      <c r="K249" s="799"/>
      <c r="L249" s="799"/>
      <c r="M249" s="799"/>
      <c r="N249" s="799"/>
      <c r="O249" s="799"/>
      <c r="P249" s="799"/>
      <c r="Q249" s="799"/>
      <c r="R249" s="799"/>
      <c r="S249" s="799"/>
      <c r="T249" s="802"/>
    </row>
    <row r="250" spans="2:20" x14ac:dyDescent="0.25">
      <c r="B250" s="1237"/>
      <c r="C250" s="799"/>
      <c r="D250" s="799"/>
      <c r="E250" s="799"/>
      <c r="F250" s="799"/>
      <c r="G250" s="799"/>
      <c r="H250" s="799"/>
      <c r="I250" s="799"/>
      <c r="J250" s="799"/>
      <c r="K250" s="799"/>
      <c r="L250" s="799"/>
      <c r="M250" s="799"/>
      <c r="N250" s="799"/>
      <c r="O250" s="799"/>
      <c r="P250" s="799"/>
      <c r="Q250" s="799"/>
      <c r="R250" s="799"/>
      <c r="S250" s="799"/>
      <c r="T250" s="802"/>
    </row>
    <row r="251" spans="2:20" ht="15.75" x14ac:dyDescent="0.25">
      <c r="B251" s="2688"/>
      <c r="C251" s="2684"/>
      <c r="D251" s="2684"/>
      <c r="E251" s="2684"/>
      <c r="F251" s="2684"/>
      <c r="G251" s="2685"/>
      <c r="H251" s="2686"/>
      <c r="I251" s="2686"/>
      <c r="J251" s="2686"/>
      <c r="K251" s="2686"/>
      <c r="L251" s="2686"/>
      <c r="M251" s="2686"/>
      <c r="N251" s="2686"/>
      <c r="O251" s="2686"/>
      <c r="P251" s="2686"/>
      <c r="Q251" s="2686"/>
      <c r="R251" s="2686"/>
      <c r="S251" s="2686"/>
      <c r="T251" s="2689"/>
    </row>
    <row r="252" spans="2:20" ht="18.75" x14ac:dyDescent="0.25">
      <c r="B252" s="795"/>
      <c r="C252" s="796" t="s">
        <v>1483</v>
      </c>
      <c r="D252" s="796"/>
      <c r="E252" s="796"/>
      <c r="F252" s="797"/>
      <c r="G252" s="798"/>
      <c r="H252" s="799"/>
      <c r="I252" s="799"/>
      <c r="J252" s="799"/>
      <c r="K252" s="799"/>
      <c r="L252" s="799"/>
      <c r="M252" s="799"/>
      <c r="N252" s="799"/>
      <c r="O252" s="800"/>
      <c r="P252" s="800"/>
      <c r="Q252" s="800"/>
      <c r="R252" s="801"/>
      <c r="S252" s="799"/>
      <c r="T252" s="802"/>
    </row>
    <row r="253" spans="2:20" x14ac:dyDescent="0.25">
      <c r="B253" s="803"/>
      <c r="C253" s="804"/>
      <c r="D253" s="804"/>
      <c r="E253" s="804"/>
      <c r="F253" s="804"/>
      <c r="G253" s="804"/>
      <c r="H253" s="799"/>
      <c r="I253" s="799"/>
      <c r="J253" s="799"/>
      <c r="K253" s="799"/>
      <c r="L253" s="799"/>
      <c r="M253" s="799"/>
      <c r="N253" s="799"/>
      <c r="O253" s="799"/>
      <c r="P253" s="799"/>
      <c r="Q253" s="799"/>
      <c r="R253" s="799"/>
      <c r="S253" s="799"/>
      <c r="T253" s="802"/>
    </row>
    <row r="254" spans="2:20" ht="34.5" customHeight="1" x14ac:dyDescent="0.25">
      <c r="B254" s="805"/>
      <c r="C254" s="2805" t="s">
        <v>2319</v>
      </c>
      <c r="D254" s="2805"/>
      <c r="E254" s="2805"/>
      <c r="F254" s="2805"/>
      <c r="G254" s="2805"/>
      <c r="H254" s="2805"/>
      <c r="I254" s="2805"/>
      <c r="J254" s="2805"/>
      <c r="K254" s="2805"/>
      <c r="L254" s="2805"/>
      <c r="M254" s="2805"/>
      <c r="N254" s="2805"/>
      <c r="O254" s="2805"/>
      <c r="P254" s="2805"/>
      <c r="Q254" s="2805"/>
      <c r="R254" s="2805"/>
      <c r="S254" s="806"/>
      <c r="T254" s="807"/>
    </row>
    <row r="255" spans="2:20" ht="9.75" customHeight="1" x14ac:dyDescent="0.25">
      <c r="B255" s="805"/>
      <c r="C255" s="2625"/>
      <c r="D255" s="2625"/>
      <c r="E255" s="2625"/>
      <c r="F255" s="2626"/>
      <c r="G255" s="2626"/>
      <c r="H255" s="2626"/>
      <c r="I255" s="2626"/>
      <c r="J255" s="2626"/>
      <c r="K255" s="2626"/>
      <c r="L255" s="2626"/>
      <c r="M255" s="2626"/>
      <c r="N255" s="2626"/>
      <c r="O255" s="2626"/>
      <c r="P255" s="2626"/>
      <c r="Q255" s="2626"/>
      <c r="R255" s="2626"/>
      <c r="S255" s="806"/>
      <c r="T255" s="807"/>
    </row>
    <row r="256" spans="2:20" x14ac:dyDescent="0.25">
      <c r="B256" s="805"/>
      <c r="C256" s="2805" t="s">
        <v>2320</v>
      </c>
      <c r="D256" s="2805"/>
      <c r="E256" s="2805"/>
      <c r="F256" s="2805"/>
      <c r="G256" s="2805"/>
      <c r="H256" s="2805"/>
      <c r="I256" s="2805"/>
      <c r="J256" s="2805"/>
      <c r="K256" s="2805"/>
      <c r="L256" s="2805"/>
      <c r="M256" s="2805"/>
      <c r="N256" s="2805"/>
      <c r="O256" s="2805"/>
      <c r="P256" s="2805"/>
      <c r="Q256" s="2805"/>
      <c r="R256" s="2805"/>
      <c r="S256" s="806"/>
      <c r="T256" s="807"/>
    </row>
    <row r="257" spans="2:20" x14ac:dyDescent="0.25">
      <c r="B257" s="2702"/>
      <c r="C257" s="2805"/>
      <c r="D257" s="2805"/>
      <c r="E257" s="2805"/>
      <c r="F257" s="2805"/>
      <c r="G257" s="2805"/>
      <c r="H257" s="2805"/>
      <c r="I257" s="2805"/>
      <c r="J257" s="2805"/>
      <c r="K257" s="2805"/>
      <c r="L257" s="2805"/>
      <c r="M257" s="2805"/>
      <c r="N257" s="2805"/>
      <c r="O257" s="2805"/>
      <c r="P257" s="2805"/>
      <c r="Q257" s="2805"/>
      <c r="R257" s="2805"/>
      <c r="S257" s="806"/>
      <c r="T257" s="807"/>
    </row>
    <row r="258" spans="2:20" x14ac:dyDescent="0.25">
      <c r="B258" s="803"/>
      <c r="C258" s="2805"/>
      <c r="D258" s="2805"/>
      <c r="E258" s="2805"/>
      <c r="F258" s="2805"/>
      <c r="G258" s="2805"/>
      <c r="H258" s="2805"/>
      <c r="I258" s="2805"/>
      <c r="J258" s="2805"/>
      <c r="K258" s="2805"/>
      <c r="L258" s="2805"/>
      <c r="M258" s="2805"/>
      <c r="N258" s="2805"/>
      <c r="O258" s="2805"/>
      <c r="P258" s="2805"/>
      <c r="Q258" s="2805"/>
      <c r="R258" s="2805"/>
      <c r="S258" s="951"/>
      <c r="T258" s="802"/>
    </row>
    <row r="259" spans="2:20" x14ac:dyDescent="0.25">
      <c r="B259" s="2669"/>
      <c r="C259" s="2670"/>
      <c r="D259" s="2670"/>
      <c r="E259" s="2670"/>
      <c r="F259" s="2670"/>
      <c r="G259" s="2670"/>
      <c r="H259" s="971"/>
      <c r="I259" s="971"/>
      <c r="J259" s="971"/>
      <c r="K259" s="971"/>
      <c r="L259" s="971"/>
      <c r="M259" s="971"/>
      <c r="N259" s="971"/>
      <c r="O259" s="971"/>
      <c r="P259" s="971"/>
      <c r="Q259" s="971"/>
      <c r="R259" s="971"/>
      <c r="S259" s="971"/>
      <c r="T259" s="2671"/>
    </row>
    <row r="260" spans="2:20" ht="15.75" x14ac:dyDescent="0.25">
      <c r="B260" s="2688"/>
      <c r="C260" s="2684"/>
      <c r="D260" s="2684"/>
      <c r="E260" s="2684"/>
      <c r="F260" s="2684"/>
      <c r="G260" s="2685"/>
      <c r="H260" s="2686"/>
      <c r="I260" s="2686"/>
      <c r="J260" s="2686"/>
      <c r="K260" s="2686"/>
      <c r="L260" s="2686"/>
      <c r="M260" s="2686"/>
      <c r="N260" s="2686"/>
      <c r="O260" s="2686"/>
      <c r="P260" s="2686"/>
      <c r="Q260" s="2686"/>
      <c r="R260" s="2686"/>
      <c r="S260" s="2686"/>
      <c r="T260" s="2689"/>
    </row>
    <row r="261" spans="2:20" ht="18.75" x14ac:dyDescent="0.25">
      <c r="B261" s="795"/>
      <c r="C261" s="796" t="s">
        <v>2314</v>
      </c>
      <c r="D261" s="796"/>
      <c r="E261" s="796"/>
      <c r="F261" s="797"/>
      <c r="G261" s="798"/>
      <c r="H261" s="799"/>
      <c r="I261" s="799"/>
      <c r="J261" s="799"/>
      <c r="K261" s="799"/>
      <c r="L261" s="799"/>
      <c r="M261" s="799"/>
      <c r="N261" s="799"/>
      <c r="O261" s="800"/>
      <c r="P261" s="800"/>
      <c r="Q261" s="800"/>
      <c r="R261" s="801"/>
      <c r="S261" s="799"/>
      <c r="T261" s="802"/>
    </row>
    <row r="262" spans="2:20" x14ac:dyDescent="0.25">
      <c r="B262" s="803"/>
      <c r="C262" s="804"/>
      <c r="D262" s="804"/>
      <c r="E262" s="804"/>
      <c r="F262" s="804"/>
      <c r="G262" s="804"/>
      <c r="H262" s="799"/>
      <c r="I262" s="799"/>
      <c r="J262" s="799"/>
      <c r="K262" s="799"/>
      <c r="L262" s="799"/>
      <c r="M262" s="799"/>
      <c r="N262" s="799"/>
      <c r="O262" s="799"/>
      <c r="P262" s="799"/>
      <c r="Q262" s="799"/>
      <c r="R262" s="799"/>
      <c r="S262" s="799"/>
      <c r="T262" s="802"/>
    </row>
    <row r="263" spans="2:20" ht="34.5" customHeight="1" x14ac:dyDescent="0.25">
      <c r="B263" s="805"/>
      <c r="C263" s="2805" t="s">
        <v>2321</v>
      </c>
      <c r="D263" s="2805"/>
      <c r="E263" s="2805"/>
      <c r="F263" s="2805"/>
      <c r="G263" s="2805"/>
      <c r="H263" s="2805"/>
      <c r="I263" s="2805"/>
      <c r="J263" s="2805"/>
      <c r="K263" s="2805"/>
      <c r="L263" s="2805"/>
      <c r="M263" s="2805"/>
      <c r="N263" s="2805"/>
      <c r="O263" s="2805"/>
      <c r="P263" s="2805"/>
      <c r="Q263" s="2805"/>
      <c r="R263" s="2805"/>
      <c r="S263" s="806"/>
      <c r="T263" s="807"/>
    </row>
    <row r="264" spans="2:20" x14ac:dyDescent="0.25">
      <c r="B264" s="805"/>
      <c r="C264" s="817" t="s">
        <v>2315</v>
      </c>
      <c r="D264" s="817"/>
      <c r="E264" s="817"/>
      <c r="F264" s="1217"/>
      <c r="G264" s="1217"/>
      <c r="H264" s="1217"/>
      <c r="I264" s="1217"/>
      <c r="J264" s="1217"/>
      <c r="K264" s="1217"/>
      <c r="L264" s="1217"/>
      <c r="M264" s="1217"/>
      <c r="N264" s="1217"/>
      <c r="O264" s="1217"/>
      <c r="P264" s="1217"/>
      <c r="Q264" s="1217"/>
      <c r="R264" s="1217"/>
      <c r="S264" s="806"/>
      <c r="T264" s="807"/>
    </row>
    <row r="265" spans="2:20" ht="15.75" thickBot="1" x14ac:dyDescent="0.3">
      <c r="B265" s="808"/>
      <c r="C265" s="809"/>
      <c r="D265" s="809"/>
      <c r="E265" s="809"/>
      <c r="F265" s="809"/>
      <c r="G265" s="809"/>
      <c r="H265" s="810"/>
      <c r="I265" s="810"/>
      <c r="J265" s="810"/>
      <c r="K265" s="810"/>
      <c r="L265" s="810"/>
      <c r="M265" s="810"/>
      <c r="N265" s="810"/>
      <c r="O265" s="810"/>
      <c r="P265" s="810"/>
      <c r="Q265" s="810"/>
      <c r="R265" s="810"/>
      <c r="S265" s="810"/>
      <c r="T265" s="811"/>
    </row>
    <row r="266" spans="2:20" ht="27" customHeight="1" x14ac:dyDescent="0.25">
      <c r="B266" s="600"/>
      <c r="C266" s="599"/>
      <c r="D266" s="599"/>
      <c r="E266" s="599"/>
      <c r="R266" s="1216"/>
      <c r="S266" s="1216"/>
      <c r="T266" s="1216"/>
    </row>
    <row r="267" spans="2:20" ht="27" customHeight="1" x14ac:dyDescent="0.25">
      <c r="B267" s="954" t="s">
        <v>1715</v>
      </c>
      <c r="C267" s="858"/>
      <c r="D267" s="858"/>
      <c r="E267" s="858"/>
      <c r="F267" s="858"/>
      <c r="G267" s="858"/>
      <c r="H267" s="858"/>
      <c r="I267" s="858"/>
      <c r="J267" s="858"/>
      <c r="K267" s="858"/>
      <c r="L267" s="858"/>
      <c r="M267" s="858"/>
      <c r="N267" s="859"/>
      <c r="O267" s="859"/>
      <c r="P267" s="859"/>
      <c r="Q267" s="859"/>
      <c r="R267" s="787"/>
      <c r="S267" s="787"/>
      <c r="T267" s="787"/>
    </row>
    <row r="268" spans="2:20" ht="15.75" thickBot="1" x14ac:dyDescent="0.3"/>
    <row r="269" spans="2:20" ht="15.75" x14ac:dyDescent="0.25">
      <c r="B269" s="790"/>
      <c r="C269" s="791"/>
      <c r="D269" s="791"/>
      <c r="E269" s="791"/>
      <c r="F269" s="791"/>
      <c r="G269" s="792"/>
      <c r="H269" s="793"/>
      <c r="I269" s="793"/>
      <c r="J269" s="793"/>
      <c r="K269" s="793"/>
      <c r="L269" s="793"/>
      <c r="M269" s="793"/>
      <c r="N269" s="793"/>
      <c r="O269" s="793"/>
      <c r="P269" s="793"/>
      <c r="Q269" s="793"/>
      <c r="R269" s="793"/>
      <c r="S269" s="793"/>
      <c r="T269" s="794"/>
    </row>
    <row r="270" spans="2:20" ht="18.75" x14ac:dyDescent="0.25">
      <c r="B270" s="795"/>
      <c r="C270" s="796" t="s">
        <v>1716</v>
      </c>
      <c r="D270" s="796"/>
      <c r="E270" s="796"/>
      <c r="F270" s="797"/>
      <c r="G270" s="798"/>
      <c r="H270" s="799"/>
      <c r="I270" s="799"/>
      <c r="J270" s="799"/>
      <c r="K270" s="799"/>
      <c r="L270" s="799"/>
      <c r="M270" s="799"/>
      <c r="N270" s="799"/>
      <c r="O270" s="800"/>
      <c r="P270" s="800"/>
      <c r="Q270" s="800"/>
      <c r="R270" s="801"/>
      <c r="S270" s="799"/>
      <c r="T270" s="802"/>
    </row>
    <row r="271" spans="2:20" ht="11.25" customHeight="1" x14ac:dyDescent="0.25">
      <c r="B271" s="803"/>
      <c r="C271" s="804"/>
      <c r="D271" s="804"/>
      <c r="E271" s="804"/>
      <c r="F271" s="804"/>
      <c r="G271" s="804"/>
      <c r="H271" s="799"/>
      <c r="I271" s="799"/>
      <c r="J271" s="799"/>
      <c r="K271" s="799"/>
      <c r="L271" s="799"/>
      <c r="M271" s="799"/>
      <c r="N271" s="799"/>
      <c r="O271" s="799"/>
      <c r="P271" s="799"/>
      <c r="Q271" s="799"/>
      <c r="R271" s="799"/>
      <c r="S271" s="799"/>
      <c r="T271" s="802"/>
    </row>
    <row r="272" spans="2:20" x14ac:dyDescent="0.25">
      <c r="B272" s="805"/>
      <c r="C272" s="2805" t="s">
        <v>2318</v>
      </c>
      <c r="D272" s="2805"/>
      <c r="E272" s="2805"/>
      <c r="F272" s="2805"/>
      <c r="G272" s="2805"/>
      <c r="H272" s="2805"/>
      <c r="I272" s="2805"/>
      <c r="J272" s="2805"/>
      <c r="K272" s="2805"/>
      <c r="L272" s="2805"/>
      <c r="M272" s="2805"/>
      <c r="N272" s="2805"/>
      <c r="O272" s="2805"/>
      <c r="P272" s="2805"/>
      <c r="Q272" s="2805"/>
      <c r="R272" s="2805"/>
      <c r="S272" s="806"/>
      <c r="T272" s="807"/>
    </row>
    <row r="273" spans="2:20" x14ac:dyDescent="0.25">
      <c r="B273" s="805"/>
      <c r="C273" s="2805"/>
      <c r="D273" s="2805"/>
      <c r="E273" s="2805"/>
      <c r="F273" s="2805"/>
      <c r="G273" s="2805"/>
      <c r="H273" s="2805"/>
      <c r="I273" s="2805"/>
      <c r="J273" s="2805"/>
      <c r="K273" s="2805"/>
      <c r="L273" s="2805"/>
      <c r="M273" s="2805"/>
      <c r="N273" s="2805"/>
      <c r="O273" s="2805"/>
      <c r="P273" s="2805"/>
      <c r="Q273" s="2805"/>
      <c r="R273" s="2805"/>
      <c r="S273" s="806"/>
      <c r="T273" s="807"/>
    </row>
    <row r="274" spans="2:20" ht="15.75" thickBot="1" x14ac:dyDescent="0.3">
      <c r="B274" s="808"/>
      <c r="C274" s="809"/>
      <c r="D274" s="809"/>
      <c r="E274" s="809"/>
      <c r="F274" s="809"/>
      <c r="G274" s="809"/>
      <c r="H274" s="810"/>
      <c r="I274" s="810"/>
      <c r="J274" s="810"/>
      <c r="K274" s="810"/>
      <c r="L274" s="810"/>
      <c r="M274" s="810"/>
      <c r="N274" s="810"/>
      <c r="O274" s="810"/>
      <c r="P274" s="810"/>
      <c r="Q274" s="810"/>
      <c r="R274" s="810"/>
      <c r="S274" s="810"/>
      <c r="T274" s="811"/>
    </row>
    <row r="275" spans="2:20" ht="15.75" thickBot="1" x14ac:dyDescent="0.3"/>
    <row r="276" spans="2:20" ht="15.75" x14ac:dyDescent="0.25">
      <c r="B276" s="790"/>
      <c r="C276" s="791"/>
      <c r="D276" s="791"/>
      <c r="E276" s="791"/>
      <c r="F276" s="791"/>
      <c r="G276" s="792"/>
      <c r="H276" s="793"/>
      <c r="I276" s="793"/>
      <c r="J276" s="793"/>
      <c r="K276" s="793"/>
      <c r="L276" s="793"/>
      <c r="M276" s="793"/>
      <c r="N276" s="793"/>
      <c r="O276" s="793"/>
      <c r="P276" s="793"/>
      <c r="Q276" s="793"/>
      <c r="R276" s="793"/>
      <c r="S276" s="793"/>
      <c r="T276" s="794"/>
    </row>
    <row r="277" spans="2:20" ht="18.75" x14ac:dyDescent="0.25">
      <c r="B277" s="795"/>
      <c r="C277" s="796" t="s">
        <v>1717</v>
      </c>
      <c r="D277" s="796"/>
      <c r="E277" s="796"/>
      <c r="F277" s="797"/>
      <c r="G277" s="798"/>
      <c r="H277" s="799"/>
      <c r="I277" s="799"/>
      <c r="J277" s="799"/>
      <c r="K277" s="799"/>
      <c r="L277" s="799"/>
      <c r="M277" s="799"/>
      <c r="N277" s="799"/>
      <c r="O277" s="800"/>
      <c r="P277" s="800"/>
      <c r="Q277" s="800"/>
      <c r="R277" s="801"/>
      <c r="S277" s="799"/>
      <c r="T277" s="802"/>
    </row>
    <row r="278" spans="2:20" ht="11.25" customHeight="1" x14ac:dyDescent="0.25">
      <c r="B278" s="795"/>
      <c r="C278" s="796"/>
      <c r="D278" s="796"/>
      <c r="E278" s="796"/>
      <c r="F278" s="797"/>
      <c r="G278" s="798"/>
      <c r="H278" s="799"/>
      <c r="I278" s="799"/>
      <c r="J278" s="799"/>
      <c r="K278" s="799"/>
      <c r="L278" s="799"/>
      <c r="M278" s="799"/>
      <c r="N278" s="799"/>
      <c r="O278" s="800"/>
      <c r="P278" s="800"/>
      <c r="Q278" s="800"/>
      <c r="R278" s="801"/>
      <c r="S278" s="799"/>
      <c r="T278" s="802"/>
    </row>
    <row r="279" spans="2:20" s="6" customFormat="1" ht="22.5" customHeight="1" x14ac:dyDescent="0.25">
      <c r="B279" s="815"/>
      <c r="C279" s="817" t="s">
        <v>2316</v>
      </c>
      <c r="D279" s="817"/>
      <c r="E279" s="817"/>
      <c r="F279" s="817"/>
      <c r="G279" s="817"/>
      <c r="H279" s="818"/>
      <c r="I279" s="818"/>
      <c r="J279" s="818"/>
      <c r="K279" s="818"/>
      <c r="L279" s="818"/>
      <c r="M279" s="818"/>
      <c r="N279" s="818"/>
      <c r="O279" s="818"/>
      <c r="P279" s="818"/>
      <c r="Q279" s="818"/>
      <c r="R279" s="818"/>
      <c r="S279" s="818"/>
      <c r="T279" s="819"/>
    </row>
    <row r="280" spans="2:20" ht="35.25" customHeight="1" x14ac:dyDescent="0.25">
      <c r="B280" s="805"/>
      <c r="C280" s="2805" t="s">
        <v>2318</v>
      </c>
      <c r="D280" s="2805"/>
      <c r="E280" s="2805"/>
      <c r="F280" s="2805"/>
      <c r="G280" s="2805"/>
      <c r="H280" s="2805"/>
      <c r="I280" s="2805"/>
      <c r="J280" s="2805"/>
      <c r="K280" s="2805"/>
      <c r="L280" s="2805"/>
      <c r="M280" s="2805"/>
      <c r="N280" s="2805"/>
      <c r="O280" s="2805"/>
      <c r="P280" s="2805"/>
      <c r="Q280" s="2805"/>
      <c r="R280" s="2805"/>
      <c r="S280" s="806"/>
      <c r="T280" s="807"/>
    </row>
    <row r="281" spans="2:20" ht="15.75" thickBot="1" x14ac:dyDescent="0.3">
      <c r="B281" s="808"/>
      <c r="C281" s="809"/>
      <c r="D281" s="809"/>
      <c r="E281" s="809"/>
      <c r="F281" s="809"/>
      <c r="G281" s="809"/>
      <c r="H281" s="810"/>
      <c r="I281" s="810"/>
      <c r="J281" s="810"/>
      <c r="K281" s="810"/>
      <c r="L281" s="810"/>
      <c r="M281" s="810"/>
      <c r="N281" s="810"/>
      <c r="O281" s="810"/>
      <c r="P281" s="810"/>
      <c r="Q281" s="810"/>
      <c r="R281" s="810"/>
      <c r="S281" s="810"/>
      <c r="T281" s="811"/>
    </row>
  </sheetData>
  <sheetProtection password="C518" sheet="1" objects="1" scenarios="1"/>
  <mergeCells count="84">
    <mergeCell ref="B13:D13"/>
    <mergeCell ref="B16:G16"/>
    <mergeCell ref="B17:D17"/>
    <mergeCell ref="C202:T202"/>
    <mergeCell ref="C178:D178"/>
    <mergeCell ref="E178:G178"/>
    <mergeCell ref="H178:I178"/>
    <mergeCell ref="J178:K178"/>
    <mergeCell ref="C179:D179"/>
    <mergeCell ref="E179:G179"/>
    <mergeCell ref="C199:R199"/>
    <mergeCell ref="C201:R201"/>
    <mergeCell ref="J142:K142"/>
    <mergeCell ref="C119:R119"/>
    <mergeCell ref="C157:R157"/>
    <mergeCell ref="C144:D144"/>
    <mergeCell ref="C263:R263"/>
    <mergeCell ref="C280:R280"/>
    <mergeCell ref="C243:D243"/>
    <mergeCell ref="E243:K243"/>
    <mergeCell ref="C241:D241"/>
    <mergeCell ref="E241:G241"/>
    <mergeCell ref="H241:I241"/>
    <mergeCell ref="J241:K241"/>
    <mergeCell ref="C242:D242"/>
    <mergeCell ref="E242:K242"/>
    <mergeCell ref="C254:R254"/>
    <mergeCell ref="C205:T205"/>
    <mergeCell ref="C222:D222"/>
    <mergeCell ref="C272:R273"/>
    <mergeCell ref="B10:T11"/>
    <mergeCell ref="E144:K144"/>
    <mergeCell ref="C142:D142"/>
    <mergeCell ref="C180:D180"/>
    <mergeCell ref="C143:D143"/>
    <mergeCell ref="E143:G143"/>
    <mergeCell ref="H143:I143"/>
    <mergeCell ref="J143:K143"/>
    <mergeCell ref="C159:R159"/>
    <mergeCell ref="C166:R166"/>
    <mergeCell ref="C168:R168"/>
    <mergeCell ref="E180:K180"/>
    <mergeCell ref="H179:K179"/>
    <mergeCell ref="C56:R56"/>
    <mergeCell ref="C58:R58"/>
    <mergeCell ref="C108:R108"/>
    <mergeCell ref="C92:D92"/>
    <mergeCell ref="C93:D93"/>
    <mergeCell ref="C94:D94"/>
    <mergeCell ref="E92:G92"/>
    <mergeCell ref="E93:G93"/>
    <mergeCell ref="H93:I93"/>
    <mergeCell ref="B5:U5"/>
    <mergeCell ref="B7:U7"/>
    <mergeCell ref="C52:D52"/>
    <mergeCell ref="C53:D53"/>
    <mergeCell ref="C54:D54"/>
    <mergeCell ref="E52:G52"/>
    <mergeCell ref="E53:G53"/>
    <mergeCell ref="H52:I52"/>
    <mergeCell ref="B12:F12"/>
    <mergeCell ref="J52:K52"/>
    <mergeCell ref="E54:K54"/>
    <mergeCell ref="H53:K53"/>
    <mergeCell ref="B18:D18"/>
    <mergeCell ref="B19:D19"/>
    <mergeCell ref="B14:D14"/>
    <mergeCell ref="B15:D15"/>
    <mergeCell ref="P3:T3"/>
    <mergeCell ref="C256:R258"/>
    <mergeCell ref="J92:K92"/>
    <mergeCell ref="J93:K93"/>
    <mergeCell ref="H92:I92"/>
    <mergeCell ref="E94:K94"/>
    <mergeCell ref="E142:G142"/>
    <mergeCell ref="H142:I142"/>
    <mergeCell ref="C223:D223"/>
    <mergeCell ref="E223:K223"/>
    <mergeCell ref="E222:K222"/>
    <mergeCell ref="C191:T191"/>
    <mergeCell ref="C221:D221"/>
    <mergeCell ref="E221:G221"/>
    <mergeCell ref="H221:I221"/>
    <mergeCell ref="J221:K221"/>
  </mergeCells>
  <hyperlinks>
    <hyperlink ref="B12" location="AIDE!A20" display="Partie 1 Identification" xr:uid="{00000000-0004-0000-1000-000000000000}"/>
    <hyperlink ref="B12:F12" location="AIDE!A21" display="Partie 1 Identification" xr:uid="{00000000-0004-0000-1000-000001000000}"/>
    <hyperlink ref="B14" location="AIDE!A83" display="Partie 3  Niveaux de service" xr:uid="{00000000-0004-0000-1000-000002000000}"/>
    <hyperlink ref="B15" location="AIDE!A132" display="Partie 4  Demande et risques" xr:uid="{00000000-0004-0000-1000-000003000000}"/>
    <hyperlink ref="B16:G16" location="AIDE!A173" display="Partie 5  Planification des coûts sur le cycle de vie" xr:uid="{00000000-0004-0000-1000-000004000000}"/>
    <hyperlink ref="B17:D17" location="AIDE!A216" display="Partie 6  Résumé financier" xr:uid="{00000000-0004-0000-1000-000005000000}"/>
    <hyperlink ref="B18:D18" location="AIDE!A236" display="Partie 7  Amélioration et suivi" xr:uid="{00000000-0004-0000-1000-000006000000}"/>
    <hyperlink ref="B19:D19" location="AIDE!A267" display="Partie 8  Sommaire" xr:uid="{00000000-0004-0000-1000-000007000000}"/>
    <hyperlink ref="B13:D13" location="AIDE!A47" display="Partie 2  Portrait des actifs" xr:uid="{00000000-0004-0000-1000-000008000000}"/>
    <hyperlink ref="B14:D14" location="AIDE!A87" display="Partie 3  Niveaux de service" xr:uid="{00000000-0004-0000-1000-000009000000}"/>
    <hyperlink ref="B15:D15" location="AIDE!A137" display="Partie 4  Demande et risques" xr:uid="{00000000-0004-0000-1000-00000A000000}"/>
  </hyperlinks>
  <pageMargins left="0.9055118110236221" right="0.6692913385826772" top="0.55118110236220474" bottom="0.55118110236220474" header="0.31496062992125984" footer="0.31496062992125984"/>
  <pageSetup scale="51" fitToHeight="0" orientation="landscape" r:id="rId1"/>
  <headerFooter>
    <oddFooter>&amp;L&amp;10Version 1.0    © CERIU, 2023&amp;R&amp;10Onglet AIDE
Page &amp;P de &amp;N</oddFooter>
  </headerFooter>
  <rowBreaks count="4" manualBreakCount="4">
    <brk id="45" max="16383" man="1"/>
    <brk id="136" max="16383" man="1"/>
    <brk id="195" max="16383" man="1"/>
    <brk id="23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249977111117893"/>
    <pageSetUpPr fitToPage="1"/>
  </sheetPr>
  <dimension ref="B1:AL160"/>
  <sheetViews>
    <sheetView showGridLines="0" zoomScaleNormal="100" workbookViewId="0"/>
  </sheetViews>
  <sheetFormatPr baseColWidth="10" defaultRowHeight="15" x14ac:dyDescent="0.25"/>
  <cols>
    <col min="1" max="1" width="2" style="28" customWidth="1"/>
    <col min="2" max="2" width="3.140625" style="28" customWidth="1"/>
    <col min="3" max="3" width="5.140625" style="28" customWidth="1"/>
    <col min="4" max="4" width="17.42578125" style="28" customWidth="1"/>
    <col min="5" max="5" width="4.7109375" style="28" customWidth="1"/>
    <col min="6" max="6" width="7" style="28" customWidth="1"/>
    <col min="7" max="7" width="16.7109375" style="28" customWidth="1"/>
    <col min="8" max="10" width="15.42578125" style="28" customWidth="1"/>
    <col min="11" max="11" width="11.5703125" style="28" customWidth="1"/>
    <col min="12" max="14" width="15.42578125" style="28" customWidth="1"/>
    <col min="15" max="15" width="16.7109375" style="28" customWidth="1"/>
    <col min="16" max="16" width="6.42578125" style="28" customWidth="1"/>
    <col min="17" max="17" width="3" style="28" customWidth="1"/>
    <col min="18" max="18" width="16.7109375" style="28" customWidth="1"/>
    <col min="19" max="19" width="2.7109375" style="28" customWidth="1"/>
    <col min="20" max="20" width="3" style="28" customWidth="1"/>
    <col min="21" max="21" width="3.28515625" style="28" customWidth="1"/>
    <col min="22" max="16384" width="11.42578125" style="28"/>
  </cols>
  <sheetData>
    <row r="1" spans="2:38" ht="9" customHeight="1" x14ac:dyDescent="0.25"/>
    <row r="2" spans="2:38" ht="45" customHeight="1" x14ac:dyDescent="0.3">
      <c r="B2" s="788" t="s">
        <v>1737</v>
      </c>
      <c r="C2" s="785"/>
      <c r="D2" s="785"/>
      <c r="E2" s="785"/>
      <c r="F2" s="785"/>
      <c r="G2" s="785"/>
      <c r="H2" s="785"/>
      <c r="I2" s="785"/>
      <c r="J2" s="785"/>
      <c r="K2" s="785"/>
      <c r="L2" s="785"/>
      <c r="M2" s="785"/>
      <c r="N2" s="786"/>
      <c r="O2" s="786"/>
      <c r="P2" s="786"/>
      <c r="Q2" s="786"/>
      <c r="R2" s="789"/>
      <c r="S2" s="789"/>
      <c r="T2" s="789"/>
    </row>
    <row r="3" spans="2:38" ht="25.5" customHeight="1" x14ac:dyDescent="0.25">
      <c r="B3" s="600"/>
      <c r="C3" s="599"/>
      <c r="D3" s="599"/>
      <c r="E3" s="599"/>
      <c r="P3" s="2814" t="s">
        <v>2149</v>
      </c>
      <c r="Q3" s="2815"/>
      <c r="R3" s="2815"/>
      <c r="S3" s="2815"/>
      <c r="T3" s="2815"/>
    </row>
    <row r="4" spans="2:38" ht="4.5" customHeight="1" thickBot="1" x14ac:dyDescent="0.3"/>
    <row r="5" spans="2:38" ht="14.25" customHeight="1" x14ac:dyDescent="0.25">
      <c r="B5" s="790"/>
      <c r="C5" s="791"/>
      <c r="D5" s="791"/>
      <c r="E5" s="791"/>
      <c r="F5" s="791"/>
      <c r="G5" s="792"/>
      <c r="H5" s="793"/>
      <c r="I5" s="793"/>
      <c r="J5" s="793"/>
      <c r="K5" s="793"/>
      <c r="L5" s="793"/>
      <c r="M5" s="793"/>
      <c r="N5" s="793"/>
      <c r="O5" s="793"/>
      <c r="P5" s="793"/>
      <c r="Q5" s="793"/>
      <c r="R5" s="793"/>
      <c r="S5" s="793"/>
      <c r="T5" s="794"/>
    </row>
    <row r="6" spans="2:38" ht="35.25" customHeight="1" x14ac:dyDescent="0.25">
      <c r="B6" s="805"/>
      <c r="C6" s="2805" t="s">
        <v>2172</v>
      </c>
      <c r="D6" s="2805"/>
      <c r="E6" s="2805"/>
      <c r="F6" s="2805"/>
      <c r="G6" s="2805"/>
      <c r="H6" s="2805"/>
      <c r="I6" s="2805"/>
      <c r="J6" s="2805"/>
      <c r="K6" s="2805"/>
      <c r="L6" s="2805"/>
      <c r="M6" s="2805"/>
      <c r="N6" s="2805"/>
      <c r="O6" s="2807" t="s">
        <v>2173</v>
      </c>
      <c r="P6" s="2807"/>
      <c r="Q6" s="2807"/>
      <c r="R6" s="2807"/>
      <c r="S6" s="806"/>
      <c r="T6" s="807"/>
    </row>
    <row r="7" spans="2:38" ht="18" customHeight="1" x14ac:dyDescent="0.25">
      <c r="B7" s="805"/>
      <c r="C7" s="949" t="s">
        <v>1754</v>
      </c>
      <c r="D7" s="952"/>
      <c r="E7" s="952"/>
      <c r="F7" s="1217"/>
      <c r="G7" s="1217"/>
      <c r="H7" s="1217"/>
      <c r="I7" s="1217"/>
      <c r="J7" s="1217"/>
      <c r="K7" s="1217"/>
      <c r="L7" s="1217"/>
      <c r="M7" s="1217"/>
      <c r="N7" s="1217"/>
      <c r="O7" s="1217"/>
      <c r="P7" s="1217"/>
      <c r="Q7" s="1217"/>
      <c r="R7" s="1217"/>
      <c r="S7" s="806"/>
      <c r="T7" s="807"/>
    </row>
    <row r="8" spans="2:38" ht="26.25" customHeight="1" x14ac:dyDescent="0.25">
      <c r="B8" s="805"/>
      <c r="C8" s="949" t="s">
        <v>2174</v>
      </c>
      <c r="D8" s="952"/>
      <c r="E8" s="952"/>
      <c r="F8" s="1217"/>
      <c r="G8" s="1217"/>
      <c r="H8" s="1217"/>
      <c r="I8" s="1217"/>
      <c r="J8" s="1217"/>
      <c r="K8" s="1217"/>
      <c r="L8" s="1217"/>
      <c r="M8" s="1217"/>
      <c r="N8" s="1217"/>
      <c r="O8" s="1217"/>
      <c r="P8" s="1217"/>
      <c r="Q8" s="1217"/>
      <c r="R8" s="1217"/>
      <c r="S8" s="806"/>
      <c r="T8" s="807"/>
    </row>
    <row r="9" spans="2:38" ht="16.5" customHeight="1" x14ac:dyDescent="0.25">
      <c r="B9" s="805"/>
      <c r="C9" s="2587" t="s">
        <v>2154</v>
      </c>
      <c r="D9" s="952"/>
      <c r="E9" s="952"/>
      <c r="F9" s="1217"/>
      <c r="G9" s="1217"/>
      <c r="H9" s="1217"/>
      <c r="I9" s="1217"/>
      <c r="J9" s="1217"/>
      <c r="K9" s="1217"/>
      <c r="L9" s="1217"/>
      <c r="M9" s="1217"/>
      <c r="N9" s="1217"/>
      <c r="O9" s="1217"/>
      <c r="P9" s="1217"/>
      <c r="Q9" s="1217"/>
      <c r="R9" s="1217"/>
      <c r="S9" s="806"/>
      <c r="T9" s="807"/>
    </row>
    <row r="10" spans="2:38" ht="16.5" customHeight="1" x14ac:dyDescent="0.25">
      <c r="B10" s="805"/>
      <c r="C10" s="2587" t="s">
        <v>2171</v>
      </c>
      <c r="D10" s="952"/>
      <c r="E10" s="952"/>
      <c r="F10" s="1217"/>
      <c r="G10" s="1217"/>
      <c r="H10" s="1217"/>
      <c r="I10" s="1217"/>
      <c r="J10" s="1217"/>
      <c r="K10" s="1217"/>
      <c r="L10" s="1217"/>
      <c r="M10" s="1217"/>
      <c r="N10" s="1217"/>
      <c r="O10" s="1217"/>
      <c r="P10" s="1217"/>
      <c r="Q10" s="1217"/>
      <c r="R10" s="1217"/>
      <c r="S10" s="806"/>
      <c r="T10" s="807"/>
    </row>
    <row r="11" spans="2:38" ht="20.25" customHeight="1" x14ac:dyDescent="0.25">
      <c r="B11" s="805"/>
      <c r="C11" s="949" t="s">
        <v>2155</v>
      </c>
      <c r="D11" s="952"/>
      <c r="E11" s="952"/>
      <c r="F11" s="1217"/>
      <c r="G11" s="1217"/>
      <c r="H11" s="1217"/>
      <c r="I11" s="1217"/>
      <c r="J11" s="1217"/>
      <c r="K11" s="1217"/>
      <c r="L11" s="1217"/>
      <c r="M11" s="1217"/>
      <c r="N11" s="1217"/>
      <c r="O11" s="1217"/>
      <c r="P11" s="1217"/>
      <c r="Q11" s="1217"/>
      <c r="R11" s="1217"/>
      <c r="S11" s="806"/>
      <c r="T11" s="807"/>
    </row>
    <row r="12" spans="2:38" ht="16.5" customHeight="1" x14ac:dyDescent="0.25">
      <c r="B12" s="805"/>
      <c r="C12" s="2587" t="s">
        <v>2156</v>
      </c>
      <c r="D12" s="952"/>
      <c r="E12" s="952"/>
      <c r="F12" s="1217"/>
      <c r="G12" s="1217"/>
      <c r="H12" s="1217"/>
      <c r="I12" s="1217"/>
      <c r="J12" s="1217"/>
      <c r="K12" s="1217"/>
      <c r="L12" s="1217"/>
      <c r="M12" s="1217"/>
      <c r="N12" s="1217"/>
      <c r="O12" s="1217"/>
      <c r="P12" s="1217"/>
      <c r="Q12" s="1217"/>
      <c r="R12" s="1217"/>
      <c r="S12" s="806"/>
      <c r="T12" s="807"/>
    </row>
    <row r="13" spans="2:38" ht="27" customHeight="1" x14ac:dyDescent="0.25">
      <c r="B13" s="803"/>
      <c r="C13" s="975" t="s">
        <v>1736</v>
      </c>
      <c r="D13" s="953"/>
      <c r="E13" s="953"/>
      <c r="F13" s="950"/>
      <c r="G13" s="950"/>
      <c r="H13" s="950"/>
      <c r="I13" s="950"/>
      <c r="J13" s="950"/>
      <c r="K13" s="950"/>
      <c r="L13" s="950"/>
      <c r="M13" s="950"/>
      <c r="N13" s="950"/>
      <c r="O13" s="950"/>
      <c r="P13" s="950"/>
      <c r="Q13" s="950"/>
      <c r="R13" s="950"/>
      <c r="S13" s="951"/>
      <c r="T13" s="802"/>
    </row>
    <row r="14" spans="2:38" ht="15" customHeight="1" thickBot="1" x14ac:dyDescent="0.3">
      <c r="B14" s="808"/>
      <c r="C14" s="809"/>
      <c r="D14" s="809"/>
      <c r="E14" s="809"/>
      <c r="F14" s="809"/>
      <c r="G14" s="809"/>
      <c r="H14" s="810"/>
      <c r="I14" s="810"/>
      <c r="J14" s="810"/>
      <c r="K14" s="810"/>
      <c r="L14" s="810"/>
      <c r="M14" s="810"/>
      <c r="N14" s="810"/>
      <c r="O14" s="810"/>
      <c r="P14" s="810"/>
      <c r="Q14" s="810"/>
      <c r="R14" s="810"/>
      <c r="S14" s="810"/>
      <c r="T14" s="811"/>
    </row>
    <row r="15" spans="2:38" ht="17.25" customHeight="1" x14ac:dyDescent="0.25">
      <c r="B15" s="600"/>
      <c r="C15" s="599"/>
      <c r="D15" s="599"/>
      <c r="E15" s="599"/>
      <c r="R15" s="1216"/>
      <c r="S15" s="1216"/>
      <c r="T15" s="1216"/>
    </row>
    <row r="16" spans="2:38" ht="24" customHeight="1" x14ac:dyDescent="0.25">
      <c r="B16" s="954" t="s">
        <v>1748</v>
      </c>
      <c r="C16" s="858"/>
      <c r="D16" s="858"/>
      <c r="E16" s="858"/>
      <c r="F16" s="858"/>
      <c r="G16" s="858"/>
      <c r="H16" s="858"/>
      <c r="I16" s="858"/>
      <c r="J16" s="858"/>
      <c r="K16" s="858"/>
      <c r="L16" s="858"/>
      <c r="M16" s="858"/>
      <c r="N16" s="859"/>
      <c r="O16" s="859"/>
      <c r="P16" s="859"/>
      <c r="Q16" s="859"/>
      <c r="R16" s="787"/>
      <c r="S16" s="787"/>
      <c r="T16" s="787"/>
      <c r="AF16" s="245"/>
      <c r="AG16" s="246"/>
      <c r="AH16" s="246"/>
      <c r="AI16" s="246"/>
      <c r="AJ16" s="55"/>
      <c r="AK16" s="55"/>
      <c r="AL16" s="55"/>
    </row>
    <row r="17" spans="2:20" ht="11.25" customHeight="1" thickBot="1" x14ac:dyDescent="0.3"/>
    <row r="18" spans="2:20" ht="14.25" customHeight="1" x14ac:dyDescent="0.25">
      <c r="B18" s="790"/>
      <c r="C18" s="791"/>
      <c r="D18" s="791"/>
      <c r="E18" s="791"/>
      <c r="F18" s="791"/>
      <c r="G18" s="792"/>
      <c r="H18" s="793"/>
      <c r="I18" s="793"/>
      <c r="J18" s="793"/>
      <c r="K18" s="793"/>
      <c r="L18" s="793"/>
      <c r="M18" s="793"/>
      <c r="N18" s="793"/>
      <c r="O18" s="793"/>
      <c r="P18" s="793"/>
      <c r="Q18" s="793"/>
      <c r="R18" s="793"/>
      <c r="S18" s="793"/>
      <c r="T18" s="794"/>
    </row>
    <row r="19" spans="2:20" ht="18" customHeight="1" x14ac:dyDescent="0.25">
      <c r="B19" s="795"/>
      <c r="C19" s="796" t="s">
        <v>1749</v>
      </c>
      <c r="D19" s="796"/>
      <c r="E19" s="796"/>
      <c r="F19" s="797"/>
      <c r="G19" s="798"/>
      <c r="H19" s="799"/>
      <c r="I19" s="799"/>
      <c r="J19" s="799"/>
      <c r="K19" s="799"/>
      <c r="L19" s="799"/>
      <c r="M19" s="799"/>
      <c r="N19" s="799"/>
      <c r="O19" s="800"/>
      <c r="P19" s="800"/>
      <c r="Q19" s="800"/>
      <c r="R19" s="801"/>
      <c r="S19" s="799"/>
      <c r="T19" s="802"/>
    </row>
    <row r="20" spans="2:20" ht="11.25" customHeight="1" x14ac:dyDescent="0.25">
      <c r="B20" s="803"/>
      <c r="C20" s="804"/>
      <c r="D20" s="804"/>
      <c r="E20" s="804"/>
      <c r="F20" s="804"/>
      <c r="G20" s="804"/>
      <c r="H20" s="799"/>
      <c r="I20" s="799"/>
      <c r="J20" s="799"/>
      <c r="K20" s="799"/>
      <c r="L20" s="799"/>
      <c r="M20" s="799"/>
      <c r="N20" s="799"/>
      <c r="O20" s="799"/>
      <c r="P20" s="799"/>
      <c r="Q20" s="799"/>
      <c r="R20" s="799"/>
      <c r="S20" s="799"/>
      <c r="T20" s="802"/>
    </row>
    <row r="21" spans="2:20" ht="36" customHeight="1" x14ac:dyDescent="0.25">
      <c r="B21" s="805"/>
      <c r="C21" s="2810" t="s">
        <v>1501</v>
      </c>
      <c r="D21" s="2810"/>
      <c r="E21" s="2810"/>
      <c r="F21" s="2810"/>
      <c r="G21" s="2810"/>
      <c r="H21" s="2810"/>
      <c r="I21" s="2810"/>
      <c r="J21" s="2810"/>
      <c r="K21" s="2810"/>
      <c r="L21" s="2810"/>
      <c r="M21" s="812"/>
      <c r="N21" s="812"/>
      <c r="O21" s="812"/>
      <c r="P21" s="812"/>
      <c r="Q21" s="812"/>
      <c r="R21" s="812"/>
      <c r="S21" s="806"/>
      <c r="T21" s="807"/>
    </row>
    <row r="22" spans="2:20" ht="8.25" customHeight="1" x14ac:dyDescent="0.25">
      <c r="B22" s="805"/>
      <c r="C22" s="813"/>
      <c r="D22" s="813"/>
      <c r="E22" s="813"/>
      <c r="F22" s="813"/>
      <c r="G22" s="813"/>
      <c r="H22" s="813"/>
      <c r="I22" s="813"/>
      <c r="J22" s="813"/>
      <c r="K22" s="813"/>
      <c r="L22" s="813"/>
      <c r="M22" s="813"/>
      <c r="N22" s="813"/>
      <c r="O22" s="813"/>
      <c r="P22" s="813"/>
      <c r="Q22" s="813"/>
      <c r="R22" s="813"/>
      <c r="S22" s="806"/>
      <c r="T22" s="807"/>
    </row>
    <row r="23" spans="2:20" ht="19.5" customHeight="1" x14ac:dyDescent="0.25">
      <c r="B23" s="805"/>
      <c r="C23" s="2811" t="s">
        <v>2106</v>
      </c>
      <c r="D23" s="2811"/>
      <c r="E23" s="2811"/>
      <c r="F23" s="2811"/>
      <c r="G23" s="2811"/>
      <c r="H23" s="2811"/>
      <c r="I23" s="2811"/>
      <c r="J23" s="2811"/>
      <c r="K23" s="2811"/>
      <c r="L23" s="2811"/>
      <c r="M23" s="2811"/>
      <c r="N23" s="2811"/>
      <c r="O23" s="2811"/>
      <c r="P23" s="2811"/>
      <c r="Q23" s="2811"/>
      <c r="R23" s="2811"/>
      <c r="S23" s="806"/>
      <c r="T23" s="807"/>
    </row>
    <row r="24" spans="2:20" ht="15.75" customHeight="1" x14ac:dyDescent="0.25">
      <c r="B24" s="803"/>
      <c r="C24" s="814" t="s">
        <v>2104</v>
      </c>
      <c r="D24" s="814"/>
      <c r="E24" s="814"/>
      <c r="F24" s="804"/>
      <c r="G24" s="804"/>
      <c r="H24" s="799"/>
      <c r="I24" s="799"/>
      <c r="J24" s="799"/>
      <c r="K24" s="799"/>
      <c r="L24" s="799"/>
      <c r="M24" s="799"/>
      <c r="N24" s="799"/>
      <c r="O24" s="799"/>
      <c r="P24" s="799"/>
      <c r="Q24" s="799"/>
      <c r="R24" s="799"/>
      <c r="S24" s="799"/>
      <c r="T24" s="802"/>
    </row>
    <row r="25" spans="2:20" ht="15.75" customHeight="1" x14ac:dyDescent="0.25">
      <c r="B25" s="803"/>
      <c r="C25" s="814" t="s">
        <v>2105</v>
      </c>
      <c r="D25" s="814"/>
      <c r="E25" s="814"/>
      <c r="F25" s="804"/>
      <c r="G25" s="804"/>
      <c r="H25" s="799"/>
      <c r="I25" s="799"/>
      <c r="J25" s="799"/>
      <c r="K25" s="799"/>
      <c r="L25" s="799"/>
      <c r="M25" s="799"/>
      <c r="N25" s="799"/>
      <c r="O25" s="799"/>
      <c r="P25" s="799"/>
      <c r="Q25" s="799"/>
      <c r="R25" s="799"/>
      <c r="S25" s="799"/>
      <c r="T25" s="802"/>
    </row>
    <row r="26" spans="2:20" s="314" customFormat="1" ht="16.5" customHeight="1" x14ac:dyDescent="0.25">
      <c r="B26" s="815"/>
      <c r="C26" s="2429" t="s">
        <v>1844</v>
      </c>
      <c r="D26" s="816"/>
      <c r="E26" s="816"/>
      <c r="F26" s="817"/>
      <c r="G26" s="817"/>
      <c r="H26" s="818"/>
      <c r="I26" s="818"/>
      <c r="J26" s="818"/>
      <c r="K26" s="818"/>
      <c r="L26" s="818"/>
      <c r="M26" s="818"/>
      <c r="N26" s="818"/>
      <c r="O26" s="818"/>
      <c r="P26" s="818"/>
      <c r="Q26" s="818"/>
      <c r="R26" s="818"/>
      <c r="S26" s="818"/>
      <c r="T26" s="819"/>
    </row>
    <row r="27" spans="2:20" s="314" customFormat="1" ht="10.5" customHeight="1" x14ac:dyDescent="0.25">
      <c r="B27" s="815"/>
      <c r="C27" s="816"/>
      <c r="D27" s="816"/>
      <c r="E27" s="816"/>
      <c r="F27" s="817"/>
      <c r="G27" s="817"/>
      <c r="H27" s="818"/>
      <c r="I27" s="818"/>
      <c r="J27" s="818"/>
      <c r="K27" s="818"/>
      <c r="L27" s="818"/>
      <c r="M27" s="818"/>
      <c r="N27" s="818"/>
      <c r="O27" s="818"/>
      <c r="P27" s="818"/>
      <c r="Q27" s="818"/>
      <c r="R27" s="818"/>
      <c r="S27" s="818"/>
      <c r="T27" s="819"/>
    </row>
    <row r="28" spans="2:20" ht="15.75" customHeight="1" x14ac:dyDescent="0.25">
      <c r="B28" s="805"/>
      <c r="C28" s="2805" t="s">
        <v>1502</v>
      </c>
      <c r="D28" s="2805"/>
      <c r="E28" s="2805"/>
      <c r="F28" s="2805"/>
      <c r="G28" s="2805"/>
      <c r="H28" s="2805"/>
      <c r="I28" s="2805"/>
      <c r="J28" s="2805"/>
      <c r="K28" s="2805"/>
      <c r="L28" s="2805"/>
      <c r="M28" s="2805"/>
      <c r="N28" s="2805"/>
      <c r="O28" s="2805"/>
      <c r="P28" s="2805"/>
      <c r="Q28" s="2805"/>
      <c r="R28" s="2805"/>
      <c r="S28" s="806"/>
      <c r="T28" s="807"/>
    </row>
    <row r="29" spans="2:20" ht="5.25" customHeight="1" x14ac:dyDescent="0.25">
      <c r="B29" s="803"/>
      <c r="C29" s="820"/>
      <c r="D29" s="820"/>
      <c r="E29" s="820"/>
      <c r="F29" s="820"/>
      <c r="G29" s="820"/>
      <c r="H29" s="799"/>
      <c r="I29" s="799"/>
      <c r="J29" s="799"/>
      <c r="K29" s="799"/>
      <c r="L29" s="799"/>
      <c r="M29" s="799"/>
      <c r="N29" s="799"/>
      <c r="O29" s="799"/>
      <c r="P29" s="799"/>
      <c r="Q29" s="799"/>
      <c r="R29" s="799"/>
      <c r="S29" s="799"/>
      <c r="T29" s="802"/>
    </row>
    <row r="30" spans="2:20" ht="3.75" customHeight="1" thickBot="1" x14ac:dyDescent="0.3">
      <c r="B30" s="803"/>
      <c r="C30" s="820"/>
      <c r="D30" s="820"/>
      <c r="E30" s="820"/>
      <c r="F30" s="820"/>
      <c r="G30" s="820"/>
      <c r="H30" s="799"/>
      <c r="I30" s="799"/>
      <c r="J30" s="799"/>
      <c r="K30" s="799"/>
      <c r="L30" s="799"/>
      <c r="M30" s="799"/>
      <c r="N30" s="799"/>
      <c r="O30" s="799"/>
      <c r="P30" s="799"/>
      <c r="Q30" s="799"/>
      <c r="R30" s="799"/>
      <c r="S30" s="799"/>
      <c r="T30" s="802"/>
    </row>
    <row r="31" spans="2:20" ht="22.5" customHeight="1" thickBot="1" x14ac:dyDescent="0.3">
      <c r="B31" s="803"/>
      <c r="C31" s="956" t="s">
        <v>1695</v>
      </c>
      <c r="D31" s="959"/>
      <c r="E31" s="960"/>
      <c r="F31" s="799"/>
      <c r="G31" s="956" t="s">
        <v>1694</v>
      </c>
      <c r="H31" s="957"/>
      <c r="I31" s="957"/>
      <c r="J31" s="958"/>
      <c r="K31" s="799"/>
      <c r="L31" s="956" t="s">
        <v>1697</v>
      </c>
      <c r="M31" s="957"/>
      <c r="N31" s="957"/>
      <c r="O31" s="958"/>
      <c r="P31" s="915"/>
      <c r="Q31" s="956" t="s">
        <v>1696</v>
      </c>
      <c r="R31" s="959"/>
      <c r="S31" s="960"/>
      <c r="T31" s="802"/>
    </row>
    <row r="32" spans="2:20" ht="16.5" customHeight="1" x14ac:dyDescent="0.25">
      <c r="B32" s="803"/>
      <c r="C32" s="820"/>
      <c r="D32" s="820"/>
      <c r="E32" s="820"/>
      <c r="F32" s="799"/>
      <c r="G32" s="799"/>
      <c r="H32" s="799"/>
      <c r="I32" s="820"/>
      <c r="J32" s="820"/>
      <c r="K32" s="799"/>
      <c r="L32" s="799"/>
      <c r="M32" s="799"/>
      <c r="N32" s="799"/>
      <c r="O32" s="799"/>
      <c r="P32" s="799"/>
      <c r="Q32" s="799"/>
      <c r="R32" s="799"/>
      <c r="S32" s="799"/>
      <c r="T32" s="802"/>
    </row>
    <row r="33" spans="2:20" ht="22.5" customHeight="1" x14ac:dyDescent="0.25">
      <c r="B33" s="803"/>
      <c r="C33" s="799"/>
      <c r="D33" s="2821" t="s">
        <v>1423</v>
      </c>
      <c r="E33" s="961"/>
      <c r="F33" s="799"/>
      <c r="G33" s="799"/>
      <c r="H33" s="799"/>
      <c r="I33" s="2430" t="s">
        <v>1417</v>
      </c>
      <c r="J33" s="2431"/>
      <c r="K33" s="799"/>
      <c r="L33" s="2430" t="s">
        <v>1420</v>
      </c>
      <c r="M33" s="2431"/>
      <c r="N33" s="799"/>
      <c r="O33" s="799"/>
      <c r="P33" s="799"/>
      <c r="Q33" s="799"/>
      <c r="R33" s="2808" t="s">
        <v>1641</v>
      </c>
      <c r="S33" s="799"/>
      <c r="T33" s="802"/>
    </row>
    <row r="34" spans="2:20" ht="9.75" customHeight="1" x14ac:dyDescent="0.25">
      <c r="B34" s="803"/>
      <c r="C34" s="799"/>
      <c r="D34" s="2821"/>
      <c r="E34" s="799"/>
      <c r="F34" s="799"/>
      <c r="G34" s="2820" t="s">
        <v>1640</v>
      </c>
      <c r="H34" s="799"/>
      <c r="I34" s="820"/>
      <c r="J34" s="820"/>
      <c r="K34" s="799"/>
      <c r="L34" s="799"/>
      <c r="M34" s="799"/>
      <c r="N34" s="799"/>
      <c r="O34" s="2819" t="s">
        <v>1693</v>
      </c>
      <c r="P34" s="799"/>
      <c r="Q34" s="799"/>
      <c r="R34" s="2808"/>
      <c r="S34" s="799"/>
      <c r="T34" s="802"/>
    </row>
    <row r="35" spans="2:20" ht="22.5" customHeight="1" x14ac:dyDescent="0.25">
      <c r="B35" s="803"/>
      <c r="C35" s="799"/>
      <c r="D35" s="799"/>
      <c r="E35" s="961"/>
      <c r="F35" s="799"/>
      <c r="G35" s="2820"/>
      <c r="H35" s="799"/>
      <c r="I35" s="488" t="s">
        <v>1418</v>
      </c>
      <c r="J35" s="487"/>
      <c r="K35" s="799"/>
      <c r="L35" s="488" t="s">
        <v>1421</v>
      </c>
      <c r="M35" s="487"/>
      <c r="N35" s="799"/>
      <c r="O35" s="2819"/>
      <c r="P35" s="955"/>
      <c r="Q35" s="955"/>
      <c r="R35" s="799"/>
      <c r="S35" s="799"/>
      <c r="T35" s="802"/>
    </row>
    <row r="36" spans="2:20" ht="9.75" customHeight="1" x14ac:dyDescent="0.25">
      <c r="B36" s="803"/>
      <c r="C36" s="799"/>
      <c r="D36" s="2821" t="s">
        <v>1737</v>
      </c>
      <c r="E36" s="961"/>
      <c r="F36" s="799"/>
      <c r="G36" s="799"/>
      <c r="H36" s="799"/>
      <c r="I36" s="820"/>
      <c r="J36" s="820"/>
      <c r="K36" s="799"/>
      <c r="L36" s="799"/>
      <c r="M36" s="799"/>
      <c r="N36" s="799"/>
      <c r="O36" s="799"/>
      <c r="P36" s="799"/>
      <c r="Q36" s="799"/>
      <c r="R36" s="2808" t="s">
        <v>1424</v>
      </c>
      <c r="S36" s="799"/>
      <c r="T36" s="802"/>
    </row>
    <row r="37" spans="2:20" ht="22.5" customHeight="1" x14ac:dyDescent="0.25">
      <c r="B37" s="803"/>
      <c r="C37" s="799"/>
      <c r="D37" s="2821"/>
      <c r="E37" s="799"/>
      <c r="F37" s="799"/>
      <c r="G37" s="799"/>
      <c r="H37" s="799"/>
      <c r="I37" s="2574" t="s">
        <v>1419</v>
      </c>
      <c r="J37" s="2575"/>
      <c r="K37" s="799"/>
      <c r="L37" s="2574" t="s">
        <v>1422</v>
      </c>
      <c r="M37" s="2575"/>
      <c r="N37" s="799"/>
      <c r="O37" s="799"/>
      <c r="P37" s="799"/>
      <c r="Q37" s="799"/>
      <c r="R37" s="2808"/>
      <c r="S37" s="799"/>
      <c r="T37" s="802"/>
    </row>
    <row r="38" spans="2:20" ht="21" customHeight="1" x14ac:dyDescent="0.25">
      <c r="B38" s="803"/>
      <c r="C38" s="799"/>
      <c r="D38" s="799"/>
      <c r="E38" s="799"/>
      <c r="F38" s="799"/>
      <c r="G38" s="799"/>
      <c r="H38" s="820"/>
      <c r="I38" s="799"/>
      <c r="J38" s="799"/>
      <c r="K38" s="799"/>
      <c r="L38" s="799"/>
      <c r="M38" s="799"/>
      <c r="N38" s="799"/>
      <c r="O38" s="799"/>
      <c r="P38" s="799"/>
      <c r="Q38" s="799"/>
      <c r="R38" s="799"/>
      <c r="S38" s="799"/>
      <c r="T38" s="802"/>
    </row>
    <row r="39" spans="2:20" ht="33" customHeight="1" x14ac:dyDescent="0.25">
      <c r="B39" s="803"/>
      <c r="C39" s="2809" t="s">
        <v>1739</v>
      </c>
      <c r="D39" s="2809"/>
      <c r="E39" s="2809"/>
      <c r="F39" s="2809"/>
      <c r="G39" s="2809"/>
      <c r="H39" s="2809"/>
      <c r="I39" s="2809"/>
      <c r="J39" s="2809"/>
      <c r="K39" s="2809"/>
      <c r="L39" s="2809"/>
      <c r="M39" s="2809"/>
      <c r="N39" s="2809"/>
      <c r="O39" s="2809"/>
      <c r="P39" s="2809"/>
      <c r="Q39" s="2809"/>
      <c r="R39" s="2809"/>
      <c r="S39" s="799"/>
      <c r="T39" s="802"/>
    </row>
    <row r="40" spans="2:20" ht="9.75" customHeight="1" x14ac:dyDescent="0.25">
      <c r="B40" s="803"/>
      <c r="C40" s="820"/>
      <c r="D40" s="820"/>
      <c r="E40" s="820"/>
      <c r="F40" s="820"/>
      <c r="G40" s="820"/>
      <c r="H40" s="799"/>
      <c r="I40" s="799"/>
      <c r="J40" s="799"/>
      <c r="K40" s="799"/>
      <c r="L40" s="799"/>
      <c r="M40" s="799"/>
      <c r="N40" s="799"/>
      <c r="O40" s="799"/>
      <c r="P40" s="799"/>
      <c r="Q40" s="799"/>
      <c r="R40" s="799"/>
      <c r="S40" s="799"/>
      <c r="T40" s="802"/>
    </row>
    <row r="41" spans="2:20" ht="18" customHeight="1" x14ac:dyDescent="0.25">
      <c r="B41" s="803"/>
      <c r="C41" s="799"/>
      <c r="D41" s="884" t="s">
        <v>1738</v>
      </c>
      <c r="E41" s="799"/>
      <c r="F41" s="799"/>
      <c r="G41" s="799"/>
      <c r="H41" s="820"/>
      <c r="I41" s="799"/>
      <c r="J41" s="799"/>
      <c r="K41" s="799"/>
      <c r="L41" s="799"/>
      <c r="M41" s="799"/>
      <c r="N41" s="799"/>
      <c r="O41" s="799"/>
      <c r="P41" s="799"/>
      <c r="Q41" s="799"/>
      <c r="R41" s="799"/>
      <c r="S41" s="799"/>
      <c r="T41" s="802"/>
    </row>
    <row r="42" spans="2:20" ht="9.75" customHeight="1" x14ac:dyDescent="0.25">
      <c r="B42" s="803"/>
      <c r="C42" s="820"/>
      <c r="D42" s="820"/>
      <c r="E42" s="820"/>
      <c r="F42" s="820"/>
      <c r="G42" s="820"/>
      <c r="H42" s="799"/>
      <c r="I42" s="799"/>
      <c r="J42" s="799"/>
      <c r="K42" s="799"/>
      <c r="L42" s="799"/>
      <c r="M42" s="799"/>
      <c r="N42" s="799"/>
      <c r="O42" s="799"/>
      <c r="P42" s="799"/>
      <c r="Q42" s="799"/>
      <c r="R42" s="799"/>
      <c r="S42" s="799"/>
      <c r="T42" s="802"/>
    </row>
    <row r="43" spans="2:20" ht="48.75" customHeight="1" x14ac:dyDescent="0.25">
      <c r="B43" s="803"/>
      <c r="C43" s="2802" t="s">
        <v>1698</v>
      </c>
      <c r="D43" s="2802"/>
      <c r="E43" s="2802"/>
      <c r="F43" s="2802"/>
      <c r="G43" s="2802"/>
      <c r="H43" s="2802"/>
      <c r="I43" s="2802"/>
      <c r="J43" s="2802"/>
      <c r="K43" s="2802"/>
      <c r="L43" s="2802"/>
      <c r="M43" s="2802"/>
      <c r="N43" s="2802"/>
      <c r="O43" s="2802"/>
      <c r="P43" s="2802"/>
      <c r="Q43" s="2802"/>
      <c r="R43" s="2802"/>
      <c r="S43" s="799"/>
      <c r="T43" s="802"/>
    </row>
    <row r="44" spans="2:20" ht="9.75" customHeight="1" x14ac:dyDescent="0.25">
      <c r="B44" s="803"/>
      <c r="C44" s="820"/>
      <c r="D44" s="820"/>
      <c r="E44" s="820"/>
      <c r="F44" s="820"/>
      <c r="G44" s="820"/>
      <c r="H44" s="799"/>
      <c r="I44" s="799"/>
      <c r="J44" s="799"/>
      <c r="K44" s="799"/>
      <c r="L44" s="799"/>
      <c r="M44" s="799"/>
      <c r="N44" s="799"/>
      <c r="O44" s="799"/>
      <c r="P44" s="799"/>
      <c r="Q44" s="799"/>
      <c r="R44" s="799"/>
      <c r="S44" s="799"/>
      <c r="T44" s="802"/>
    </row>
    <row r="45" spans="2:20" ht="48.75" customHeight="1" x14ac:dyDescent="0.25">
      <c r="B45" s="803"/>
      <c r="C45" s="2802" t="s">
        <v>1845</v>
      </c>
      <c r="D45" s="2802"/>
      <c r="E45" s="2802"/>
      <c r="F45" s="2802"/>
      <c r="G45" s="2802"/>
      <c r="H45" s="2802"/>
      <c r="I45" s="2802"/>
      <c r="J45" s="2802"/>
      <c r="K45" s="2802"/>
      <c r="L45" s="2802"/>
      <c r="M45" s="2802"/>
      <c r="N45" s="2802"/>
      <c r="O45" s="2802"/>
      <c r="P45" s="2802"/>
      <c r="Q45" s="2802"/>
      <c r="R45" s="2802"/>
      <c r="S45" s="799"/>
      <c r="T45" s="802"/>
    </row>
    <row r="46" spans="2:20" ht="9.75" customHeight="1" x14ac:dyDescent="0.25">
      <c r="B46" s="803"/>
      <c r="C46" s="820"/>
      <c r="D46" s="820"/>
      <c r="E46" s="820"/>
      <c r="F46" s="820"/>
      <c r="G46" s="820"/>
      <c r="H46" s="799"/>
      <c r="I46" s="799"/>
      <c r="J46" s="799"/>
      <c r="K46" s="799"/>
      <c r="L46" s="799"/>
      <c r="M46" s="799"/>
      <c r="N46" s="799"/>
      <c r="O46" s="799"/>
      <c r="P46" s="799"/>
      <c r="Q46" s="799"/>
      <c r="R46" s="799"/>
      <c r="S46" s="799"/>
      <c r="T46" s="802"/>
    </row>
    <row r="47" spans="2:20" ht="33.75" customHeight="1" x14ac:dyDescent="0.25">
      <c r="B47" s="803"/>
      <c r="C47" s="2802" t="s">
        <v>1846</v>
      </c>
      <c r="D47" s="2802"/>
      <c r="E47" s="2802"/>
      <c r="F47" s="2802"/>
      <c r="G47" s="2802"/>
      <c r="H47" s="2802"/>
      <c r="I47" s="2802"/>
      <c r="J47" s="2802"/>
      <c r="K47" s="2802"/>
      <c r="L47" s="2802"/>
      <c r="M47" s="2802"/>
      <c r="N47" s="2802"/>
      <c r="O47" s="2802"/>
      <c r="P47" s="2802"/>
      <c r="Q47" s="2802"/>
      <c r="R47" s="2802"/>
      <c r="S47" s="799"/>
      <c r="T47" s="802"/>
    </row>
    <row r="48" spans="2:20" ht="9.75" customHeight="1" x14ac:dyDescent="0.25">
      <c r="B48" s="803"/>
      <c r="C48" s="820"/>
      <c r="D48" s="820"/>
      <c r="E48" s="820"/>
      <c r="F48" s="820"/>
      <c r="G48" s="820"/>
      <c r="H48" s="799"/>
      <c r="I48" s="799"/>
      <c r="J48" s="799"/>
      <c r="K48" s="799"/>
      <c r="L48" s="799"/>
      <c r="M48" s="799"/>
      <c r="N48" s="799"/>
      <c r="O48" s="799"/>
      <c r="P48" s="799"/>
      <c r="Q48" s="799"/>
      <c r="R48" s="799"/>
      <c r="S48" s="799"/>
      <c r="T48" s="802"/>
    </row>
    <row r="49" spans="2:38" ht="33.75" customHeight="1" x14ac:dyDescent="0.25">
      <c r="B49" s="803"/>
      <c r="C49" s="2802" t="s">
        <v>1847</v>
      </c>
      <c r="D49" s="2802"/>
      <c r="E49" s="2802"/>
      <c r="F49" s="2802"/>
      <c r="G49" s="2802"/>
      <c r="H49" s="2802"/>
      <c r="I49" s="2802"/>
      <c r="J49" s="2802"/>
      <c r="K49" s="2802"/>
      <c r="L49" s="2802"/>
      <c r="M49" s="2802"/>
      <c r="N49" s="2802"/>
      <c r="O49" s="2802"/>
      <c r="P49" s="2802"/>
      <c r="Q49" s="2802"/>
      <c r="R49" s="2802"/>
      <c r="S49" s="799"/>
      <c r="T49" s="802"/>
    </row>
    <row r="50" spans="2:38" ht="9.75" customHeight="1" x14ac:dyDescent="0.25">
      <c r="B50" s="803"/>
      <c r="C50" s="820"/>
      <c r="D50" s="820"/>
      <c r="E50" s="820"/>
      <c r="F50" s="820"/>
      <c r="G50" s="820"/>
      <c r="H50" s="799"/>
      <c r="I50" s="799"/>
      <c r="J50" s="799"/>
      <c r="K50" s="799"/>
      <c r="L50" s="799"/>
      <c r="M50" s="799"/>
      <c r="N50" s="799"/>
      <c r="O50" s="799"/>
      <c r="P50" s="799"/>
      <c r="Q50" s="799"/>
      <c r="R50" s="799"/>
      <c r="S50" s="799"/>
      <c r="T50" s="802"/>
    </row>
    <row r="51" spans="2:38" ht="15.75" customHeight="1" x14ac:dyDescent="0.25">
      <c r="B51" s="803"/>
      <c r="C51" s="799"/>
      <c r="D51" s="884" t="s">
        <v>1848</v>
      </c>
      <c r="E51" s="799"/>
      <c r="F51" s="799"/>
      <c r="G51" s="799"/>
      <c r="H51" s="820"/>
      <c r="I51" s="799"/>
      <c r="J51" s="799"/>
      <c r="K51" s="799"/>
      <c r="L51" s="799"/>
      <c r="M51" s="799"/>
      <c r="N51" s="799"/>
      <c r="O51" s="799"/>
      <c r="P51" s="799"/>
      <c r="Q51" s="799"/>
      <c r="R51" s="799"/>
      <c r="S51" s="799"/>
      <c r="T51" s="802"/>
    </row>
    <row r="52" spans="2:38" ht="13.5" customHeight="1" thickBot="1" x14ac:dyDescent="0.3">
      <c r="B52" s="808"/>
      <c r="C52" s="821"/>
      <c r="D52" s="821"/>
      <c r="E52" s="821"/>
      <c r="F52" s="821"/>
      <c r="G52" s="821"/>
      <c r="H52" s="810"/>
      <c r="I52" s="810"/>
      <c r="J52" s="810"/>
      <c r="K52" s="810"/>
      <c r="L52" s="810"/>
      <c r="M52" s="810"/>
      <c r="N52" s="810"/>
      <c r="O52" s="810"/>
      <c r="P52" s="810"/>
      <c r="Q52" s="810"/>
      <c r="R52" s="810"/>
      <c r="S52" s="810"/>
      <c r="T52" s="811"/>
    </row>
    <row r="53" spans="2:38" ht="21.75" customHeight="1" x14ac:dyDescent="0.25"/>
    <row r="54" spans="2:38" ht="24" customHeight="1" x14ac:dyDescent="0.25">
      <c r="B54" s="954" t="s">
        <v>1747</v>
      </c>
      <c r="C54" s="858"/>
      <c r="D54" s="858"/>
      <c r="E54" s="858"/>
      <c r="F54" s="858"/>
      <c r="G54" s="858"/>
      <c r="H54" s="858"/>
      <c r="I54" s="858"/>
      <c r="J54" s="858"/>
      <c r="K54" s="858"/>
      <c r="L54" s="858"/>
      <c r="M54" s="858"/>
      <c r="N54" s="859"/>
      <c r="O54" s="859"/>
      <c r="P54" s="859"/>
      <c r="Q54" s="859"/>
      <c r="R54" s="787"/>
      <c r="S54" s="787"/>
      <c r="T54" s="787"/>
      <c r="AF54" s="245"/>
      <c r="AG54" s="246"/>
      <c r="AH54" s="246"/>
      <c r="AI54" s="246"/>
      <c r="AJ54" s="55"/>
      <c r="AK54" s="55"/>
      <c r="AL54" s="55"/>
    </row>
    <row r="55" spans="2:38" ht="11.25" customHeight="1" thickBot="1" x14ac:dyDescent="0.3"/>
    <row r="56" spans="2:38" ht="14.25" customHeight="1" x14ac:dyDescent="0.25">
      <c r="B56" s="790"/>
      <c r="C56" s="791"/>
      <c r="D56" s="791"/>
      <c r="E56" s="791"/>
      <c r="F56" s="791"/>
      <c r="G56" s="792"/>
      <c r="H56" s="793"/>
      <c r="I56" s="793"/>
      <c r="J56" s="793"/>
      <c r="K56" s="793"/>
      <c r="L56" s="793"/>
      <c r="M56" s="793"/>
      <c r="N56" s="793"/>
      <c r="O56" s="793"/>
      <c r="P56" s="793"/>
      <c r="Q56" s="793"/>
      <c r="R56" s="793"/>
      <c r="S56" s="793"/>
      <c r="T56" s="794"/>
    </row>
    <row r="57" spans="2:38" ht="18" customHeight="1" x14ac:dyDescent="0.25">
      <c r="B57" s="795"/>
      <c r="C57" s="796" t="s">
        <v>1746</v>
      </c>
      <c r="D57" s="796"/>
      <c r="E57" s="796"/>
      <c r="F57" s="797"/>
      <c r="G57" s="798"/>
      <c r="H57" s="799"/>
      <c r="I57" s="799"/>
      <c r="J57" s="799"/>
      <c r="K57" s="799"/>
      <c r="L57" s="799"/>
      <c r="M57" s="799"/>
      <c r="N57" s="799"/>
      <c r="O57" s="800"/>
      <c r="P57" s="800"/>
      <c r="Q57" s="800"/>
      <c r="R57" s="801"/>
      <c r="S57" s="799"/>
      <c r="T57" s="802"/>
    </row>
    <row r="58" spans="2:38" ht="17.25" customHeight="1" x14ac:dyDescent="0.25">
      <c r="B58" s="803"/>
      <c r="C58" s="804"/>
      <c r="D58" s="804"/>
      <c r="E58" s="804"/>
      <c r="F58" s="804"/>
      <c r="G58" s="804"/>
      <c r="H58" s="799"/>
      <c r="I58" s="799"/>
      <c r="J58" s="799"/>
      <c r="K58" s="799"/>
      <c r="L58" s="799"/>
      <c r="M58" s="799"/>
      <c r="N58" s="799"/>
      <c r="O58" s="799"/>
      <c r="P58" s="799"/>
      <c r="Q58" s="799"/>
      <c r="R58" s="799"/>
      <c r="S58" s="799"/>
      <c r="T58" s="802"/>
    </row>
    <row r="59" spans="2:38" ht="24" customHeight="1" x14ac:dyDescent="0.25">
      <c r="B59" s="805"/>
      <c r="C59" s="2805" t="s">
        <v>1708</v>
      </c>
      <c r="D59" s="2805"/>
      <c r="E59" s="2805"/>
      <c r="F59" s="2805"/>
      <c r="G59" s="2805"/>
      <c r="H59" s="2805"/>
      <c r="I59" s="2805"/>
      <c r="J59" s="2805"/>
      <c r="K59" s="2805"/>
      <c r="L59" s="2805"/>
      <c r="M59" s="2805"/>
      <c r="N59" s="2805"/>
      <c r="O59" s="2805"/>
      <c r="P59" s="2805"/>
      <c r="Q59" s="2805"/>
      <c r="R59" s="2805"/>
      <c r="S59" s="806"/>
      <c r="T59" s="807"/>
    </row>
    <row r="60" spans="2:38" ht="7.5" customHeight="1" x14ac:dyDescent="0.25">
      <c r="B60" s="805"/>
      <c r="C60" s="813"/>
      <c r="D60" s="813"/>
      <c r="E60" s="813"/>
      <c r="F60" s="813"/>
      <c r="G60" s="813"/>
      <c r="H60" s="813"/>
      <c r="I60" s="813"/>
      <c r="J60" s="813"/>
      <c r="K60" s="813"/>
      <c r="L60" s="813"/>
      <c r="M60" s="813"/>
      <c r="N60" s="813"/>
      <c r="O60" s="813"/>
      <c r="P60" s="813"/>
      <c r="Q60" s="813"/>
      <c r="R60" s="813"/>
      <c r="S60" s="806"/>
      <c r="T60" s="807"/>
    </row>
    <row r="61" spans="2:38" ht="15" customHeight="1" x14ac:dyDescent="0.25">
      <c r="B61" s="805"/>
      <c r="C61" s="799"/>
      <c r="D61" s="799"/>
      <c r="E61" s="799"/>
      <c r="F61" s="2803" t="s">
        <v>1704</v>
      </c>
      <c r="G61" s="2804"/>
      <c r="H61" s="2804"/>
      <c r="I61" s="2804"/>
      <c r="J61" s="822"/>
      <c r="K61" s="822"/>
      <c r="L61" s="799"/>
      <c r="M61" s="799"/>
      <c r="N61" s="799"/>
      <c r="O61" s="799"/>
      <c r="P61" s="799"/>
      <c r="Q61" s="799"/>
      <c r="R61" s="799"/>
      <c r="S61" s="806"/>
      <c r="T61" s="807"/>
    </row>
    <row r="62" spans="2:38" ht="15" customHeight="1" x14ac:dyDescent="0.25">
      <c r="B62" s="805"/>
      <c r="C62" s="799"/>
      <c r="D62" s="799"/>
      <c r="E62" s="799"/>
      <c r="F62" s="2803" t="s">
        <v>1705</v>
      </c>
      <c r="G62" s="2804"/>
      <c r="H62" s="2804"/>
      <c r="I62" s="2804"/>
      <c r="J62" s="2822" t="s">
        <v>1701</v>
      </c>
      <c r="K62" s="2822"/>
      <c r="L62" s="2822"/>
      <c r="M62" s="2822"/>
      <c r="N62" s="822"/>
      <c r="O62" s="822"/>
      <c r="P62" s="799"/>
      <c r="Q62" s="799"/>
      <c r="R62" s="799"/>
      <c r="S62" s="806"/>
      <c r="T62" s="807"/>
    </row>
    <row r="63" spans="2:38" ht="15" customHeight="1" x14ac:dyDescent="0.25">
      <c r="B63" s="805"/>
      <c r="C63" s="799"/>
      <c r="D63" s="799"/>
      <c r="E63" s="799"/>
      <c r="F63" s="2803" t="s">
        <v>1706</v>
      </c>
      <c r="G63" s="2804"/>
      <c r="H63" s="2804"/>
      <c r="I63" s="2804"/>
      <c r="J63" s="2822"/>
      <c r="K63" s="2822"/>
      <c r="L63" s="2822"/>
      <c r="M63" s="2822"/>
      <c r="N63" s="822"/>
      <c r="O63" s="822"/>
      <c r="P63" s="799"/>
      <c r="Q63" s="799"/>
      <c r="R63" s="799"/>
      <c r="S63" s="806"/>
      <c r="T63" s="807"/>
    </row>
    <row r="64" spans="2:38" ht="15" customHeight="1" x14ac:dyDescent="0.25">
      <c r="B64" s="805"/>
      <c r="C64" s="799"/>
      <c r="D64" s="799"/>
      <c r="E64" s="799"/>
      <c r="F64" s="2803" t="s">
        <v>1740</v>
      </c>
      <c r="G64" s="2804"/>
      <c r="H64" s="2804"/>
      <c r="I64" s="2804"/>
      <c r="J64" s="2822"/>
      <c r="K64" s="2822"/>
      <c r="L64" s="2822"/>
      <c r="M64" s="2822"/>
      <c r="N64" s="822"/>
      <c r="O64" s="822"/>
      <c r="P64" s="799"/>
      <c r="Q64" s="799"/>
      <c r="R64" s="799"/>
      <c r="S64" s="806"/>
      <c r="T64" s="807"/>
    </row>
    <row r="65" spans="2:20" ht="15" customHeight="1" x14ac:dyDescent="0.25">
      <c r="B65" s="805"/>
      <c r="C65" s="799"/>
      <c r="D65" s="799"/>
      <c r="E65" s="799"/>
      <c r="F65" s="2812" t="s">
        <v>1707</v>
      </c>
      <c r="G65" s="2813"/>
      <c r="H65" s="2813"/>
      <c r="I65" s="2813"/>
      <c r="J65" s="822"/>
      <c r="K65" s="822"/>
      <c r="L65" s="822"/>
      <c r="M65" s="822"/>
      <c r="N65" s="822"/>
      <c r="O65" s="822"/>
      <c r="P65" s="799"/>
      <c r="Q65" s="799"/>
      <c r="R65" s="799"/>
      <c r="S65" s="806"/>
      <c r="T65" s="807"/>
    </row>
    <row r="66" spans="2:20" ht="15" customHeight="1" x14ac:dyDescent="0.25">
      <c r="B66" s="805"/>
      <c r="C66" s="799"/>
      <c r="D66" s="799"/>
      <c r="E66" s="799"/>
      <c r="F66" s="2803" t="s">
        <v>1741</v>
      </c>
      <c r="G66" s="2804"/>
      <c r="H66" s="2804"/>
      <c r="I66" s="2804"/>
      <c r="J66" s="822"/>
      <c r="K66" s="822"/>
      <c r="L66" s="822"/>
      <c r="M66" s="822"/>
      <c r="N66" s="799"/>
      <c r="O66" s="799"/>
      <c r="P66" s="799"/>
      <c r="Q66" s="799"/>
      <c r="R66" s="799"/>
      <c r="S66" s="806"/>
      <c r="T66" s="807"/>
    </row>
    <row r="67" spans="2:20" ht="20.25" customHeight="1" x14ac:dyDescent="0.25">
      <c r="B67" s="805"/>
      <c r="C67" s="820"/>
      <c r="D67" s="820"/>
      <c r="E67" s="820"/>
      <c r="F67" s="820"/>
      <c r="G67" s="820"/>
      <c r="H67" s="822"/>
      <c r="I67" s="822"/>
      <c r="J67" s="822"/>
      <c r="K67" s="822"/>
      <c r="L67" s="799"/>
      <c r="M67" s="799"/>
      <c r="N67" s="799"/>
      <c r="O67" s="813"/>
      <c r="P67" s="813"/>
      <c r="Q67" s="813"/>
      <c r="R67" s="813"/>
      <c r="S67" s="806"/>
      <c r="T67" s="807"/>
    </row>
    <row r="68" spans="2:20" ht="34.5" customHeight="1" x14ac:dyDescent="0.25">
      <c r="B68" s="805"/>
      <c r="C68" s="2805" t="s">
        <v>1700</v>
      </c>
      <c r="D68" s="2805"/>
      <c r="E68" s="2805"/>
      <c r="F68" s="2805"/>
      <c r="G68" s="2805"/>
      <c r="H68" s="2805"/>
      <c r="I68" s="2805"/>
      <c r="J68" s="2805"/>
      <c r="K68" s="2805"/>
      <c r="L68" s="2805"/>
      <c r="M68" s="2805"/>
      <c r="N68" s="2805"/>
      <c r="O68" s="2805"/>
      <c r="P68" s="2805"/>
      <c r="Q68" s="2805"/>
      <c r="R68" s="2805"/>
      <c r="S68" s="806"/>
      <c r="T68" s="807"/>
    </row>
    <row r="69" spans="2:20" ht="7.5" customHeight="1" x14ac:dyDescent="0.25">
      <c r="B69" s="805"/>
      <c r="C69" s="813"/>
      <c r="D69" s="813"/>
      <c r="E69" s="813"/>
      <c r="F69" s="813"/>
      <c r="G69" s="813"/>
      <c r="H69" s="813"/>
      <c r="I69" s="813"/>
      <c r="J69" s="813"/>
      <c r="K69" s="813"/>
      <c r="L69" s="813"/>
      <c r="M69" s="813"/>
      <c r="N69" s="813"/>
      <c r="O69" s="813"/>
      <c r="P69" s="813"/>
      <c r="Q69" s="813"/>
      <c r="R69" s="813"/>
      <c r="S69" s="806"/>
      <c r="T69" s="807"/>
    </row>
    <row r="70" spans="2:20" ht="15" customHeight="1" x14ac:dyDescent="0.25">
      <c r="B70" s="805"/>
      <c r="C70" s="799"/>
      <c r="D70" s="799"/>
      <c r="E70" s="799"/>
      <c r="F70" s="2803" t="s">
        <v>1702</v>
      </c>
      <c r="G70" s="2804"/>
      <c r="H70" s="2804"/>
      <c r="I70" s="822"/>
      <c r="J70" s="822"/>
      <c r="K70" s="822"/>
      <c r="L70" s="799"/>
      <c r="M70" s="799"/>
      <c r="N70" s="799"/>
      <c r="O70" s="799"/>
      <c r="P70" s="799"/>
      <c r="Q70" s="799"/>
      <c r="R70" s="799"/>
      <c r="S70" s="806"/>
      <c r="T70" s="807"/>
    </row>
    <row r="71" spans="2:20" ht="15" customHeight="1" x14ac:dyDescent="0.25">
      <c r="B71" s="805"/>
      <c r="C71" s="799"/>
      <c r="D71" s="799"/>
      <c r="E71" s="799"/>
      <c r="F71" s="2803" t="s">
        <v>240</v>
      </c>
      <c r="G71" s="2804"/>
      <c r="H71" s="2804"/>
      <c r="I71" s="799"/>
      <c r="J71" s="2822" t="s">
        <v>1701</v>
      </c>
      <c r="K71" s="2822"/>
      <c r="L71" s="2822"/>
      <c r="M71" s="2822"/>
      <c r="N71" s="822"/>
      <c r="O71" s="822"/>
      <c r="P71" s="799"/>
      <c r="Q71" s="799"/>
      <c r="R71" s="799"/>
      <c r="S71" s="806"/>
      <c r="T71" s="807"/>
    </row>
    <row r="72" spans="2:20" ht="15" customHeight="1" x14ac:dyDescent="0.25">
      <c r="B72" s="805"/>
      <c r="C72" s="799"/>
      <c r="D72" s="799"/>
      <c r="E72" s="799"/>
      <c r="F72" s="2803" t="s">
        <v>241</v>
      </c>
      <c r="G72" s="2804"/>
      <c r="H72" s="2804"/>
      <c r="I72" s="799"/>
      <c r="J72" s="2822"/>
      <c r="K72" s="2822"/>
      <c r="L72" s="2822"/>
      <c r="M72" s="2822"/>
      <c r="N72" s="822"/>
      <c r="O72" s="822"/>
      <c r="P72" s="799"/>
      <c r="Q72" s="799"/>
      <c r="R72" s="799"/>
      <c r="S72" s="806"/>
      <c r="T72" s="807"/>
    </row>
    <row r="73" spans="2:20" ht="15" customHeight="1" x14ac:dyDescent="0.25">
      <c r="B73" s="805"/>
      <c r="C73" s="799"/>
      <c r="D73" s="799"/>
      <c r="E73" s="799"/>
      <c r="F73" s="2803" t="s">
        <v>2336</v>
      </c>
      <c r="G73" s="2804"/>
      <c r="H73" s="2804"/>
      <c r="I73" s="799"/>
      <c r="J73" s="2822"/>
      <c r="K73" s="2822"/>
      <c r="L73" s="2822"/>
      <c r="M73" s="2822"/>
      <c r="N73" s="822"/>
      <c r="O73" s="822"/>
      <c r="P73" s="799"/>
      <c r="Q73" s="799"/>
      <c r="R73" s="799"/>
      <c r="S73" s="806"/>
      <c r="T73" s="807"/>
    </row>
    <row r="74" spans="2:20" ht="15" customHeight="1" x14ac:dyDescent="0.25">
      <c r="B74" s="805"/>
      <c r="C74" s="799"/>
      <c r="D74" s="799"/>
      <c r="E74" s="799"/>
      <c r="F74" s="2812" t="s">
        <v>242</v>
      </c>
      <c r="G74" s="2813"/>
      <c r="H74" s="2813"/>
      <c r="I74" s="2813"/>
      <c r="J74" s="822"/>
      <c r="K74" s="822"/>
      <c r="L74" s="822"/>
      <c r="M74" s="822"/>
      <c r="N74" s="822"/>
      <c r="O74" s="822"/>
      <c r="P74" s="799"/>
      <c r="Q74" s="799"/>
      <c r="R74" s="799"/>
      <c r="S74" s="806"/>
      <c r="T74" s="807"/>
    </row>
    <row r="75" spans="2:20" ht="15" customHeight="1" x14ac:dyDescent="0.25">
      <c r="B75" s="805"/>
      <c r="C75" s="799"/>
      <c r="D75" s="799"/>
      <c r="E75" s="799"/>
      <c r="F75" s="2803" t="s">
        <v>243</v>
      </c>
      <c r="G75" s="2804"/>
      <c r="H75" s="2804"/>
      <c r="I75" s="822"/>
      <c r="J75" s="799"/>
      <c r="K75" s="799"/>
      <c r="L75" s="799"/>
      <c r="M75" s="799"/>
      <c r="N75" s="799"/>
      <c r="O75" s="799"/>
      <c r="P75" s="799"/>
      <c r="Q75" s="799"/>
      <c r="R75" s="799"/>
      <c r="S75" s="806"/>
      <c r="T75" s="807"/>
    </row>
    <row r="76" spans="2:20" ht="15" customHeight="1" x14ac:dyDescent="0.25">
      <c r="B76" s="805"/>
      <c r="C76" s="799"/>
      <c r="D76" s="799"/>
      <c r="E76" s="799"/>
      <c r="F76" s="2803" t="s">
        <v>244</v>
      </c>
      <c r="G76" s="2804"/>
      <c r="H76" s="2804"/>
      <c r="I76" s="822"/>
      <c r="J76" s="799"/>
      <c r="K76" s="799"/>
      <c r="L76" s="799"/>
      <c r="M76" s="799"/>
      <c r="N76" s="799"/>
      <c r="O76" s="799"/>
      <c r="P76" s="799"/>
      <c r="Q76" s="799"/>
      <c r="R76" s="799"/>
      <c r="S76" s="806"/>
      <c r="T76" s="807"/>
    </row>
    <row r="77" spans="2:20" ht="15" customHeight="1" x14ac:dyDescent="0.25">
      <c r="B77" s="805"/>
      <c r="C77" s="799"/>
      <c r="D77" s="799"/>
      <c r="E77" s="799"/>
      <c r="F77" s="2803" t="s">
        <v>1703</v>
      </c>
      <c r="G77" s="2804"/>
      <c r="H77" s="2804"/>
      <c r="I77" s="822"/>
      <c r="J77" s="822"/>
      <c r="K77" s="822"/>
      <c r="L77" s="799"/>
      <c r="M77" s="799"/>
      <c r="N77" s="799"/>
      <c r="O77" s="799"/>
      <c r="P77" s="799"/>
      <c r="Q77" s="799"/>
      <c r="R77" s="799"/>
      <c r="S77" s="806"/>
      <c r="T77" s="807"/>
    </row>
    <row r="78" spans="2:20" ht="12" customHeight="1" x14ac:dyDescent="0.25">
      <c r="B78" s="805"/>
      <c r="C78" s="820"/>
      <c r="D78" s="820"/>
      <c r="E78" s="820"/>
      <c r="F78" s="820"/>
      <c r="G78" s="820"/>
      <c r="H78" s="822"/>
      <c r="I78" s="822"/>
      <c r="J78" s="822"/>
      <c r="K78" s="822"/>
      <c r="L78" s="799"/>
      <c r="M78" s="799"/>
      <c r="N78" s="799"/>
      <c r="O78" s="813"/>
      <c r="P78" s="813"/>
      <c r="Q78" s="813"/>
      <c r="R78" s="813"/>
      <c r="S78" s="806"/>
      <c r="T78" s="807"/>
    </row>
    <row r="79" spans="2:20" ht="69.75" customHeight="1" x14ac:dyDescent="0.25">
      <c r="B79" s="805"/>
      <c r="C79" s="2823" t="s">
        <v>1699</v>
      </c>
      <c r="D79" s="2824"/>
      <c r="E79" s="2824"/>
      <c r="F79" s="2824"/>
      <c r="G79" s="2824"/>
      <c r="H79" s="2824"/>
      <c r="I79" s="2824"/>
      <c r="J79" s="2824"/>
      <c r="K79" s="2824"/>
      <c r="L79" s="2824"/>
      <c r="M79" s="2824"/>
      <c r="N79" s="2824"/>
      <c r="O79" s="2824"/>
      <c r="P79" s="2824"/>
      <c r="Q79" s="2824"/>
      <c r="R79" s="2824"/>
      <c r="S79" s="806"/>
      <c r="T79" s="807"/>
    </row>
    <row r="80" spans="2:20" ht="12" customHeight="1" x14ac:dyDescent="0.25">
      <c r="B80" s="805"/>
      <c r="C80" s="820"/>
      <c r="D80" s="820"/>
      <c r="E80" s="820"/>
      <c r="F80" s="820"/>
      <c r="G80" s="820"/>
      <c r="H80" s="822"/>
      <c r="I80" s="822"/>
      <c r="J80" s="822"/>
      <c r="K80" s="822"/>
      <c r="L80" s="799"/>
      <c r="M80" s="799"/>
      <c r="N80" s="799"/>
      <c r="O80" s="813"/>
      <c r="P80" s="813"/>
      <c r="Q80" s="813"/>
      <c r="R80" s="813"/>
      <c r="S80" s="806"/>
      <c r="T80" s="807"/>
    </row>
    <row r="81" spans="2:20" ht="45" customHeight="1" x14ac:dyDescent="0.25">
      <c r="B81" s="805"/>
      <c r="C81" s="2805" t="s">
        <v>1709</v>
      </c>
      <c r="D81" s="2805"/>
      <c r="E81" s="2805"/>
      <c r="F81" s="2805"/>
      <c r="G81" s="2805"/>
      <c r="H81" s="2805"/>
      <c r="I81" s="2805"/>
      <c r="J81" s="2805"/>
      <c r="K81" s="2805"/>
      <c r="L81" s="2805"/>
      <c r="M81" s="2805"/>
      <c r="N81" s="2805"/>
      <c r="O81" s="2805"/>
      <c r="P81" s="2805"/>
      <c r="Q81" s="2805"/>
      <c r="R81" s="2805"/>
      <c r="S81" s="2805"/>
      <c r="T81" s="807"/>
    </row>
    <row r="82" spans="2:20" ht="14.25" customHeight="1" x14ac:dyDescent="0.25">
      <c r="B82" s="805"/>
      <c r="C82" s="823"/>
      <c r="D82" s="823"/>
      <c r="E82" s="806"/>
      <c r="F82" s="806"/>
      <c r="G82" s="806"/>
      <c r="H82" s="806"/>
      <c r="I82" s="806"/>
      <c r="J82" s="806"/>
      <c r="K82" s="806"/>
      <c r="L82" s="806"/>
      <c r="M82" s="806"/>
      <c r="N82" s="806"/>
      <c r="O82" s="806"/>
      <c r="P82" s="806"/>
      <c r="Q82" s="806"/>
      <c r="R82" s="971"/>
      <c r="S82" s="806"/>
      <c r="T82" s="802"/>
    </row>
    <row r="83" spans="2:20" ht="9" customHeight="1" x14ac:dyDescent="0.25">
      <c r="B83" s="805"/>
      <c r="C83" s="264"/>
      <c r="D83" s="265"/>
      <c r="E83" s="266"/>
      <c r="F83" s="266"/>
      <c r="G83" s="266"/>
      <c r="H83" s="266"/>
      <c r="I83" s="266"/>
      <c r="J83" s="266"/>
      <c r="K83" s="266"/>
      <c r="L83" s="266"/>
      <c r="M83" s="266"/>
      <c r="N83" s="266"/>
      <c r="O83" s="266"/>
      <c r="P83" s="266"/>
      <c r="Q83" s="266"/>
      <c r="R83" s="266"/>
      <c r="S83" s="267"/>
      <c r="T83" s="802"/>
    </row>
    <row r="84" spans="2:20" ht="16.5" customHeight="1" x14ac:dyDescent="0.25">
      <c r="B84" s="805"/>
      <c r="C84" s="966" t="s">
        <v>1625</v>
      </c>
      <c r="D84" s="967"/>
      <c r="E84" s="968"/>
      <c r="F84" s="968"/>
      <c r="G84" s="338" t="s">
        <v>13</v>
      </c>
      <c r="H84" s="339" t="s">
        <v>1849</v>
      </c>
      <c r="I84" s="340"/>
      <c r="J84" s="341"/>
      <c r="K84" s="341"/>
      <c r="L84" s="341"/>
      <c r="M84" s="341"/>
      <c r="N84" s="341"/>
      <c r="O84" s="341"/>
      <c r="P84" s="341"/>
      <c r="Q84" s="341"/>
      <c r="R84" s="341"/>
      <c r="S84" s="272"/>
      <c r="T84" s="802"/>
    </row>
    <row r="85" spans="2:20" ht="16.5" customHeight="1" x14ac:dyDescent="0.25">
      <c r="B85" s="805"/>
      <c r="C85" s="969" t="s">
        <v>1561</v>
      </c>
      <c r="D85" s="970"/>
      <c r="E85" s="968"/>
      <c r="F85" s="968"/>
      <c r="G85" s="205" t="s">
        <v>19</v>
      </c>
      <c r="H85" s="342" t="s">
        <v>1850</v>
      </c>
      <c r="I85" s="343"/>
      <c r="J85" s="344"/>
      <c r="K85" s="344"/>
      <c r="L85" s="344"/>
      <c r="M85" s="344"/>
      <c r="N85" s="344"/>
      <c r="O85" s="344"/>
      <c r="P85" s="344"/>
      <c r="Q85" s="344"/>
      <c r="R85" s="344"/>
      <c r="S85" s="272"/>
      <c r="T85" s="802"/>
    </row>
    <row r="86" spans="2:20" ht="16.5" customHeight="1" x14ac:dyDescent="0.25">
      <c r="B86" s="805"/>
      <c r="C86" s="308"/>
      <c r="D86" s="309"/>
      <c r="G86" s="202" t="s">
        <v>17</v>
      </c>
      <c r="H86" s="342" t="s">
        <v>1627</v>
      </c>
      <c r="I86" s="343"/>
      <c r="J86" s="344"/>
      <c r="K86" s="344"/>
      <c r="L86" s="344"/>
      <c r="M86" s="344"/>
      <c r="N86" s="344"/>
      <c r="O86" s="344"/>
      <c r="P86" s="344"/>
      <c r="Q86" s="344"/>
      <c r="R86" s="344"/>
      <c r="S86" s="272"/>
      <c r="T86" s="802"/>
    </row>
    <row r="87" spans="2:20" ht="16.5" customHeight="1" x14ac:dyDescent="0.25">
      <c r="B87" s="805"/>
      <c r="C87" s="308"/>
      <c r="D87" s="309"/>
      <c r="G87" s="198" t="s">
        <v>14</v>
      </c>
      <c r="H87" s="342" t="s">
        <v>1628</v>
      </c>
      <c r="I87" s="343"/>
      <c r="J87" s="344"/>
      <c r="K87" s="344"/>
      <c r="L87" s="344"/>
      <c r="M87" s="344"/>
      <c r="N87" s="344"/>
      <c r="O87" s="344"/>
      <c r="P87" s="344"/>
      <c r="Q87" s="344"/>
      <c r="R87" s="344"/>
      <c r="S87" s="272"/>
      <c r="T87" s="802"/>
    </row>
    <row r="88" spans="2:20" ht="16.5" customHeight="1" x14ac:dyDescent="0.25">
      <c r="B88" s="805"/>
      <c r="C88" s="308"/>
      <c r="D88" s="309"/>
      <c r="G88" s="195" t="s">
        <v>21</v>
      </c>
      <c r="H88" s="342" t="s">
        <v>1629</v>
      </c>
      <c r="I88" s="343"/>
      <c r="J88" s="344"/>
      <c r="K88" s="344"/>
      <c r="L88" s="344"/>
      <c r="M88" s="344"/>
      <c r="N88" s="344"/>
      <c r="O88" s="344"/>
      <c r="P88" s="344"/>
      <c r="Q88" s="344"/>
      <c r="R88" s="344"/>
      <c r="S88" s="272"/>
      <c r="T88" s="802"/>
    </row>
    <row r="89" spans="2:20" ht="9.75" customHeight="1" x14ac:dyDescent="0.25">
      <c r="B89" s="805"/>
      <c r="C89" s="310"/>
      <c r="D89" s="311"/>
      <c r="E89" s="277"/>
      <c r="F89" s="345"/>
      <c r="G89" s="346"/>
      <c r="H89" s="277"/>
      <c r="I89" s="312"/>
      <c r="J89" s="312"/>
      <c r="K89" s="312"/>
      <c r="L89" s="312"/>
      <c r="M89" s="312"/>
      <c r="N89" s="312"/>
      <c r="O89" s="312"/>
      <c r="P89" s="312"/>
      <c r="Q89" s="312"/>
      <c r="R89" s="312"/>
      <c r="S89" s="313"/>
      <c r="T89" s="802"/>
    </row>
    <row r="90" spans="2:20" ht="12.75" customHeight="1" x14ac:dyDescent="0.25">
      <c r="B90" s="805"/>
      <c r="C90" s="823"/>
      <c r="D90" s="823"/>
      <c r="E90" s="806"/>
      <c r="F90" s="806"/>
      <c r="G90" s="806"/>
      <c r="H90" s="806"/>
      <c r="I90" s="806"/>
      <c r="J90" s="806"/>
      <c r="K90" s="806"/>
      <c r="L90" s="806"/>
      <c r="M90" s="806"/>
      <c r="N90" s="806"/>
      <c r="O90" s="806"/>
      <c r="P90" s="806"/>
      <c r="Q90" s="806"/>
      <c r="R90" s="971"/>
      <c r="S90" s="806"/>
      <c r="T90" s="802"/>
    </row>
    <row r="91" spans="2:20" ht="9" customHeight="1" x14ac:dyDescent="0.25">
      <c r="B91" s="805"/>
      <c r="C91" s="264"/>
      <c r="D91" s="265"/>
      <c r="E91" s="266"/>
      <c r="F91" s="266"/>
      <c r="G91" s="266"/>
      <c r="H91" s="266"/>
      <c r="I91" s="266"/>
      <c r="J91" s="266"/>
      <c r="K91" s="266"/>
      <c r="L91" s="266"/>
      <c r="M91" s="266"/>
      <c r="N91" s="266"/>
      <c r="O91" s="266"/>
      <c r="P91" s="266"/>
      <c r="Q91" s="266"/>
      <c r="R91" s="266"/>
      <c r="S91" s="267"/>
      <c r="T91" s="802"/>
    </row>
    <row r="92" spans="2:20" ht="16.5" customHeight="1" x14ac:dyDescent="0.25">
      <c r="B92" s="805"/>
      <c r="C92" s="966" t="s">
        <v>1625</v>
      </c>
      <c r="D92" s="967"/>
      <c r="E92" s="968"/>
      <c r="F92" s="968"/>
      <c r="G92" s="206" t="s">
        <v>16</v>
      </c>
      <c r="H92" s="351" t="s">
        <v>146</v>
      </c>
      <c r="I92" s="353"/>
      <c r="J92" s="353"/>
      <c r="K92" s="353"/>
      <c r="L92" s="353"/>
      <c r="M92" s="353"/>
      <c r="N92" s="353"/>
      <c r="O92" s="353"/>
      <c r="P92" s="353"/>
      <c r="Q92" s="353"/>
      <c r="R92" s="353"/>
      <c r="S92" s="272"/>
      <c r="T92" s="802"/>
    </row>
    <row r="93" spans="2:20" ht="16.5" customHeight="1" x14ac:dyDescent="0.25">
      <c r="B93" s="805"/>
      <c r="C93" s="969" t="s">
        <v>1562</v>
      </c>
      <c r="D93" s="970"/>
      <c r="E93" s="968"/>
      <c r="F93" s="968"/>
      <c r="G93" s="203" t="s">
        <v>15</v>
      </c>
      <c r="H93" s="354" t="s">
        <v>147</v>
      </c>
      <c r="I93" s="356"/>
      <c r="J93" s="356"/>
      <c r="K93" s="356"/>
      <c r="L93" s="356"/>
      <c r="M93" s="356"/>
      <c r="N93" s="356"/>
      <c r="O93" s="356"/>
      <c r="P93" s="356"/>
      <c r="Q93" s="356"/>
      <c r="R93" s="356"/>
      <c r="S93" s="272"/>
      <c r="T93" s="802"/>
    </row>
    <row r="94" spans="2:20" ht="16.5" customHeight="1" x14ac:dyDescent="0.25">
      <c r="B94" s="805"/>
      <c r="C94" s="308"/>
      <c r="D94" s="309"/>
      <c r="G94" s="199" t="s">
        <v>18</v>
      </c>
      <c r="H94" s="354" t="s">
        <v>148</v>
      </c>
      <c r="I94" s="356"/>
      <c r="J94" s="356"/>
      <c r="K94" s="356"/>
      <c r="L94" s="356"/>
      <c r="M94" s="356"/>
      <c r="N94" s="356"/>
      <c r="O94" s="356"/>
      <c r="P94" s="356"/>
      <c r="Q94" s="356"/>
      <c r="R94" s="356"/>
      <c r="S94" s="272"/>
      <c r="T94" s="802"/>
    </row>
    <row r="95" spans="2:20" ht="16.5" customHeight="1" x14ac:dyDescent="0.25">
      <c r="B95" s="805"/>
      <c r="C95" s="308"/>
      <c r="D95" s="309"/>
      <c r="G95" s="196" t="s">
        <v>20</v>
      </c>
      <c r="H95" s="354" t="s">
        <v>1586</v>
      </c>
      <c r="I95" s="356"/>
      <c r="J95" s="356"/>
      <c r="K95" s="356"/>
      <c r="L95" s="356"/>
      <c r="M95" s="356"/>
      <c r="N95" s="356"/>
      <c r="O95" s="356"/>
      <c r="P95" s="356"/>
      <c r="Q95" s="356"/>
      <c r="R95" s="356"/>
      <c r="S95" s="272"/>
      <c r="T95" s="802"/>
    </row>
    <row r="96" spans="2:20" ht="16.5" customHeight="1" x14ac:dyDescent="0.25">
      <c r="B96" s="805"/>
      <c r="C96" s="308"/>
      <c r="D96" s="309"/>
      <c r="G96" s="194" t="s">
        <v>22</v>
      </c>
      <c r="H96" s="354" t="s">
        <v>149</v>
      </c>
      <c r="I96" s="356"/>
      <c r="J96" s="356"/>
      <c r="K96" s="356"/>
      <c r="L96" s="356"/>
      <c r="M96" s="356"/>
      <c r="N96" s="356"/>
      <c r="O96" s="356"/>
      <c r="P96" s="356"/>
      <c r="Q96" s="356"/>
      <c r="R96" s="356"/>
      <c r="S96" s="272"/>
      <c r="T96" s="802"/>
    </row>
    <row r="97" spans="2:20" ht="9.75" customHeight="1" x14ac:dyDescent="0.25">
      <c r="B97" s="805"/>
      <c r="C97" s="310"/>
      <c r="D97" s="311"/>
      <c r="E97" s="277"/>
      <c r="F97" s="345"/>
      <c r="G97" s="346"/>
      <c r="H97" s="277"/>
      <c r="I97" s="312"/>
      <c r="J97" s="312"/>
      <c r="K97" s="312"/>
      <c r="L97" s="312"/>
      <c r="M97" s="312"/>
      <c r="N97" s="312"/>
      <c r="O97" s="312"/>
      <c r="P97" s="312"/>
      <c r="Q97" s="312"/>
      <c r="R97" s="312"/>
      <c r="S97" s="313"/>
      <c r="T97" s="802"/>
    </row>
    <row r="98" spans="2:20" ht="22.5" customHeight="1" thickBot="1" x14ac:dyDescent="0.3">
      <c r="B98" s="824"/>
      <c r="C98" s="839"/>
      <c r="D98" s="839"/>
      <c r="E98" s="841"/>
      <c r="F98" s="841"/>
      <c r="G98" s="841"/>
      <c r="H98" s="841"/>
      <c r="I98" s="841"/>
      <c r="J98" s="841"/>
      <c r="K98" s="841"/>
      <c r="L98" s="841"/>
      <c r="M98" s="841"/>
      <c r="N98" s="841"/>
      <c r="O98" s="841"/>
      <c r="P98" s="841"/>
      <c r="Q98" s="841"/>
      <c r="R98" s="972"/>
      <c r="S98" s="841"/>
      <c r="T98" s="811"/>
    </row>
    <row r="99" spans="2:20" ht="28.5" customHeight="1" thickBot="1" x14ac:dyDescent="0.3"/>
    <row r="100" spans="2:20" ht="14.25" customHeight="1" x14ac:dyDescent="0.25">
      <c r="B100" s="790"/>
      <c r="C100" s="791"/>
      <c r="D100" s="791"/>
      <c r="E100" s="791"/>
      <c r="F100" s="791"/>
      <c r="G100" s="792"/>
      <c r="H100" s="793"/>
      <c r="I100" s="793"/>
      <c r="J100" s="793"/>
      <c r="K100" s="793"/>
      <c r="L100" s="793"/>
      <c r="M100" s="793"/>
      <c r="N100" s="793"/>
      <c r="O100" s="793"/>
      <c r="P100" s="793"/>
      <c r="Q100" s="793"/>
      <c r="R100" s="793"/>
      <c r="S100" s="793"/>
      <c r="T100" s="794"/>
    </row>
    <row r="101" spans="2:20" ht="18" customHeight="1" x14ac:dyDescent="0.25">
      <c r="B101" s="795"/>
      <c r="C101" s="796" t="s">
        <v>1500</v>
      </c>
      <c r="D101" s="796"/>
      <c r="E101" s="796"/>
      <c r="F101" s="797"/>
      <c r="G101" s="798"/>
      <c r="H101" s="799"/>
      <c r="I101" s="799"/>
      <c r="J101" s="799"/>
      <c r="K101" s="799"/>
      <c r="L101" s="799"/>
      <c r="M101" s="799"/>
      <c r="N101" s="799"/>
      <c r="O101" s="800"/>
      <c r="P101" s="800"/>
      <c r="Q101" s="800"/>
      <c r="R101" s="801"/>
      <c r="S101" s="799"/>
      <c r="T101" s="802"/>
    </row>
    <row r="102" spans="2:20" ht="12" customHeight="1" x14ac:dyDescent="0.25">
      <c r="B102" s="803"/>
      <c r="C102" s="804"/>
      <c r="D102" s="804"/>
      <c r="E102" s="804"/>
      <c r="F102" s="804"/>
      <c r="G102" s="804"/>
      <c r="H102" s="799"/>
      <c r="I102" s="799"/>
      <c r="J102" s="799"/>
      <c r="K102" s="799"/>
      <c r="L102" s="799"/>
      <c r="M102" s="799"/>
      <c r="N102" s="799"/>
      <c r="O102" s="799"/>
      <c r="P102" s="799"/>
      <c r="Q102" s="799"/>
      <c r="R102" s="799"/>
      <c r="S102" s="799"/>
      <c r="T102" s="802"/>
    </row>
    <row r="103" spans="2:20" ht="20.25" customHeight="1" x14ac:dyDescent="0.25">
      <c r="B103" s="805"/>
      <c r="C103" s="2805" t="s">
        <v>1503</v>
      </c>
      <c r="D103" s="2805"/>
      <c r="E103" s="2805"/>
      <c r="F103" s="2805"/>
      <c r="G103" s="2805"/>
      <c r="H103" s="2805"/>
      <c r="I103" s="2805"/>
      <c r="J103" s="2805"/>
      <c r="K103" s="2805"/>
      <c r="L103" s="2805"/>
      <c r="M103" s="2805"/>
      <c r="N103" s="2805"/>
      <c r="O103" s="2805"/>
      <c r="P103" s="2805"/>
      <c r="Q103" s="2805"/>
      <c r="R103" s="2805"/>
      <c r="S103" s="806"/>
      <c r="T103" s="807"/>
    </row>
    <row r="104" spans="2:20" ht="7.5" customHeight="1" x14ac:dyDescent="0.25">
      <c r="B104" s="805"/>
      <c r="C104" s="813"/>
      <c r="D104" s="813"/>
      <c r="E104" s="813"/>
      <c r="F104" s="813"/>
      <c r="G104" s="813"/>
      <c r="H104" s="813"/>
      <c r="I104" s="813"/>
      <c r="J104" s="813"/>
      <c r="K104" s="813"/>
      <c r="L104" s="813"/>
      <c r="M104" s="813"/>
      <c r="N104" s="813"/>
      <c r="O104" s="813"/>
      <c r="P104" s="813"/>
      <c r="Q104" s="813"/>
      <c r="R104" s="813"/>
      <c r="S104" s="806"/>
      <c r="T104" s="807"/>
    </row>
    <row r="105" spans="2:20" ht="15.75" customHeight="1" x14ac:dyDescent="0.25">
      <c r="B105" s="805"/>
      <c r="C105" s="799"/>
      <c r="D105" s="799"/>
      <c r="E105" s="799"/>
      <c r="F105" s="826" t="s">
        <v>1463</v>
      </c>
      <c r="G105" s="500"/>
      <c r="H105" s="2818" t="s">
        <v>1435</v>
      </c>
      <c r="I105" s="2800"/>
      <c r="J105" s="2800"/>
      <c r="K105" s="2800"/>
      <c r="L105" s="2800"/>
      <c r="M105" s="2800"/>
      <c r="N105" s="2800"/>
      <c r="O105" s="2800"/>
      <c r="P105" s="2800"/>
      <c r="Q105" s="2800"/>
      <c r="R105" s="2800"/>
      <c r="S105" s="806"/>
      <c r="T105" s="807"/>
    </row>
    <row r="106" spans="2:20" ht="6.75" customHeight="1" x14ac:dyDescent="0.25">
      <c r="B106" s="805"/>
      <c r="C106" s="799"/>
      <c r="D106" s="799"/>
      <c r="E106" s="799"/>
      <c r="F106" s="827"/>
      <c r="G106" s="825"/>
      <c r="H106" s="813"/>
      <c r="I106" s="813"/>
      <c r="J106" s="813"/>
      <c r="K106" s="813"/>
      <c r="L106" s="813"/>
      <c r="M106" s="813"/>
      <c r="N106" s="813"/>
      <c r="O106" s="813"/>
      <c r="P106" s="813"/>
      <c r="Q106" s="813"/>
      <c r="R106" s="813"/>
      <c r="S106" s="806"/>
      <c r="T106" s="807"/>
    </row>
    <row r="107" spans="2:20" ht="15.75" customHeight="1" x14ac:dyDescent="0.25">
      <c r="B107" s="805"/>
      <c r="C107" s="799"/>
      <c r="D107" s="799"/>
      <c r="E107" s="799"/>
      <c r="F107" s="828" t="s">
        <v>1464</v>
      </c>
      <c r="G107" s="419"/>
      <c r="H107" s="2818" t="s">
        <v>246</v>
      </c>
      <c r="I107" s="2800"/>
      <c r="J107" s="2800"/>
      <c r="K107" s="2800"/>
      <c r="L107" s="2800"/>
      <c r="M107" s="2800"/>
      <c r="N107" s="2800"/>
      <c r="O107" s="2800"/>
      <c r="P107" s="2800"/>
      <c r="Q107" s="2800"/>
      <c r="R107" s="2800"/>
      <c r="S107" s="806"/>
      <c r="T107" s="807"/>
    </row>
    <row r="108" spans="2:20" ht="6.75" customHeight="1" x14ac:dyDescent="0.25">
      <c r="B108" s="805"/>
      <c r="C108" s="799"/>
      <c r="D108" s="799"/>
      <c r="E108" s="799"/>
      <c r="F108" s="827"/>
      <c r="G108" s="825"/>
      <c r="H108" s="813"/>
      <c r="I108" s="813"/>
      <c r="J108" s="813"/>
      <c r="K108" s="813"/>
      <c r="L108" s="813"/>
      <c r="M108" s="813"/>
      <c r="N108" s="813"/>
      <c r="O108" s="813"/>
      <c r="P108" s="813"/>
      <c r="Q108" s="813"/>
      <c r="R108" s="813"/>
      <c r="S108" s="806"/>
      <c r="T108" s="807"/>
    </row>
    <row r="109" spans="2:20" ht="15.75" customHeight="1" x14ac:dyDescent="0.25">
      <c r="B109" s="805"/>
      <c r="C109" s="799"/>
      <c r="D109" s="799"/>
      <c r="E109" s="799"/>
      <c r="F109" s="826" t="s">
        <v>1430</v>
      </c>
      <c r="G109" s="420"/>
      <c r="H109" s="2818" t="s">
        <v>1851</v>
      </c>
      <c r="I109" s="2800"/>
      <c r="J109" s="2800"/>
      <c r="K109" s="2800"/>
      <c r="L109" s="2800"/>
      <c r="M109" s="2800"/>
      <c r="N109" s="2800"/>
      <c r="O109" s="2800"/>
      <c r="P109" s="2800"/>
      <c r="Q109" s="2800"/>
      <c r="R109" s="2800"/>
      <c r="S109" s="806"/>
      <c r="T109" s="807"/>
    </row>
    <row r="110" spans="2:20" ht="6.75" customHeight="1" x14ac:dyDescent="0.25">
      <c r="B110" s="805"/>
      <c r="C110" s="799"/>
      <c r="D110" s="799"/>
      <c r="E110" s="799"/>
      <c r="F110" s="827"/>
      <c r="G110" s="825"/>
      <c r="H110" s="813"/>
      <c r="I110" s="813"/>
      <c r="J110" s="813"/>
      <c r="K110" s="813"/>
      <c r="L110" s="813"/>
      <c r="M110" s="813"/>
      <c r="N110" s="813"/>
      <c r="O110" s="813"/>
      <c r="P110" s="813"/>
      <c r="Q110" s="813"/>
      <c r="R110" s="813"/>
      <c r="S110" s="806"/>
      <c r="T110" s="807"/>
    </row>
    <row r="111" spans="2:20" ht="15.75" customHeight="1" x14ac:dyDescent="0.25">
      <c r="B111" s="805"/>
      <c r="C111" s="799"/>
      <c r="D111" s="799"/>
      <c r="E111" s="799"/>
      <c r="F111" s="826" t="s">
        <v>1917</v>
      </c>
      <c r="G111" s="1226"/>
      <c r="H111" s="2818" t="s">
        <v>1918</v>
      </c>
      <c r="I111" s="2800"/>
      <c r="J111" s="2800"/>
      <c r="K111" s="2800"/>
      <c r="L111" s="2800"/>
      <c r="M111" s="2800"/>
      <c r="N111" s="2800"/>
      <c r="O111" s="2800"/>
      <c r="P111" s="2800"/>
      <c r="Q111" s="2800"/>
      <c r="R111" s="2800"/>
      <c r="S111" s="806"/>
      <c r="T111" s="807"/>
    </row>
    <row r="112" spans="2:20" ht="18.75" customHeight="1" x14ac:dyDescent="0.25">
      <c r="B112" s="805"/>
      <c r="C112" s="799"/>
      <c r="D112" s="799"/>
      <c r="E112" s="799"/>
      <c r="F112" s="827"/>
      <c r="G112" s="829"/>
      <c r="H112" s="830"/>
      <c r="I112" s="830"/>
      <c r="J112" s="830"/>
      <c r="K112" s="830"/>
      <c r="L112" s="830"/>
      <c r="M112" s="830"/>
      <c r="N112" s="830"/>
      <c r="O112" s="830"/>
      <c r="P112" s="813"/>
      <c r="Q112" s="813"/>
      <c r="R112" s="813"/>
      <c r="S112" s="806"/>
      <c r="T112" s="807"/>
    </row>
    <row r="113" spans="2:22" ht="19.5" customHeight="1" x14ac:dyDescent="0.25">
      <c r="B113" s="805"/>
      <c r="C113" s="2805" t="s">
        <v>1504</v>
      </c>
      <c r="D113" s="2805"/>
      <c r="E113" s="2805"/>
      <c r="F113" s="2805"/>
      <c r="G113" s="2805"/>
      <c r="H113" s="2805"/>
      <c r="I113" s="2805"/>
      <c r="J113" s="2805"/>
      <c r="K113" s="2805"/>
      <c r="L113" s="2805"/>
      <c r="M113" s="2805"/>
      <c r="N113" s="2805"/>
      <c r="O113" s="2805"/>
      <c r="P113" s="2805"/>
      <c r="Q113" s="2805"/>
      <c r="R113" s="2805"/>
      <c r="S113" s="806"/>
      <c r="T113" s="807"/>
    </row>
    <row r="114" spans="2:22" ht="3" customHeight="1" x14ac:dyDescent="0.25">
      <c r="B114" s="805"/>
      <c r="C114" s="813"/>
      <c r="D114" s="813"/>
      <c r="E114" s="813"/>
      <c r="F114" s="813"/>
      <c r="G114" s="813"/>
      <c r="H114" s="813"/>
      <c r="I114" s="813"/>
      <c r="J114" s="813"/>
      <c r="K114" s="813"/>
      <c r="L114" s="813"/>
      <c r="M114" s="813"/>
      <c r="N114" s="813"/>
      <c r="O114" s="813"/>
      <c r="P114" s="813"/>
      <c r="Q114" s="813"/>
      <c r="R114" s="813"/>
      <c r="S114" s="806"/>
      <c r="T114" s="807"/>
    </row>
    <row r="115" spans="2:22" ht="15.75" customHeight="1" x14ac:dyDescent="0.25">
      <c r="B115" s="805"/>
      <c r="C115" s="813"/>
      <c r="D115" s="813"/>
      <c r="E115" s="2806" t="s">
        <v>59</v>
      </c>
      <c r="F115" s="2817"/>
      <c r="G115" s="447" t="s">
        <v>60</v>
      </c>
      <c r="H115" s="2818" t="s">
        <v>258</v>
      </c>
      <c r="I115" s="2800"/>
      <c r="J115" s="2800"/>
      <c r="K115" s="2800"/>
      <c r="L115" s="2800"/>
      <c r="M115" s="2800"/>
      <c r="N115" s="2800"/>
      <c r="O115" s="813"/>
      <c r="P115" s="813"/>
      <c r="Q115" s="813"/>
      <c r="R115" s="813"/>
      <c r="S115" s="806"/>
      <c r="T115" s="807"/>
    </row>
    <row r="116" spans="2:22" ht="7.5" customHeight="1" x14ac:dyDescent="0.25">
      <c r="B116" s="805"/>
      <c r="C116" s="813"/>
      <c r="D116" s="813"/>
      <c r="E116" s="813"/>
      <c r="F116" s="813"/>
      <c r="G116" s="831"/>
      <c r="H116" s="813"/>
      <c r="I116" s="813"/>
      <c r="J116" s="813"/>
      <c r="K116" s="813"/>
      <c r="L116" s="813"/>
      <c r="M116" s="813"/>
      <c r="N116" s="813"/>
      <c r="O116" s="813"/>
      <c r="P116" s="813"/>
      <c r="Q116" s="813"/>
      <c r="R116" s="813"/>
      <c r="S116" s="806"/>
      <c r="T116" s="807"/>
    </row>
    <row r="117" spans="2:22" ht="15.75" customHeight="1" x14ac:dyDescent="0.25">
      <c r="B117" s="805"/>
      <c r="C117" s="813"/>
      <c r="D117" s="813"/>
      <c r="E117" s="2799" t="s">
        <v>59</v>
      </c>
      <c r="F117" s="2816"/>
      <c r="G117" s="1227" t="s">
        <v>1527</v>
      </c>
      <c r="H117" s="2825" t="s">
        <v>259</v>
      </c>
      <c r="I117" s="2826"/>
      <c r="J117" s="2826"/>
      <c r="K117" s="2826"/>
      <c r="L117" s="2826"/>
      <c r="M117" s="2826"/>
      <c r="N117" s="2826"/>
      <c r="O117" s="813"/>
      <c r="P117" s="813"/>
      <c r="Q117" s="813"/>
      <c r="R117" s="813"/>
      <c r="S117" s="806"/>
      <c r="T117" s="807"/>
    </row>
    <row r="118" spans="2:22" ht="16.5" customHeight="1" x14ac:dyDescent="0.25">
      <c r="B118" s="805"/>
      <c r="C118" s="813"/>
      <c r="D118" s="813"/>
      <c r="E118" s="813"/>
      <c r="F118" s="813"/>
      <c r="G118" s="832"/>
      <c r="H118" s="813"/>
      <c r="I118" s="813"/>
      <c r="J118" s="813"/>
      <c r="K118" s="813"/>
      <c r="L118" s="813"/>
      <c r="M118" s="813"/>
      <c r="N118" s="813"/>
      <c r="O118" s="813"/>
      <c r="P118" s="813"/>
      <c r="Q118" s="813"/>
      <c r="R118" s="813"/>
      <c r="S118" s="806"/>
      <c r="T118" s="807"/>
    </row>
    <row r="119" spans="2:22" ht="19.5" customHeight="1" x14ac:dyDescent="0.25">
      <c r="B119" s="805"/>
      <c r="C119" s="2805" t="s">
        <v>2323</v>
      </c>
      <c r="D119" s="2805"/>
      <c r="E119" s="2805"/>
      <c r="F119" s="2805"/>
      <c r="G119" s="2805"/>
      <c r="H119" s="2805"/>
      <c r="I119" s="2805"/>
      <c r="J119" s="2805"/>
      <c r="K119" s="2805"/>
      <c r="L119" s="2805"/>
      <c r="M119" s="2805"/>
      <c r="N119" s="2805"/>
      <c r="O119" s="2805"/>
      <c r="P119" s="2805"/>
      <c r="Q119" s="2805"/>
      <c r="R119" s="2805"/>
      <c r="S119" s="806"/>
      <c r="T119" s="807"/>
    </row>
    <row r="120" spans="2:22" ht="3" customHeight="1" x14ac:dyDescent="0.25">
      <c r="B120" s="805"/>
      <c r="C120" s="813"/>
      <c r="D120" s="813"/>
      <c r="E120" s="813"/>
      <c r="F120" s="813"/>
      <c r="G120" s="813"/>
      <c r="H120" s="813"/>
      <c r="I120" s="813"/>
      <c r="J120" s="813"/>
      <c r="K120" s="813"/>
      <c r="L120" s="813"/>
      <c r="M120" s="813"/>
      <c r="N120" s="813"/>
      <c r="O120" s="813"/>
      <c r="P120" s="813"/>
      <c r="Q120" s="813"/>
      <c r="R120" s="813"/>
      <c r="S120" s="806"/>
      <c r="T120" s="807"/>
    </row>
    <row r="121" spans="2:22" ht="16.5" customHeight="1" x14ac:dyDescent="0.25">
      <c r="B121" s="805"/>
      <c r="C121" s="813"/>
      <c r="D121" s="799"/>
      <c r="E121" s="799"/>
      <c r="F121" s="799"/>
      <c r="G121" s="833" t="s">
        <v>1431</v>
      </c>
      <c r="H121" s="962" t="s">
        <v>1433</v>
      </c>
      <c r="I121" s="1215"/>
      <c r="J121" s="1215"/>
      <c r="K121" s="1215"/>
      <c r="L121" s="799"/>
      <c r="M121" s="799"/>
      <c r="N121" s="799"/>
      <c r="O121" s="813"/>
      <c r="P121" s="813"/>
      <c r="Q121" s="813"/>
      <c r="R121" s="813"/>
      <c r="S121" s="806"/>
      <c r="T121" s="807"/>
      <c r="V121" s="373"/>
    </row>
    <row r="122" spans="2:22" ht="3.75" customHeight="1" x14ac:dyDescent="0.25">
      <c r="B122" s="805"/>
      <c r="C122" s="813"/>
      <c r="D122" s="799"/>
      <c r="E122" s="799"/>
      <c r="F122" s="799"/>
      <c r="G122" s="916"/>
      <c r="H122" s="963"/>
      <c r="I122" s="916"/>
      <c r="J122" s="916"/>
      <c r="K122" s="916"/>
      <c r="L122" s="799"/>
      <c r="M122" s="799"/>
      <c r="N122" s="799"/>
      <c r="O122" s="813"/>
      <c r="P122" s="813"/>
      <c r="Q122" s="813"/>
      <c r="R122" s="813"/>
      <c r="S122" s="806"/>
      <c r="T122" s="807"/>
    </row>
    <row r="123" spans="2:22" ht="16.5" customHeight="1" x14ac:dyDescent="0.25">
      <c r="B123" s="805"/>
      <c r="C123" s="813"/>
      <c r="D123" s="799"/>
      <c r="E123" s="799"/>
      <c r="F123" s="799"/>
      <c r="G123" s="833" t="s">
        <v>1432</v>
      </c>
      <c r="H123" s="962" t="s">
        <v>1434</v>
      </c>
      <c r="I123" s="1215"/>
      <c r="J123" s="1215"/>
      <c r="K123" s="1215"/>
      <c r="L123" s="799"/>
      <c r="M123" s="799"/>
      <c r="N123" s="799"/>
      <c r="O123" s="813"/>
      <c r="P123" s="813"/>
      <c r="Q123" s="813"/>
      <c r="R123" s="813"/>
      <c r="S123" s="806"/>
      <c r="T123" s="807"/>
      <c r="V123" s="373"/>
    </row>
    <row r="124" spans="2:22" ht="6.75" customHeight="1" x14ac:dyDescent="0.25">
      <c r="B124" s="805"/>
      <c r="C124" s="813"/>
      <c r="D124" s="799"/>
      <c r="E124" s="799"/>
      <c r="F124" s="799"/>
      <c r="G124" s="813"/>
      <c r="H124" s="964"/>
      <c r="I124" s="813"/>
      <c r="J124" s="813"/>
      <c r="K124" s="813"/>
      <c r="L124" s="799"/>
      <c r="M124" s="799"/>
      <c r="N124" s="799"/>
      <c r="O124" s="813"/>
      <c r="P124" s="813"/>
      <c r="Q124" s="813"/>
      <c r="R124" s="813"/>
      <c r="S124" s="806"/>
      <c r="T124" s="807"/>
    </row>
    <row r="125" spans="2:22" ht="14.25" customHeight="1" x14ac:dyDescent="0.25">
      <c r="B125" s="805"/>
      <c r="C125" s="813"/>
      <c r="D125" s="799"/>
      <c r="E125" s="799"/>
      <c r="F125" s="799"/>
      <c r="G125" s="834" t="s">
        <v>260</v>
      </c>
      <c r="H125" s="965" t="s">
        <v>267</v>
      </c>
      <c r="I125" s="1214"/>
      <c r="J125" s="813"/>
      <c r="K125" s="813"/>
      <c r="L125" s="799"/>
      <c r="M125" s="799"/>
      <c r="N125" s="799"/>
      <c r="O125" s="813"/>
      <c r="P125" s="813"/>
      <c r="Q125" s="813"/>
      <c r="R125" s="813"/>
      <c r="S125" s="806"/>
      <c r="T125" s="807"/>
    </row>
    <row r="126" spans="2:22" ht="3.75" customHeight="1" x14ac:dyDescent="0.25">
      <c r="B126" s="805"/>
      <c r="C126" s="813"/>
      <c r="D126" s="799"/>
      <c r="E126" s="799"/>
      <c r="F126" s="799"/>
      <c r="G126" s="813"/>
      <c r="H126" s="964"/>
      <c r="I126" s="813"/>
      <c r="J126" s="813"/>
      <c r="K126" s="813"/>
      <c r="L126" s="799"/>
      <c r="M126" s="799"/>
      <c r="N126" s="799"/>
      <c r="O126" s="813"/>
      <c r="P126" s="813"/>
      <c r="Q126" s="813"/>
      <c r="R126" s="813"/>
      <c r="S126" s="806"/>
      <c r="T126" s="807"/>
    </row>
    <row r="127" spans="2:22" ht="14.25" customHeight="1" x14ac:dyDescent="0.25">
      <c r="B127" s="805"/>
      <c r="C127" s="813"/>
      <c r="D127" s="799"/>
      <c r="E127" s="799"/>
      <c r="F127" s="799"/>
      <c r="G127" s="834" t="s">
        <v>261</v>
      </c>
      <c r="H127" s="965" t="s">
        <v>266</v>
      </c>
      <c r="I127" s="1214"/>
      <c r="J127" s="813"/>
      <c r="K127" s="813"/>
      <c r="L127" s="799"/>
      <c r="M127" s="799"/>
      <c r="N127" s="799"/>
      <c r="O127" s="813"/>
      <c r="P127" s="813"/>
      <c r="Q127" s="813"/>
      <c r="R127" s="813"/>
      <c r="S127" s="806"/>
      <c r="T127" s="807"/>
    </row>
    <row r="128" spans="2:22" ht="3.75" customHeight="1" x14ac:dyDescent="0.25">
      <c r="B128" s="805"/>
      <c r="C128" s="813"/>
      <c r="D128" s="799"/>
      <c r="E128" s="799"/>
      <c r="F128" s="799"/>
      <c r="G128" s="813"/>
      <c r="H128" s="964"/>
      <c r="I128" s="813"/>
      <c r="J128" s="813"/>
      <c r="K128" s="813"/>
      <c r="L128" s="799"/>
      <c r="M128" s="799"/>
      <c r="N128" s="799"/>
      <c r="O128" s="813"/>
      <c r="P128" s="813"/>
      <c r="Q128" s="813"/>
      <c r="R128" s="813"/>
      <c r="S128" s="806"/>
      <c r="T128" s="807"/>
    </row>
    <row r="129" spans="2:22" ht="16.5" customHeight="1" x14ac:dyDescent="0.25">
      <c r="B129" s="805"/>
      <c r="C129" s="813"/>
      <c r="D129" s="799"/>
      <c r="E129" s="799"/>
      <c r="F129" s="799"/>
      <c r="G129" s="835" t="s">
        <v>1465</v>
      </c>
      <c r="H129" s="965" t="s">
        <v>294</v>
      </c>
      <c r="I129" s="1214"/>
      <c r="J129" s="813"/>
      <c r="K129" s="813"/>
      <c r="L129" s="799"/>
      <c r="M129" s="799"/>
      <c r="N129" s="799"/>
      <c r="O129" s="813"/>
      <c r="P129" s="813"/>
      <c r="Q129" s="813"/>
      <c r="R129" s="813"/>
      <c r="S129" s="806"/>
      <c r="T129" s="807"/>
      <c r="V129" s="373"/>
    </row>
    <row r="130" spans="2:22" ht="3.75" customHeight="1" x14ac:dyDescent="0.25">
      <c r="B130" s="805"/>
      <c r="C130" s="813"/>
      <c r="D130" s="799"/>
      <c r="E130" s="799"/>
      <c r="F130" s="799"/>
      <c r="G130" s="813"/>
      <c r="H130" s="964"/>
      <c r="I130" s="813"/>
      <c r="J130" s="813"/>
      <c r="K130" s="813"/>
      <c r="L130" s="799"/>
      <c r="M130" s="799"/>
      <c r="N130" s="799"/>
      <c r="O130" s="813"/>
      <c r="P130" s="813"/>
      <c r="Q130" s="813"/>
      <c r="R130" s="813"/>
      <c r="S130" s="806"/>
      <c r="T130" s="807"/>
    </row>
    <row r="131" spans="2:22" ht="14.25" customHeight="1" x14ac:dyDescent="0.25">
      <c r="B131" s="805"/>
      <c r="C131" s="813"/>
      <c r="D131" s="799"/>
      <c r="E131" s="799"/>
      <c r="F131" s="799"/>
      <c r="G131" s="1228" t="s">
        <v>1641</v>
      </c>
      <c r="H131" s="965" t="s">
        <v>1920</v>
      </c>
      <c r="I131" s="1214"/>
      <c r="J131" s="813"/>
      <c r="K131" s="813"/>
      <c r="L131" s="799"/>
      <c r="M131" s="799"/>
      <c r="N131" s="799"/>
      <c r="O131" s="813"/>
      <c r="P131" s="813"/>
      <c r="Q131" s="813"/>
      <c r="R131" s="813"/>
      <c r="S131" s="806"/>
      <c r="T131" s="807"/>
    </row>
    <row r="132" spans="2:22" ht="3.75" customHeight="1" x14ac:dyDescent="0.25">
      <c r="B132" s="805"/>
      <c r="C132" s="813"/>
      <c r="D132" s="799"/>
      <c r="E132" s="799"/>
      <c r="F132" s="799"/>
      <c r="G132" s="813"/>
      <c r="H132" s="964"/>
      <c r="I132" s="813"/>
      <c r="J132" s="813"/>
      <c r="K132" s="813"/>
      <c r="L132" s="799"/>
      <c r="M132" s="799"/>
      <c r="N132" s="799"/>
      <c r="O132" s="813"/>
      <c r="P132" s="813"/>
      <c r="Q132" s="813"/>
      <c r="R132" s="813"/>
      <c r="S132" s="806"/>
      <c r="T132" s="807"/>
    </row>
    <row r="133" spans="2:22" ht="14.25" customHeight="1" x14ac:dyDescent="0.25">
      <c r="B133" s="805"/>
      <c r="C133" s="813"/>
      <c r="D133" s="799"/>
      <c r="E133" s="799"/>
      <c r="F133" s="799"/>
      <c r="G133" s="836">
        <v>6</v>
      </c>
      <c r="H133" s="965" t="s">
        <v>264</v>
      </c>
      <c r="I133" s="1214"/>
      <c r="J133" s="813"/>
      <c r="K133" s="813"/>
      <c r="L133" s="799"/>
      <c r="M133" s="799"/>
      <c r="N133" s="799"/>
      <c r="O133" s="813"/>
      <c r="P133" s="813"/>
      <c r="Q133" s="813"/>
      <c r="R133" s="813"/>
      <c r="S133" s="806"/>
      <c r="T133" s="807"/>
    </row>
    <row r="134" spans="2:22" ht="3.75" customHeight="1" x14ac:dyDescent="0.25">
      <c r="B134" s="805"/>
      <c r="C134" s="813"/>
      <c r="D134" s="799"/>
      <c r="E134" s="799"/>
      <c r="F134" s="799"/>
      <c r="G134" s="813"/>
      <c r="H134" s="964"/>
      <c r="I134" s="813"/>
      <c r="J134" s="813"/>
      <c r="K134" s="813"/>
      <c r="L134" s="799"/>
      <c r="M134" s="799"/>
      <c r="N134" s="799"/>
      <c r="O134" s="813"/>
      <c r="P134" s="813"/>
      <c r="Q134" s="813"/>
      <c r="R134" s="813"/>
      <c r="S134" s="806"/>
      <c r="T134" s="807"/>
    </row>
    <row r="135" spans="2:22" ht="16.5" customHeight="1" x14ac:dyDescent="0.25">
      <c r="B135" s="805"/>
      <c r="C135" s="813"/>
      <c r="D135" s="799"/>
      <c r="E135" s="799"/>
      <c r="F135" s="799"/>
      <c r="G135" s="837" t="s">
        <v>87</v>
      </c>
      <c r="H135" s="965" t="s">
        <v>1919</v>
      </c>
      <c r="I135" s="1214"/>
      <c r="J135" s="813"/>
      <c r="K135" s="813"/>
      <c r="L135" s="799"/>
      <c r="M135" s="799"/>
      <c r="N135" s="799"/>
      <c r="O135" s="813"/>
      <c r="P135" s="813"/>
      <c r="Q135" s="813"/>
      <c r="R135" s="813"/>
      <c r="S135" s="806"/>
      <c r="T135" s="807"/>
      <c r="V135" s="373"/>
    </row>
    <row r="136" spans="2:22" ht="3.75" customHeight="1" x14ac:dyDescent="0.25">
      <c r="B136" s="805"/>
      <c r="C136" s="813"/>
      <c r="D136" s="799"/>
      <c r="E136" s="799"/>
      <c r="F136" s="799"/>
      <c r="G136" s="813"/>
      <c r="H136" s="964"/>
      <c r="I136" s="813"/>
      <c r="J136" s="813"/>
      <c r="K136" s="813"/>
      <c r="L136" s="799"/>
      <c r="M136" s="799"/>
      <c r="N136" s="799"/>
      <c r="O136" s="813"/>
      <c r="P136" s="813"/>
      <c r="Q136" s="813"/>
      <c r="R136" s="813"/>
      <c r="S136" s="806"/>
      <c r="T136" s="807"/>
    </row>
    <row r="137" spans="2:22" ht="17.25" customHeight="1" x14ac:dyDescent="0.25">
      <c r="B137" s="805"/>
      <c r="C137" s="813"/>
      <c r="D137" s="799"/>
      <c r="E137" s="799"/>
      <c r="F137" s="799"/>
      <c r="G137" s="838" t="s">
        <v>262</v>
      </c>
      <c r="H137" s="965" t="s">
        <v>263</v>
      </c>
      <c r="I137" s="1214"/>
      <c r="J137" s="813"/>
      <c r="K137" s="813"/>
      <c r="L137" s="799"/>
      <c r="M137" s="799"/>
      <c r="N137" s="799"/>
      <c r="O137" s="813"/>
      <c r="P137" s="813"/>
      <c r="Q137" s="813"/>
      <c r="R137" s="813"/>
      <c r="S137" s="806"/>
      <c r="T137" s="807"/>
    </row>
    <row r="138" spans="2:22" ht="3.75" customHeight="1" x14ac:dyDescent="0.25">
      <c r="B138" s="805"/>
      <c r="C138" s="813"/>
      <c r="D138" s="813"/>
      <c r="E138" s="813"/>
      <c r="F138" s="813"/>
      <c r="G138" s="813"/>
      <c r="H138" s="813"/>
      <c r="I138" s="813"/>
      <c r="J138" s="813"/>
      <c r="K138" s="813"/>
      <c r="L138" s="813"/>
      <c r="M138" s="813"/>
      <c r="N138" s="813"/>
      <c r="O138" s="813"/>
      <c r="P138" s="813"/>
      <c r="Q138" s="813"/>
      <c r="R138" s="813"/>
      <c r="S138" s="806"/>
      <c r="T138" s="807"/>
    </row>
    <row r="139" spans="2:22" ht="15.75" customHeight="1" x14ac:dyDescent="0.25">
      <c r="B139" s="805"/>
      <c r="C139" s="823"/>
      <c r="D139" s="823"/>
      <c r="E139" s="823"/>
      <c r="F139" s="823"/>
      <c r="G139" s="891"/>
      <c r="H139" s="891"/>
      <c r="I139" s="891"/>
      <c r="J139" s="891"/>
      <c r="K139" s="891"/>
      <c r="L139" s="891"/>
      <c r="M139" s="891"/>
      <c r="N139" s="891"/>
      <c r="O139" s="891"/>
      <c r="P139" s="891"/>
      <c r="Q139" s="891"/>
      <c r="R139" s="891"/>
      <c r="S139" s="806"/>
      <c r="T139" s="807"/>
    </row>
    <row r="140" spans="2:22" ht="19.5" customHeight="1" x14ac:dyDescent="0.25">
      <c r="B140" s="805"/>
      <c r="C140" s="2805" t="s">
        <v>2340</v>
      </c>
      <c r="D140" s="2805"/>
      <c r="E140" s="2805"/>
      <c r="F140" s="2805"/>
      <c r="G140" s="2805"/>
      <c r="H140" s="2805"/>
      <c r="I140" s="2805"/>
      <c r="J140" s="2805"/>
      <c r="K140" s="2805"/>
      <c r="L140" s="2805"/>
      <c r="M140" s="2805"/>
      <c r="N140" s="2805"/>
      <c r="O140" s="2805"/>
      <c r="P140" s="2805"/>
      <c r="Q140" s="2805"/>
      <c r="R140" s="2805"/>
      <c r="S140" s="806"/>
      <c r="T140" s="807"/>
    </row>
    <row r="141" spans="2:22" ht="6" customHeight="1" x14ac:dyDescent="0.25">
      <c r="B141" s="805"/>
      <c r="C141" s="813"/>
      <c r="D141" s="813"/>
      <c r="E141" s="813"/>
      <c r="F141" s="813"/>
      <c r="G141" s="2801">
        <v>1</v>
      </c>
      <c r="H141" s="813"/>
      <c r="I141" s="813"/>
      <c r="J141" s="813"/>
      <c r="K141" s="813"/>
      <c r="L141" s="813"/>
      <c r="M141" s="813"/>
      <c r="N141" s="813"/>
      <c r="O141" s="813"/>
      <c r="P141" s="813"/>
      <c r="Q141" s="813"/>
      <c r="R141" s="813"/>
      <c r="S141" s="806"/>
      <c r="T141" s="807"/>
    </row>
    <row r="142" spans="2:22" ht="15.75" customHeight="1" x14ac:dyDescent="0.25">
      <c r="B142" s="805"/>
      <c r="C142" s="813"/>
      <c r="D142" s="813"/>
      <c r="E142" s="2806"/>
      <c r="F142" s="2806"/>
      <c r="G142" s="2801"/>
      <c r="H142" s="2800" t="s">
        <v>2328</v>
      </c>
      <c r="I142" s="2800"/>
      <c r="J142" s="2800"/>
      <c r="K142" s="2800"/>
      <c r="L142" s="2800"/>
      <c r="M142" s="2800"/>
      <c r="N142" s="2800"/>
      <c r="O142" s="813"/>
      <c r="P142" s="813"/>
      <c r="Q142" s="813"/>
      <c r="R142" s="813"/>
      <c r="S142" s="806"/>
      <c r="T142" s="807"/>
    </row>
    <row r="143" spans="2:22" ht="6" customHeight="1" x14ac:dyDescent="0.25">
      <c r="B143" s="805"/>
      <c r="C143" s="813"/>
      <c r="D143" s="813"/>
      <c r="E143" s="813"/>
      <c r="F143" s="813"/>
      <c r="G143" s="2801">
        <v>2</v>
      </c>
      <c r="H143" s="813"/>
      <c r="I143" s="813"/>
      <c r="J143" s="813"/>
      <c r="K143" s="813"/>
      <c r="L143" s="813"/>
      <c r="M143" s="813"/>
      <c r="N143" s="813"/>
      <c r="O143" s="813"/>
      <c r="P143" s="813"/>
      <c r="Q143" s="813"/>
      <c r="R143" s="813"/>
      <c r="S143" s="806"/>
      <c r="T143" s="807"/>
    </row>
    <row r="144" spans="2:22" ht="15.75" customHeight="1" x14ac:dyDescent="0.25">
      <c r="B144" s="805"/>
      <c r="C144" s="813"/>
      <c r="D144" s="813"/>
      <c r="E144" s="2799"/>
      <c r="F144" s="2799"/>
      <c r="G144" s="2801"/>
      <c r="H144" s="2800" t="s">
        <v>2327</v>
      </c>
      <c r="I144" s="2800"/>
      <c r="J144" s="2800"/>
      <c r="K144" s="2800"/>
      <c r="L144" s="2800"/>
      <c r="M144" s="2800"/>
      <c r="N144" s="2800"/>
      <c r="O144" s="813"/>
      <c r="P144" s="813"/>
      <c r="Q144" s="813"/>
      <c r="R144" s="813"/>
      <c r="S144" s="806"/>
      <c r="T144" s="807"/>
    </row>
    <row r="145" spans="2:38" ht="6" customHeight="1" x14ac:dyDescent="0.25">
      <c r="B145" s="805"/>
      <c r="C145" s="813"/>
      <c r="D145" s="813"/>
      <c r="E145" s="813"/>
      <c r="F145" s="813"/>
      <c r="G145" s="2801">
        <v>3</v>
      </c>
      <c r="H145" s="813"/>
      <c r="I145" s="813"/>
      <c r="J145" s="813"/>
      <c r="K145" s="813"/>
      <c r="L145" s="813"/>
      <c r="M145" s="813"/>
      <c r="N145" s="813"/>
      <c r="O145" s="813"/>
      <c r="P145" s="813"/>
      <c r="Q145" s="813"/>
      <c r="R145" s="813"/>
      <c r="S145" s="806"/>
      <c r="T145" s="807"/>
    </row>
    <row r="146" spans="2:38" ht="15.75" customHeight="1" x14ac:dyDescent="0.25">
      <c r="B146" s="805"/>
      <c r="C146" s="813"/>
      <c r="D146" s="813"/>
      <c r="E146" s="2799"/>
      <c r="F146" s="2799"/>
      <c r="G146" s="2801"/>
      <c r="H146" s="2800" t="s">
        <v>2326</v>
      </c>
      <c r="I146" s="2800"/>
      <c r="J146" s="2800"/>
      <c r="K146" s="2800"/>
      <c r="L146" s="2800"/>
      <c r="M146" s="2800"/>
      <c r="N146" s="2800"/>
      <c r="O146" s="813"/>
      <c r="P146" s="813"/>
      <c r="Q146" s="813"/>
      <c r="R146" s="813"/>
      <c r="S146" s="806"/>
      <c r="T146" s="807"/>
    </row>
    <row r="147" spans="2:38" ht="6" customHeight="1" x14ac:dyDescent="0.25">
      <c r="B147" s="805"/>
      <c r="C147" s="813"/>
      <c r="D147" s="813"/>
      <c r="E147" s="813"/>
      <c r="F147" s="813"/>
      <c r="G147" s="2801">
        <v>4</v>
      </c>
      <c r="H147" s="813"/>
      <c r="I147" s="813"/>
      <c r="J147" s="813"/>
      <c r="K147" s="813"/>
      <c r="L147" s="813"/>
      <c r="M147" s="813"/>
      <c r="N147" s="813"/>
      <c r="O147" s="813"/>
      <c r="P147" s="813"/>
      <c r="Q147" s="813"/>
      <c r="R147" s="813"/>
      <c r="S147" s="806"/>
      <c r="T147" s="807"/>
    </row>
    <row r="148" spans="2:38" ht="15.75" customHeight="1" x14ac:dyDescent="0.25">
      <c r="B148" s="805"/>
      <c r="C148" s="813"/>
      <c r="D148" s="813"/>
      <c r="E148" s="2799"/>
      <c r="F148" s="2799"/>
      <c r="G148" s="2801"/>
      <c r="H148" s="2800" t="s">
        <v>2325</v>
      </c>
      <c r="I148" s="2800"/>
      <c r="J148" s="2800"/>
      <c r="K148" s="2800"/>
      <c r="L148" s="2800"/>
      <c r="M148" s="2800"/>
      <c r="N148" s="2800"/>
      <c r="O148" s="813"/>
      <c r="P148" s="813"/>
      <c r="Q148" s="813"/>
      <c r="R148" s="813"/>
      <c r="S148" s="806"/>
      <c r="T148" s="807"/>
    </row>
    <row r="149" spans="2:38" ht="6" customHeight="1" x14ac:dyDescent="0.25">
      <c r="B149" s="805"/>
      <c r="C149" s="813"/>
      <c r="D149" s="813"/>
      <c r="E149" s="813"/>
      <c r="F149" s="813"/>
      <c r="G149" s="2801">
        <v>5</v>
      </c>
      <c r="H149" s="813"/>
      <c r="I149" s="813"/>
      <c r="J149" s="813"/>
      <c r="K149" s="813"/>
      <c r="L149" s="813"/>
      <c r="M149" s="813"/>
      <c r="N149" s="813"/>
      <c r="O149" s="813"/>
      <c r="P149" s="813"/>
      <c r="Q149" s="813"/>
      <c r="R149" s="813"/>
      <c r="S149" s="806"/>
      <c r="T149" s="807"/>
    </row>
    <row r="150" spans="2:38" ht="15.75" customHeight="1" x14ac:dyDescent="0.25">
      <c r="B150" s="805"/>
      <c r="C150" s="813"/>
      <c r="D150" s="813"/>
      <c r="E150" s="2799"/>
      <c r="F150" s="2799"/>
      <c r="G150" s="2801"/>
      <c r="H150" s="2800" t="s">
        <v>2324</v>
      </c>
      <c r="I150" s="2800"/>
      <c r="J150" s="2800"/>
      <c r="K150" s="2800"/>
      <c r="L150" s="2800"/>
      <c r="M150" s="2800"/>
      <c r="N150" s="2800"/>
      <c r="O150" s="813"/>
      <c r="P150" s="813"/>
      <c r="Q150" s="813"/>
      <c r="R150" s="813"/>
      <c r="S150" s="806"/>
      <c r="T150" s="807"/>
    </row>
    <row r="151" spans="2:38" ht="16.5" customHeight="1" thickBot="1" x14ac:dyDescent="0.3">
      <c r="B151" s="824"/>
      <c r="C151" s="869"/>
      <c r="D151" s="869"/>
      <c r="E151" s="869"/>
      <c r="F151" s="869"/>
      <c r="G151" s="2726"/>
      <c r="H151" s="869"/>
      <c r="I151" s="869"/>
      <c r="J151" s="869"/>
      <c r="K151" s="869"/>
      <c r="L151" s="869"/>
      <c r="M151" s="869"/>
      <c r="N151" s="869"/>
      <c r="O151" s="869"/>
      <c r="P151" s="869"/>
      <c r="Q151" s="869"/>
      <c r="R151" s="869"/>
      <c r="S151" s="841"/>
      <c r="T151" s="842"/>
    </row>
    <row r="152" spans="2:38" ht="27.75" customHeight="1" x14ac:dyDescent="0.25">
      <c r="B152" s="600"/>
      <c r="C152" s="599"/>
      <c r="D152" s="599"/>
      <c r="E152" s="599"/>
      <c r="R152" s="1216"/>
      <c r="S152" s="1216"/>
      <c r="T152" s="1216"/>
    </row>
    <row r="153" spans="2:38" ht="24" customHeight="1" x14ac:dyDescent="0.25">
      <c r="B153" s="954" t="s">
        <v>1750</v>
      </c>
      <c r="C153" s="858"/>
      <c r="D153" s="858"/>
      <c r="E153" s="858"/>
      <c r="F153" s="858"/>
      <c r="G153" s="858"/>
      <c r="H153" s="858"/>
      <c r="I153" s="858"/>
      <c r="J153" s="858"/>
      <c r="K153" s="858"/>
      <c r="L153" s="858"/>
      <c r="M153" s="858"/>
      <c r="N153" s="859"/>
      <c r="O153" s="859"/>
      <c r="P153" s="859"/>
      <c r="Q153" s="859"/>
      <c r="R153" s="787"/>
      <c r="S153" s="787"/>
      <c r="T153" s="787"/>
      <c r="AF153" s="245"/>
      <c r="AG153" s="246"/>
      <c r="AH153" s="246"/>
      <c r="AI153" s="246"/>
      <c r="AJ153" s="55"/>
      <c r="AK153" s="55"/>
      <c r="AL153" s="55"/>
    </row>
    <row r="154" spans="2:38" ht="11.25" customHeight="1" thickBot="1" x14ac:dyDescent="0.3"/>
    <row r="155" spans="2:38" ht="14.25" customHeight="1" x14ac:dyDescent="0.25">
      <c r="B155" s="790"/>
      <c r="C155" s="791"/>
      <c r="D155" s="791"/>
      <c r="E155" s="791"/>
      <c r="F155" s="791"/>
      <c r="G155" s="792"/>
      <c r="H155" s="793"/>
      <c r="I155" s="793"/>
      <c r="J155" s="793"/>
      <c r="K155" s="793"/>
      <c r="L155" s="793"/>
      <c r="M155" s="793"/>
      <c r="N155" s="793"/>
      <c r="O155" s="793"/>
      <c r="P155" s="793"/>
      <c r="Q155" s="793"/>
      <c r="R155" s="793"/>
      <c r="S155" s="793"/>
      <c r="T155" s="794"/>
    </row>
    <row r="156" spans="2:38" ht="18" customHeight="1" x14ac:dyDescent="0.25">
      <c r="B156" s="795"/>
      <c r="C156" s="796" t="s">
        <v>1751</v>
      </c>
      <c r="D156" s="796"/>
      <c r="E156" s="796"/>
      <c r="F156" s="797"/>
      <c r="G156" s="798"/>
      <c r="H156" s="799"/>
      <c r="I156" s="799"/>
      <c r="J156" s="799"/>
      <c r="K156" s="799"/>
      <c r="L156" s="799"/>
      <c r="M156" s="799"/>
      <c r="N156" s="799"/>
      <c r="O156" s="800"/>
      <c r="P156" s="800"/>
      <c r="Q156" s="800"/>
      <c r="R156" s="801"/>
      <c r="S156" s="799"/>
      <c r="T156" s="802"/>
    </row>
    <row r="157" spans="2:38" ht="16.5" customHeight="1" x14ac:dyDescent="0.25">
      <c r="B157" s="803"/>
      <c r="C157" s="804"/>
      <c r="D157" s="804"/>
      <c r="E157" s="804"/>
      <c r="F157" s="804"/>
      <c r="G157" s="804"/>
      <c r="H157" s="799"/>
      <c r="I157" s="799"/>
      <c r="J157" s="799"/>
      <c r="K157" s="799"/>
      <c r="L157" s="799"/>
      <c r="M157" s="799"/>
      <c r="N157" s="799"/>
      <c r="O157" s="799"/>
      <c r="P157" s="799"/>
      <c r="Q157" s="799"/>
      <c r="R157" s="799"/>
      <c r="S157" s="799"/>
      <c r="T157" s="802"/>
    </row>
    <row r="158" spans="2:38" ht="22.5" customHeight="1" x14ac:dyDescent="0.25">
      <c r="B158" s="805"/>
      <c r="C158" s="2827" t="s">
        <v>1784</v>
      </c>
      <c r="D158" s="2827"/>
      <c r="E158" s="2827"/>
      <c r="F158" s="2827"/>
      <c r="G158" s="2827"/>
      <c r="H158" s="2827"/>
      <c r="I158" s="2827"/>
      <c r="J158" s="2827"/>
      <c r="K158" s="2827"/>
      <c r="L158" s="2827"/>
      <c r="M158" s="2827"/>
      <c r="N158" s="2827"/>
      <c r="O158" s="2827"/>
      <c r="P158" s="2827"/>
      <c r="Q158" s="2827"/>
      <c r="R158" s="2827"/>
      <c r="S158" s="806"/>
      <c r="T158" s="807"/>
    </row>
    <row r="159" spans="2:38" ht="18.75" customHeight="1" x14ac:dyDescent="0.25">
      <c r="B159" s="805"/>
      <c r="C159" s="2827" t="s">
        <v>1752</v>
      </c>
      <c r="D159" s="2827"/>
      <c r="E159" s="2827"/>
      <c r="F159" s="2827"/>
      <c r="G159" s="2827"/>
      <c r="H159" s="2827"/>
      <c r="I159" s="2827"/>
      <c r="J159" s="2827"/>
      <c r="K159" s="2827"/>
      <c r="L159" s="2827"/>
      <c r="M159" s="2827"/>
      <c r="N159" s="2827"/>
      <c r="O159" s="2827"/>
      <c r="P159" s="2827"/>
      <c r="Q159" s="2827"/>
      <c r="R159" s="2827"/>
      <c r="S159" s="806"/>
      <c r="T159" s="807"/>
    </row>
    <row r="160" spans="2:38" ht="10.5" customHeight="1" thickBot="1" x14ac:dyDescent="0.3">
      <c r="B160" s="824"/>
      <c r="C160" s="839"/>
      <c r="D160" s="839"/>
      <c r="E160" s="839"/>
      <c r="F160" s="839"/>
      <c r="G160" s="840"/>
      <c r="H160" s="840"/>
      <c r="I160" s="840"/>
      <c r="J160" s="840"/>
      <c r="K160" s="840"/>
      <c r="L160" s="840"/>
      <c r="M160" s="840"/>
      <c r="N160" s="840"/>
      <c r="O160" s="840"/>
      <c r="P160" s="840"/>
      <c r="Q160" s="840"/>
      <c r="R160" s="840"/>
      <c r="S160" s="841"/>
      <c r="T160" s="842"/>
    </row>
  </sheetData>
  <sheetProtection password="C518" sheet="1" objects="1" scenarios="1"/>
  <mergeCells count="66">
    <mergeCell ref="C158:R158"/>
    <mergeCell ref="C159:R159"/>
    <mergeCell ref="C81:S81"/>
    <mergeCell ref="F76:H76"/>
    <mergeCell ref="F73:H73"/>
    <mergeCell ref="P3:T3"/>
    <mergeCell ref="E117:F117"/>
    <mergeCell ref="E115:F115"/>
    <mergeCell ref="H105:R105"/>
    <mergeCell ref="H111:R111"/>
    <mergeCell ref="O34:O35"/>
    <mergeCell ref="G34:G35"/>
    <mergeCell ref="C103:R103"/>
    <mergeCell ref="D33:D34"/>
    <mergeCell ref="C43:R43"/>
    <mergeCell ref="J62:M64"/>
    <mergeCell ref="F77:H77"/>
    <mergeCell ref="F74:I74"/>
    <mergeCell ref="F64:I64"/>
    <mergeCell ref="D36:D37"/>
    <mergeCell ref="C79:R79"/>
    <mergeCell ref="C6:N6"/>
    <mergeCell ref="O6:R6"/>
    <mergeCell ref="F75:H75"/>
    <mergeCell ref="F66:I66"/>
    <mergeCell ref="R36:R37"/>
    <mergeCell ref="C39:R39"/>
    <mergeCell ref="F71:H71"/>
    <mergeCell ref="C21:L21"/>
    <mergeCell ref="C23:R23"/>
    <mergeCell ref="C59:R59"/>
    <mergeCell ref="F65:I65"/>
    <mergeCell ref="C28:R28"/>
    <mergeCell ref="R33:R34"/>
    <mergeCell ref="F63:I63"/>
    <mergeCell ref="F62:I62"/>
    <mergeCell ref="C47:R47"/>
    <mergeCell ref="C49:R49"/>
    <mergeCell ref="F61:I61"/>
    <mergeCell ref="C45:R45"/>
    <mergeCell ref="C140:R140"/>
    <mergeCell ref="E142:F142"/>
    <mergeCell ref="H142:N142"/>
    <mergeCell ref="C68:R68"/>
    <mergeCell ref="F70:H70"/>
    <mergeCell ref="C119:R119"/>
    <mergeCell ref="H115:N115"/>
    <mergeCell ref="H117:N117"/>
    <mergeCell ref="C113:R113"/>
    <mergeCell ref="J71:M73"/>
    <mergeCell ref="H107:R107"/>
    <mergeCell ref="H109:R109"/>
    <mergeCell ref="F72:H72"/>
    <mergeCell ref="E144:F144"/>
    <mergeCell ref="H144:N144"/>
    <mergeCell ref="G143:G144"/>
    <mergeCell ref="G141:G142"/>
    <mergeCell ref="E146:F146"/>
    <mergeCell ref="H146:N146"/>
    <mergeCell ref="G145:G146"/>
    <mergeCell ref="E148:F148"/>
    <mergeCell ref="H148:N148"/>
    <mergeCell ref="E150:F150"/>
    <mergeCell ref="H150:N150"/>
    <mergeCell ref="G149:G150"/>
    <mergeCell ref="G147:G148"/>
  </mergeCells>
  <conditionalFormatting sqref="G149 G147 G145 G143 G141">
    <cfRule type="iconSet" priority="2788">
      <iconSet iconSet="5Rating" showValue="0">
        <cfvo type="percent" val="0"/>
        <cfvo type="num" val="1" gte="0"/>
        <cfvo type="num" val="2" gte="0"/>
        <cfvo type="num" val="3" gte="0"/>
        <cfvo type="num" val="4" gte="0"/>
      </iconSet>
    </cfRule>
  </conditionalFormatting>
  <conditionalFormatting sqref="R19">
    <cfRule type="containsText" dxfId="626" priority="26" operator="containsText" text="Complété">
      <formula>NOT(ISERROR(SEARCH("Complété",R19)))</formula>
    </cfRule>
    <cfRule type="containsText" dxfId="625" priority="27" operator="containsText" text="À compléter">
      <formula>NOT(ISERROR(SEARCH("À compléter",R19)))</formula>
    </cfRule>
  </conditionalFormatting>
  <conditionalFormatting sqref="R57">
    <cfRule type="containsText" dxfId="624" priority="22" operator="containsText" text="Complété">
      <formula>NOT(ISERROR(SEARCH("Complété",R57)))</formula>
    </cfRule>
    <cfRule type="containsText" dxfId="623" priority="23" operator="containsText" text="À compléter">
      <formula>NOT(ISERROR(SEARCH("À compléter",R57)))</formula>
    </cfRule>
  </conditionalFormatting>
  <conditionalFormatting sqref="R101">
    <cfRule type="containsText" dxfId="622" priority="6" operator="containsText" text="Complété">
      <formula>NOT(ISERROR(SEARCH("Complété",R101)))</formula>
    </cfRule>
    <cfRule type="containsText" dxfId="621" priority="7" operator="containsText" text="À compléter">
      <formula>NOT(ISERROR(SEARCH("À compléter",R101)))</formula>
    </cfRule>
  </conditionalFormatting>
  <conditionalFormatting sqref="R156">
    <cfRule type="containsText" dxfId="620" priority="2" operator="containsText" text="Complété">
      <formula>NOT(ISERROR(SEARCH("Complété",R156)))</formula>
    </cfRule>
    <cfRule type="containsText" dxfId="619" priority="3" operator="containsText" text="À compléter">
      <formula>NOT(ISERROR(SEARCH("À compléter",R156)))</formula>
    </cfRule>
  </conditionalFormatting>
  <hyperlinks>
    <hyperlink ref="O6:R6" r:id="rId1" display="https://fr.surveymonkey.com/r/PGA-Eau" xr:uid="{00000000-0004-0000-0100-000000000000}"/>
  </hyperlinks>
  <pageMargins left="0.9055118110236221" right="0.70866141732283472" top="0.55118110236220474" bottom="0.55118110236220474" header="0.31496062992125984" footer="0.31496062992125984"/>
  <pageSetup scale="56" fitToHeight="0" orientation="landscape" r:id="rId2"/>
  <headerFooter>
    <oddFooter>&amp;L&amp;9Version 1.0   © CERIU2023&amp;R&amp;9Onglet MODE D'EMPLOI
Page &amp;P de &amp;N</oddFooter>
  </headerFooter>
  <rowBreaks count="2" manualBreakCount="2">
    <brk id="52" max="16383" man="1"/>
    <brk id="98" max="16383"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499984740745262"/>
    <pageSetUpPr fitToPage="1"/>
  </sheetPr>
  <dimension ref="A1:AI141"/>
  <sheetViews>
    <sheetView showGridLines="0" zoomScaleNormal="100" workbookViewId="0"/>
  </sheetViews>
  <sheetFormatPr baseColWidth="10" defaultRowHeight="15" x14ac:dyDescent="0.25"/>
  <cols>
    <col min="1" max="1" width="2" style="28" customWidth="1"/>
    <col min="2" max="2" width="3.42578125" style="28" customWidth="1"/>
    <col min="3" max="3" width="23.5703125" style="28" customWidth="1"/>
    <col min="4" max="15" width="15.42578125" style="28" customWidth="1"/>
    <col min="16" max="16" width="3.7109375" style="28" customWidth="1"/>
    <col min="17" max="18" width="3" style="28" customWidth="1"/>
    <col min="19" max="16384" width="11.42578125" style="28"/>
  </cols>
  <sheetData>
    <row r="1" spans="1:35" ht="9" customHeight="1" x14ac:dyDescent="0.25"/>
    <row r="2" spans="1:35" ht="44.25" customHeight="1" x14ac:dyDescent="0.3">
      <c r="B2" s="788" t="s">
        <v>1640</v>
      </c>
      <c r="C2" s="785"/>
      <c r="D2" s="785"/>
      <c r="E2" s="785"/>
      <c r="F2" s="785"/>
      <c r="G2" s="785"/>
      <c r="H2" s="785"/>
      <c r="I2" s="785"/>
      <c r="J2" s="785"/>
      <c r="K2" s="785"/>
      <c r="L2" s="786"/>
      <c r="M2" s="786"/>
      <c r="N2" s="786"/>
      <c r="O2" s="789"/>
      <c r="P2" s="789"/>
      <c r="Q2" s="789"/>
    </row>
    <row r="3" spans="1:35" ht="26.25" customHeight="1" x14ac:dyDescent="0.25">
      <c r="B3" s="600"/>
      <c r="C3" s="599"/>
      <c r="M3" s="2814" t="s">
        <v>2149</v>
      </c>
      <c r="N3" s="2815"/>
      <c r="O3" s="2815"/>
      <c r="P3" s="2815"/>
      <c r="Q3" s="2815"/>
    </row>
    <row r="4" spans="1:35" ht="9.75" customHeight="1" thickBot="1" x14ac:dyDescent="0.35">
      <c r="B4" s="483"/>
      <c r="C4" s="484"/>
      <c r="D4" s="484"/>
      <c r="E4" s="484"/>
      <c r="F4" s="484"/>
      <c r="G4" s="484"/>
      <c r="H4" s="484"/>
      <c r="I4" s="484"/>
      <c r="J4" s="484"/>
      <c r="K4" s="484"/>
      <c r="L4" s="35"/>
      <c r="M4" s="35"/>
      <c r="N4" s="35"/>
      <c r="O4" s="58"/>
      <c r="P4" s="58"/>
      <c r="Q4" s="58"/>
    </row>
    <row r="5" spans="1:35" ht="9" customHeight="1" x14ac:dyDescent="0.25">
      <c r="B5" s="860"/>
      <c r="C5" s="861"/>
      <c r="D5" s="861"/>
      <c r="E5" s="861"/>
      <c r="F5" s="861"/>
      <c r="G5" s="861"/>
      <c r="H5" s="861"/>
      <c r="I5" s="861"/>
      <c r="J5" s="861"/>
      <c r="K5" s="861"/>
      <c r="L5" s="861"/>
      <c r="M5" s="861"/>
      <c r="N5" s="861"/>
      <c r="O5" s="861"/>
      <c r="P5" s="862"/>
      <c r="Q5" s="863"/>
    </row>
    <row r="6" spans="1:35" ht="23.25" customHeight="1" x14ac:dyDescent="0.25">
      <c r="B6" s="978" t="s">
        <v>1654</v>
      </c>
      <c r="C6" s="799"/>
      <c r="D6" s="813"/>
      <c r="E6" s="813"/>
      <c r="F6" s="813"/>
      <c r="G6" s="799"/>
      <c r="H6" s="977"/>
      <c r="I6" s="2888" t="s">
        <v>1753</v>
      </c>
      <c r="J6" s="2832"/>
      <c r="K6" s="2832"/>
      <c r="L6" s="2832"/>
      <c r="M6" s="2832"/>
      <c r="N6" s="2832"/>
      <c r="O6" s="2832"/>
      <c r="P6" s="806"/>
      <c r="Q6" s="807"/>
    </row>
    <row r="7" spans="1:35" ht="10.5" customHeight="1" x14ac:dyDescent="0.25">
      <c r="B7" s="864"/>
      <c r="C7" s="1220"/>
      <c r="D7" s="813"/>
      <c r="E7" s="813"/>
      <c r="F7" s="813"/>
      <c r="G7" s="799"/>
      <c r="H7" s="865"/>
      <c r="I7" s="2889"/>
      <c r="J7" s="799"/>
      <c r="K7" s="866"/>
      <c r="L7" s="799"/>
      <c r="M7" s="867"/>
      <c r="N7" s="866"/>
      <c r="O7" s="1213"/>
      <c r="P7" s="806"/>
      <c r="Q7" s="807"/>
    </row>
    <row r="8" spans="1:35" s="72" customFormat="1" ht="19.5" customHeight="1" x14ac:dyDescent="0.25">
      <c r="B8" s="805"/>
      <c r="C8" s="1221" t="s">
        <v>1655</v>
      </c>
      <c r="D8" s="876" t="s">
        <v>1649</v>
      </c>
      <c r="E8" s="877"/>
      <c r="F8" s="877"/>
      <c r="G8" s="877"/>
      <c r="H8" s="878"/>
      <c r="I8" s="879" t="str">
        <f>O19</f>
        <v>À compléter</v>
      </c>
      <c r="J8" s="877"/>
      <c r="K8" s="883"/>
      <c r="L8" s="883"/>
      <c r="M8" s="883"/>
      <c r="N8" s="883"/>
      <c r="O8" s="884"/>
      <c r="P8" s="806"/>
      <c r="Q8" s="807"/>
    </row>
    <row r="9" spans="1:35" s="72" customFormat="1" ht="19.5" customHeight="1" x14ac:dyDescent="0.25">
      <c r="B9" s="805"/>
      <c r="C9" s="1222" t="s">
        <v>1656</v>
      </c>
      <c r="D9" s="870" t="s">
        <v>1651</v>
      </c>
      <c r="E9" s="871"/>
      <c r="F9" s="871"/>
      <c r="G9" s="872"/>
      <c r="H9" s="873"/>
      <c r="I9" s="874" t="str">
        <f>O39</f>
        <v>À compléter</v>
      </c>
      <c r="J9" s="872"/>
      <c r="K9" s="883"/>
      <c r="L9" s="883"/>
      <c r="M9" s="883"/>
      <c r="N9" s="883"/>
      <c r="O9" s="884"/>
      <c r="P9" s="806"/>
      <c r="Q9" s="807"/>
    </row>
    <row r="10" spans="1:35" s="72" customFormat="1" ht="19.5" customHeight="1" x14ac:dyDescent="0.25">
      <c r="B10" s="805"/>
      <c r="C10" s="1222" t="s">
        <v>1657</v>
      </c>
      <c r="D10" s="870" t="s">
        <v>1652</v>
      </c>
      <c r="E10" s="871"/>
      <c r="F10" s="871"/>
      <c r="G10" s="875"/>
      <c r="H10" s="873"/>
      <c r="I10" s="874" t="str">
        <f>O56</f>
        <v>À compléter</v>
      </c>
      <c r="J10" s="875"/>
      <c r="K10" s="883"/>
      <c r="L10" s="883"/>
      <c r="M10" s="883"/>
      <c r="N10" s="883"/>
      <c r="O10" s="884"/>
      <c r="P10" s="806"/>
      <c r="Q10" s="807"/>
    </row>
    <row r="11" spans="1:35" s="72" customFormat="1" ht="19.5" customHeight="1" x14ac:dyDescent="0.25">
      <c r="B11" s="805"/>
      <c r="C11" s="1222" t="s">
        <v>1658</v>
      </c>
      <c r="D11" s="870" t="s">
        <v>1742</v>
      </c>
      <c r="E11" s="871"/>
      <c r="F11" s="871"/>
      <c r="G11" s="875"/>
      <c r="H11" s="873"/>
      <c r="I11" s="874" t="str">
        <f>O70</f>
        <v>À compléter</v>
      </c>
      <c r="J11" s="875"/>
      <c r="K11" s="883"/>
      <c r="L11" s="883"/>
      <c r="M11" s="883"/>
      <c r="N11" s="883"/>
      <c r="O11" s="884"/>
      <c r="P11" s="806"/>
      <c r="Q11" s="807"/>
    </row>
    <row r="12" spans="1:35" s="72" customFormat="1" ht="19.5" customHeight="1" x14ac:dyDescent="0.25">
      <c r="B12" s="805"/>
      <c r="C12" s="1223" t="s">
        <v>1659</v>
      </c>
      <c r="D12" s="927" t="s">
        <v>1653</v>
      </c>
      <c r="E12" s="928"/>
      <c r="F12" s="928"/>
      <c r="G12" s="929"/>
      <c r="H12" s="930"/>
      <c r="I12" s="931" t="str">
        <f>O102</f>
        <v>À compléter</v>
      </c>
      <c r="J12" s="929"/>
      <c r="K12" s="883"/>
      <c r="L12" s="883"/>
      <c r="M12" s="883"/>
      <c r="N12" s="883"/>
      <c r="O12" s="884"/>
      <c r="P12" s="806"/>
      <c r="Q12" s="807"/>
    </row>
    <row r="13" spans="1:35" s="72" customFormat="1" ht="19.5" customHeight="1" x14ac:dyDescent="0.25">
      <c r="B13" s="805"/>
      <c r="C13" s="1224" t="s">
        <v>1686</v>
      </c>
      <c r="D13" s="880" t="s">
        <v>1743</v>
      </c>
      <c r="E13" s="881"/>
      <c r="F13" s="881"/>
      <c r="G13" s="881"/>
      <c r="H13" s="882"/>
      <c r="I13" s="886" t="str">
        <f>O124</f>
        <v>À compléter</v>
      </c>
      <c r="J13" s="881"/>
      <c r="K13" s="884"/>
      <c r="L13" s="884"/>
      <c r="M13" s="884"/>
      <c r="N13" s="884"/>
      <c r="O13" s="884"/>
      <c r="P13" s="806"/>
      <c r="Q13" s="807"/>
    </row>
    <row r="14" spans="1:35" ht="14.25" customHeight="1" thickBot="1" x14ac:dyDescent="0.3">
      <c r="B14" s="824"/>
      <c r="C14" s="821"/>
      <c r="D14" s="821"/>
      <c r="E14" s="821"/>
      <c r="F14" s="868"/>
      <c r="G14" s="868"/>
      <c r="H14" s="868"/>
      <c r="I14" s="868"/>
      <c r="J14" s="810"/>
      <c r="K14" s="810"/>
      <c r="L14" s="810"/>
      <c r="M14" s="869"/>
      <c r="N14" s="869"/>
      <c r="O14" s="869"/>
      <c r="P14" s="841"/>
      <c r="Q14" s="842"/>
    </row>
    <row r="15" spans="1:35" ht="18.75" customHeight="1" x14ac:dyDescent="0.3">
      <c r="B15" s="483"/>
      <c r="C15" s="484"/>
      <c r="D15" s="484"/>
      <c r="E15" s="484"/>
      <c r="F15" s="484"/>
      <c r="G15" s="484"/>
      <c r="H15" s="484"/>
      <c r="I15" s="484"/>
      <c r="J15" s="484"/>
      <c r="K15" s="484"/>
      <c r="L15" s="35"/>
      <c r="M15" s="35"/>
      <c r="N15" s="35"/>
      <c r="O15" s="58"/>
      <c r="P15" s="58"/>
      <c r="Q15" s="58"/>
    </row>
    <row r="16" spans="1:35" ht="24" customHeight="1" x14ac:dyDescent="0.25">
      <c r="A16" s="1225"/>
      <c r="B16" s="857" t="s">
        <v>1660</v>
      </c>
      <c r="C16" s="858"/>
      <c r="D16" s="858"/>
      <c r="E16" s="858"/>
      <c r="F16" s="858"/>
      <c r="G16" s="858"/>
      <c r="H16" s="858"/>
      <c r="I16" s="858"/>
      <c r="J16" s="858"/>
      <c r="K16" s="858"/>
      <c r="L16" s="859"/>
      <c r="M16" s="859"/>
      <c r="N16" s="859"/>
      <c r="O16" s="787"/>
      <c r="P16" s="787"/>
      <c r="Q16" s="787"/>
      <c r="AC16" s="245"/>
      <c r="AD16" s="246"/>
      <c r="AE16" s="246"/>
      <c r="AF16" s="246"/>
      <c r="AG16" s="55"/>
      <c r="AH16" s="55"/>
      <c r="AI16" s="55"/>
    </row>
    <row r="17" spans="2:17" ht="12.75" customHeight="1" thickBot="1" x14ac:dyDescent="0.3"/>
    <row r="18" spans="2:17" ht="14.25" customHeight="1" x14ac:dyDescent="0.25">
      <c r="B18" s="790"/>
      <c r="C18" s="791"/>
      <c r="D18" s="791"/>
      <c r="E18" s="792"/>
      <c r="F18" s="793"/>
      <c r="G18" s="793"/>
      <c r="H18" s="793"/>
      <c r="I18" s="793"/>
      <c r="J18" s="793"/>
      <c r="K18" s="793"/>
      <c r="L18" s="793"/>
      <c r="M18" s="793"/>
      <c r="N18" s="793"/>
      <c r="O18" s="793"/>
      <c r="P18" s="793"/>
      <c r="Q18" s="794"/>
    </row>
    <row r="19" spans="2:17" ht="18" customHeight="1" x14ac:dyDescent="0.25">
      <c r="B19" s="795"/>
      <c r="C19" s="796" t="s">
        <v>1499</v>
      </c>
      <c r="D19" s="797"/>
      <c r="E19" s="798"/>
      <c r="F19" s="799"/>
      <c r="G19" s="799"/>
      <c r="H19" s="799"/>
      <c r="I19" s="799"/>
      <c r="J19" s="799"/>
      <c r="K19" s="799"/>
      <c r="L19" s="799"/>
      <c r="M19" s="800"/>
      <c r="N19" s="800" t="s">
        <v>59</v>
      </c>
      <c r="O19" s="359" t="str">
        <f>IF((ISBLANK(N32)=FALSE),"Complété","À compléter")</f>
        <v>À compléter</v>
      </c>
      <c r="P19" s="799"/>
      <c r="Q19" s="802"/>
    </row>
    <row r="20" spans="2:17" ht="12" customHeight="1" x14ac:dyDescent="0.25">
      <c r="B20" s="803"/>
      <c r="C20" s="804"/>
      <c r="D20" s="804"/>
      <c r="E20" s="804"/>
      <c r="F20" s="799"/>
      <c r="G20" s="799"/>
      <c r="H20" s="799"/>
      <c r="I20" s="799"/>
      <c r="J20" s="799"/>
      <c r="K20" s="799"/>
      <c r="L20" s="799"/>
      <c r="M20" s="799"/>
      <c r="N20" s="799"/>
      <c r="O20" s="799"/>
      <c r="P20" s="799"/>
      <c r="Q20" s="802"/>
    </row>
    <row r="21" spans="2:17" ht="25.5" customHeight="1" x14ac:dyDescent="0.25">
      <c r="B21" s="805"/>
      <c r="C21" s="2846" t="s">
        <v>245</v>
      </c>
      <c r="D21" s="2847"/>
      <c r="E21" s="2847"/>
      <c r="F21" s="2847"/>
      <c r="G21" s="2847"/>
      <c r="H21" s="2847"/>
      <c r="I21" s="2847"/>
      <c r="J21" s="2847"/>
      <c r="K21" s="2847"/>
      <c r="L21" s="2847"/>
      <c r="M21" s="2847"/>
      <c r="N21" s="2847"/>
      <c r="O21" s="2847"/>
      <c r="P21" s="887"/>
      <c r="Q21" s="807"/>
    </row>
    <row r="22" spans="2:17" ht="20.25" customHeight="1" x14ac:dyDescent="0.25">
      <c r="B22" s="805"/>
      <c r="C22" s="2848" t="s">
        <v>1670</v>
      </c>
      <c r="D22" s="2849"/>
      <c r="E22" s="2849"/>
      <c r="F22" s="2849"/>
      <c r="G22" s="2849"/>
      <c r="H22" s="2849"/>
      <c r="I22" s="2849"/>
      <c r="J22" s="2849"/>
      <c r="K22" s="2849"/>
      <c r="L22" s="2849"/>
      <c r="M22" s="2849"/>
      <c r="N22" s="2849"/>
      <c r="O22" s="2849"/>
      <c r="P22" s="686"/>
      <c r="Q22" s="807"/>
    </row>
    <row r="23" spans="2:17" ht="16.5" customHeight="1" x14ac:dyDescent="0.25">
      <c r="B23" s="805"/>
      <c r="C23" s="2850" t="s">
        <v>1852</v>
      </c>
      <c r="D23" s="2851"/>
      <c r="E23" s="2851"/>
      <c r="F23" s="2851"/>
      <c r="G23" s="2851"/>
      <c r="H23" s="2851"/>
      <c r="I23" s="2851"/>
      <c r="J23" s="2851"/>
      <c r="K23" s="2851"/>
      <c r="L23" s="2851"/>
      <c r="M23" s="2851"/>
      <c r="N23" s="2851"/>
      <c r="O23" s="2851"/>
      <c r="P23" s="686"/>
      <c r="Q23" s="807"/>
    </row>
    <row r="24" spans="2:17" ht="34.5" customHeight="1" x14ac:dyDescent="0.25">
      <c r="B24" s="805"/>
      <c r="C24" s="2856" t="s">
        <v>1661</v>
      </c>
      <c r="D24" s="2857"/>
      <c r="E24" s="2857"/>
      <c r="F24" s="2857"/>
      <c r="G24" s="2857"/>
      <c r="H24" s="2857"/>
      <c r="I24" s="2857"/>
      <c r="J24" s="2857"/>
      <c r="K24" s="2857"/>
      <c r="L24" s="2857"/>
      <c r="M24" s="2857"/>
      <c r="N24" s="2857"/>
      <c r="O24" s="2857"/>
      <c r="P24" s="686"/>
      <c r="Q24" s="807"/>
    </row>
    <row r="25" spans="2:17" ht="18" customHeight="1" x14ac:dyDescent="0.25">
      <c r="B25" s="805"/>
      <c r="C25" s="2850" t="s">
        <v>247</v>
      </c>
      <c r="D25" s="2851"/>
      <c r="E25" s="2851"/>
      <c r="F25" s="2851"/>
      <c r="G25" s="2851"/>
      <c r="H25" s="2851"/>
      <c r="I25" s="2851"/>
      <c r="J25" s="2851"/>
      <c r="K25" s="2851"/>
      <c r="L25" s="2851"/>
      <c r="M25" s="2851"/>
      <c r="N25" s="2851"/>
      <c r="O25" s="2851"/>
      <c r="P25" s="686"/>
      <c r="Q25" s="807"/>
    </row>
    <row r="26" spans="2:17" ht="36.75" customHeight="1" x14ac:dyDescent="0.25">
      <c r="B26" s="805"/>
      <c r="C26" s="2848" t="s">
        <v>1671</v>
      </c>
      <c r="D26" s="2849"/>
      <c r="E26" s="2849"/>
      <c r="F26" s="2849"/>
      <c r="G26" s="2849"/>
      <c r="H26" s="2849"/>
      <c r="I26" s="2849"/>
      <c r="J26" s="2849"/>
      <c r="K26" s="2849"/>
      <c r="L26" s="2849"/>
      <c r="M26" s="2849"/>
      <c r="N26" s="2849"/>
      <c r="O26" s="2849"/>
      <c r="P26" s="686"/>
      <c r="Q26" s="807"/>
    </row>
    <row r="27" spans="2:17" ht="19.5" customHeight="1" x14ac:dyDescent="0.25">
      <c r="B27" s="805"/>
      <c r="C27" s="888" t="s">
        <v>1427</v>
      </c>
      <c r="D27" s="324"/>
      <c r="E27" s="271"/>
      <c r="F27" s="271"/>
      <c r="G27" s="271"/>
      <c r="H27" s="271"/>
      <c r="I27" s="271"/>
      <c r="J27" s="271"/>
      <c r="K27" s="271"/>
      <c r="L27" s="271"/>
      <c r="M27" s="271"/>
      <c r="N27" s="271"/>
      <c r="O27" s="271"/>
      <c r="P27" s="686"/>
      <c r="Q27" s="807"/>
    </row>
    <row r="28" spans="2:17" ht="15.75" customHeight="1" x14ac:dyDescent="0.25">
      <c r="B28" s="805"/>
      <c r="C28" s="889" t="s">
        <v>1587</v>
      </c>
      <c r="D28" s="78"/>
      <c r="E28" s="271"/>
      <c r="F28" s="271"/>
      <c r="G28" s="271"/>
      <c r="H28" s="271"/>
      <c r="I28" s="271"/>
      <c r="J28" s="271"/>
      <c r="K28" s="271"/>
      <c r="L28" s="271"/>
      <c r="M28" s="271"/>
      <c r="N28" s="271"/>
      <c r="O28" s="271"/>
      <c r="P28" s="686"/>
      <c r="Q28" s="807"/>
    </row>
    <row r="29" spans="2:17" ht="11.25" customHeight="1" x14ac:dyDescent="0.25">
      <c r="B29" s="805"/>
      <c r="C29" s="2866"/>
      <c r="D29" s="2867"/>
      <c r="E29" s="2867"/>
      <c r="F29" s="2867"/>
      <c r="G29" s="2867"/>
      <c r="H29" s="2867"/>
      <c r="I29" s="2867"/>
      <c r="J29" s="2867"/>
      <c r="K29" s="2867"/>
      <c r="L29" s="2867"/>
      <c r="M29" s="2867"/>
      <c r="N29" s="2867"/>
      <c r="O29" s="2867"/>
      <c r="P29" s="2868"/>
      <c r="Q29" s="807"/>
    </row>
    <row r="30" spans="2:17" ht="13.5" customHeight="1" x14ac:dyDescent="0.25">
      <c r="B30" s="805"/>
      <c r="C30" s="843"/>
      <c r="D30" s="843"/>
      <c r="E30" s="843"/>
      <c r="F30" s="843"/>
      <c r="G30" s="843"/>
      <c r="H30" s="843"/>
      <c r="I30" s="843"/>
      <c r="J30" s="843"/>
      <c r="K30" s="843"/>
      <c r="L30" s="843"/>
      <c r="M30" s="843"/>
      <c r="N30" s="844"/>
      <c r="O30" s="844"/>
      <c r="P30" s="806"/>
      <c r="Q30" s="807"/>
    </row>
    <row r="31" spans="2:17" ht="10.5" customHeight="1" x14ac:dyDescent="0.25">
      <c r="B31" s="805"/>
      <c r="C31" s="264"/>
      <c r="D31" s="265"/>
      <c r="E31" s="281"/>
      <c r="F31" s="281"/>
      <c r="G31" s="281"/>
      <c r="H31" s="281"/>
      <c r="I31" s="281"/>
      <c r="J31" s="281"/>
      <c r="K31" s="281"/>
      <c r="L31" s="281"/>
      <c r="M31" s="281"/>
      <c r="N31" s="281"/>
      <c r="O31" s="281"/>
      <c r="P31" s="267"/>
      <c r="Q31" s="807"/>
    </row>
    <row r="32" spans="2:17" ht="30.75" customHeight="1" x14ac:dyDescent="0.35">
      <c r="B32" s="845" t="str">
        <f>IF(ISBLANK(N32)=FALSE,"","u")</f>
        <v>u</v>
      </c>
      <c r="C32" s="2858" t="s">
        <v>1757</v>
      </c>
      <c r="D32" s="2859"/>
      <c r="E32" s="2859"/>
      <c r="F32" s="2859"/>
      <c r="G32" s="2859"/>
      <c r="H32" s="2859"/>
      <c r="I32" s="2859"/>
      <c r="J32" s="2859"/>
      <c r="K32" s="2859"/>
      <c r="L32" s="2859"/>
      <c r="M32" s="2859"/>
      <c r="N32" s="2854"/>
      <c r="O32" s="2855"/>
      <c r="P32" s="947">
        <v>6</v>
      </c>
      <c r="Q32" s="807"/>
    </row>
    <row r="33" spans="1:35" ht="9.75" customHeight="1" x14ac:dyDescent="0.25">
      <c r="B33" s="805"/>
      <c r="C33" s="310"/>
      <c r="D33" s="311"/>
      <c r="E33" s="851"/>
      <c r="F33" s="851"/>
      <c r="G33" s="851"/>
      <c r="H33" s="851"/>
      <c r="I33" s="851"/>
      <c r="J33" s="851"/>
      <c r="K33" s="851"/>
      <c r="L33" s="851"/>
      <c r="M33" s="851"/>
      <c r="N33" s="851"/>
      <c r="O33" s="851"/>
      <c r="P33" s="313"/>
      <c r="Q33" s="807"/>
    </row>
    <row r="34" spans="1:35" ht="14.25" customHeight="1" thickBot="1" x14ac:dyDescent="0.3">
      <c r="B34" s="808"/>
      <c r="C34" s="809"/>
      <c r="D34" s="809"/>
      <c r="E34" s="809"/>
      <c r="F34" s="810"/>
      <c r="G34" s="810"/>
      <c r="H34" s="810"/>
      <c r="I34" s="810"/>
      <c r="J34" s="810"/>
      <c r="K34" s="810"/>
      <c r="L34" s="810"/>
      <c r="M34" s="810"/>
      <c r="N34" s="810"/>
      <c r="O34" s="810"/>
      <c r="P34" s="810"/>
      <c r="Q34" s="811"/>
    </row>
    <row r="35" spans="1:35" ht="18.75" customHeight="1" x14ac:dyDescent="0.3">
      <c r="B35" s="483"/>
      <c r="C35" s="484"/>
      <c r="D35" s="484"/>
      <c r="E35" s="484"/>
      <c r="F35" s="484"/>
      <c r="G35" s="484"/>
      <c r="H35" s="484"/>
      <c r="I35" s="484"/>
      <c r="J35" s="484"/>
      <c r="K35" s="484"/>
      <c r="L35" s="35"/>
      <c r="M35" s="35"/>
      <c r="N35" s="35"/>
      <c r="O35" s="58"/>
      <c r="P35" s="58"/>
      <c r="Q35" s="58"/>
    </row>
    <row r="36" spans="1:35" ht="24" customHeight="1" x14ac:dyDescent="0.25">
      <c r="A36" s="1225"/>
      <c r="B36" s="857" t="s">
        <v>1667</v>
      </c>
      <c r="C36" s="858"/>
      <c r="D36" s="858"/>
      <c r="E36" s="858"/>
      <c r="F36" s="858"/>
      <c r="G36" s="858"/>
      <c r="H36" s="858"/>
      <c r="I36" s="858"/>
      <c r="J36" s="858"/>
      <c r="K36" s="858"/>
      <c r="L36" s="859"/>
      <c r="M36" s="859"/>
      <c r="N36" s="859"/>
      <c r="O36" s="787"/>
      <c r="P36" s="787"/>
      <c r="Q36" s="787"/>
      <c r="AC36" s="245"/>
      <c r="AD36" s="246"/>
      <c r="AE36" s="246"/>
      <c r="AF36" s="246"/>
      <c r="AG36" s="55"/>
      <c r="AH36" s="55"/>
      <c r="AI36" s="55"/>
    </row>
    <row r="37" spans="1:35" ht="12.75" customHeight="1" thickBot="1" x14ac:dyDescent="0.3"/>
    <row r="38" spans="1:35" ht="14.25" customHeight="1" x14ac:dyDescent="0.25">
      <c r="B38" s="790"/>
      <c r="C38" s="791"/>
      <c r="D38" s="791"/>
      <c r="E38" s="792"/>
      <c r="F38" s="793"/>
      <c r="G38" s="793"/>
      <c r="H38" s="793"/>
      <c r="I38" s="793"/>
      <c r="J38" s="793"/>
      <c r="K38" s="793"/>
      <c r="L38" s="793"/>
      <c r="M38" s="793"/>
      <c r="N38" s="793"/>
      <c r="O38" s="793"/>
      <c r="P38" s="793"/>
      <c r="Q38" s="794"/>
    </row>
    <row r="39" spans="1:35" ht="18" customHeight="1" x14ac:dyDescent="0.25">
      <c r="B39" s="795"/>
      <c r="C39" s="852" t="s">
        <v>1543</v>
      </c>
      <c r="D39" s="846"/>
      <c r="E39" s="847"/>
      <c r="F39" s="848"/>
      <c r="G39" s="848"/>
      <c r="H39" s="848"/>
      <c r="I39" s="848"/>
      <c r="J39" s="848"/>
      <c r="K39" s="848"/>
      <c r="L39" s="848"/>
      <c r="M39" s="849"/>
      <c r="N39" s="800" t="s">
        <v>59</v>
      </c>
      <c r="O39" s="359" t="str">
        <f>IF((ISBLANK(N49)=FALSE),"Complété","À compléter")</f>
        <v>À compléter</v>
      </c>
      <c r="P39" s="799"/>
      <c r="Q39" s="802"/>
    </row>
    <row r="40" spans="1:35" ht="12" customHeight="1" x14ac:dyDescent="0.25">
      <c r="B40" s="803"/>
      <c r="C40" s="850"/>
      <c r="D40" s="850"/>
      <c r="E40" s="850"/>
      <c r="F40" s="848"/>
      <c r="G40" s="848"/>
      <c r="H40" s="848"/>
      <c r="I40" s="848"/>
      <c r="J40" s="848"/>
      <c r="K40" s="848"/>
      <c r="L40" s="848"/>
      <c r="M40" s="848"/>
      <c r="N40" s="848"/>
      <c r="O40" s="848"/>
      <c r="P40" s="799"/>
      <c r="Q40" s="802"/>
    </row>
    <row r="41" spans="1:35" ht="27" customHeight="1" x14ac:dyDescent="0.25">
      <c r="B41" s="805"/>
      <c r="C41" s="2846" t="s">
        <v>245</v>
      </c>
      <c r="D41" s="2847"/>
      <c r="E41" s="2847"/>
      <c r="F41" s="2847"/>
      <c r="G41" s="2847"/>
      <c r="H41" s="2847"/>
      <c r="I41" s="2847"/>
      <c r="J41" s="2847"/>
      <c r="K41" s="2847"/>
      <c r="L41" s="2847"/>
      <c r="M41" s="2847"/>
      <c r="N41" s="2847"/>
      <c r="O41" s="2847"/>
      <c r="P41" s="887"/>
      <c r="Q41" s="807"/>
    </row>
    <row r="42" spans="1:35" ht="20.25" customHeight="1" x14ac:dyDescent="0.25">
      <c r="B42" s="803"/>
      <c r="C42" s="2848" t="s">
        <v>1853</v>
      </c>
      <c r="D42" s="2849"/>
      <c r="E42" s="2849"/>
      <c r="F42" s="2849"/>
      <c r="G42" s="2849"/>
      <c r="H42" s="2849"/>
      <c r="I42" s="2849"/>
      <c r="J42" s="2849"/>
      <c r="K42" s="2849"/>
      <c r="L42" s="2849"/>
      <c r="M42" s="2849"/>
      <c r="N42" s="2849"/>
      <c r="O42" s="2849"/>
      <c r="P42" s="890"/>
      <c r="Q42" s="802"/>
    </row>
    <row r="43" spans="1:35" ht="18" customHeight="1" x14ac:dyDescent="0.25">
      <c r="B43" s="803"/>
      <c r="C43" s="2856" t="s">
        <v>1754</v>
      </c>
      <c r="D43" s="2857"/>
      <c r="E43" s="2857"/>
      <c r="F43" s="2857"/>
      <c r="G43" s="2857"/>
      <c r="H43" s="2857"/>
      <c r="I43" s="2857"/>
      <c r="J43" s="2857"/>
      <c r="K43" s="2857"/>
      <c r="L43" s="2857"/>
      <c r="M43" s="2857"/>
      <c r="N43" s="2857"/>
      <c r="O43" s="2857"/>
      <c r="P43" s="890"/>
      <c r="Q43" s="802"/>
    </row>
    <row r="44" spans="1:35" ht="54.75" customHeight="1" x14ac:dyDescent="0.25">
      <c r="B44" s="803"/>
      <c r="C44" s="2856" t="s">
        <v>1755</v>
      </c>
      <c r="D44" s="2857"/>
      <c r="E44" s="2857"/>
      <c r="F44" s="2857"/>
      <c r="G44" s="2857"/>
      <c r="H44" s="2857"/>
      <c r="I44" s="2857"/>
      <c r="J44" s="2857"/>
      <c r="K44" s="2857"/>
      <c r="L44" s="2857"/>
      <c r="M44" s="2857"/>
      <c r="N44" s="2857"/>
      <c r="O44" s="2857"/>
      <c r="P44" s="890"/>
      <c r="Q44" s="802"/>
    </row>
    <row r="45" spans="1:35" ht="23.25" customHeight="1" x14ac:dyDescent="0.25">
      <c r="B45" s="805"/>
      <c r="C45" s="2838" t="s">
        <v>1669</v>
      </c>
      <c r="D45" s="2839"/>
      <c r="E45" s="2839"/>
      <c r="F45" s="2839"/>
      <c r="G45" s="2839"/>
      <c r="H45" s="2839"/>
      <c r="I45" s="2839"/>
      <c r="J45" s="2839"/>
      <c r="K45" s="2839"/>
      <c r="L45" s="2839"/>
      <c r="M45" s="2839"/>
      <c r="N45" s="2839"/>
      <c r="O45" s="2839"/>
      <c r="P45" s="890"/>
      <c r="Q45" s="807"/>
    </row>
    <row r="46" spans="1:35" ht="27" customHeight="1" x14ac:dyDescent="0.25">
      <c r="B46" s="805"/>
      <c r="C46" s="2840" t="s">
        <v>2153</v>
      </c>
      <c r="D46" s="2841"/>
      <c r="E46" s="2841"/>
      <c r="F46" s="2841"/>
      <c r="G46" s="2841"/>
      <c r="H46" s="2841"/>
      <c r="I46" s="2841"/>
      <c r="J46" s="2841"/>
      <c r="K46" s="2841"/>
      <c r="L46" s="2841"/>
      <c r="M46" s="2841"/>
      <c r="N46" s="2841"/>
      <c r="O46" s="2841"/>
      <c r="P46" s="313"/>
      <c r="Q46" s="807"/>
    </row>
    <row r="47" spans="1:35" ht="13.5" customHeight="1" x14ac:dyDescent="0.25">
      <c r="B47" s="805"/>
      <c r="C47" s="843"/>
      <c r="D47" s="843"/>
      <c r="E47" s="843"/>
      <c r="F47" s="843"/>
      <c r="G47" s="843"/>
      <c r="H47" s="843"/>
      <c r="I47" s="843"/>
      <c r="J47" s="843"/>
      <c r="K47" s="843"/>
      <c r="L47" s="843"/>
      <c r="M47" s="843"/>
      <c r="N47" s="844"/>
      <c r="O47" s="844"/>
      <c r="P47" s="806"/>
      <c r="Q47" s="807"/>
    </row>
    <row r="48" spans="1:35" ht="9.75" customHeight="1" x14ac:dyDescent="0.25">
      <c r="B48" s="805"/>
      <c r="C48" s="264"/>
      <c r="D48" s="265"/>
      <c r="E48" s="281"/>
      <c r="F48" s="281"/>
      <c r="G48" s="281"/>
      <c r="H48" s="281"/>
      <c r="I48" s="281"/>
      <c r="J48" s="281"/>
      <c r="K48" s="281"/>
      <c r="L48" s="281"/>
      <c r="M48" s="281"/>
      <c r="N48" s="281"/>
      <c r="O48" s="281"/>
      <c r="P48" s="267"/>
      <c r="Q48" s="807"/>
    </row>
    <row r="49" spans="1:35" ht="30.75" customHeight="1" x14ac:dyDescent="0.35">
      <c r="B49" s="845" t="str">
        <f>IF(ISBLANK(N49)=FALSE,"","u")</f>
        <v>u</v>
      </c>
      <c r="C49" s="2852" t="s">
        <v>1756</v>
      </c>
      <c r="D49" s="2853"/>
      <c r="E49" s="2853"/>
      <c r="F49" s="2853"/>
      <c r="G49" s="2853"/>
      <c r="H49" s="2853"/>
      <c r="I49" s="2853"/>
      <c r="J49" s="2853"/>
      <c r="K49" s="2853"/>
      <c r="L49" s="2853"/>
      <c r="M49" s="2853"/>
      <c r="N49" s="2854"/>
      <c r="O49" s="2855"/>
      <c r="P49" s="947">
        <v>6</v>
      </c>
      <c r="Q49" s="807"/>
    </row>
    <row r="50" spans="1:35" ht="9.75" customHeight="1" x14ac:dyDescent="0.25">
      <c r="B50" s="805"/>
      <c r="C50" s="310"/>
      <c r="D50" s="311"/>
      <c r="E50" s="851"/>
      <c r="F50" s="851"/>
      <c r="G50" s="851"/>
      <c r="H50" s="851"/>
      <c r="I50" s="851"/>
      <c r="J50" s="851"/>
      <c r="K50" s="851"/>
      <c r="L50" s="851"/>
      <c r="M50" s="851"/>
      <c r="N50" s="851"/>
      <c r="O50" s="851"/>
      <c r="P50" s="313"/>
      <c r="Q50" s="807"/>
    </row>
    <row r="51" spans="1:35" ht="15" customHeight="1" thickBot="1" x14ac:dyDescent="0.3">
      <c r="B51" s="824"/>
      <c r="C51" s="839"/>
      <c r="D51" s="839"/>
      <c r="E51" s="840"/>
      <c r="F51" s="840"/>
      <c r="G51" s="840"/>
      <c r="H51" s="840"/>
      <c r="I51" s="840"/>
      <c r="J51" s="840"/>
      <c r="K51" s="840"/>
      <c r="L51" s="840"/>
      <c r="M51" s="840"/>
      <c r="N51" s="840"/>
      <c r="O51" s="840"/>
      <c r="P51" s="841"/>
      <c r="Q51" s="842"/>
    </row>
    <row r="52" spans="1:35" ht="18.75" customHeight="1" x14ac:dyDescent="0.3">
      <c r="B52" s="483"/>
      <c r="C52" s="484"/>
      <c r="D52" s="484"/>
      <c r="E52" s="484"/>
      <c r="F52" s="484"/>
      <c r="G52" s="484"/>
      <c r="H52" s="484"/>
      <c r="I52" s="484"/>
      <c r="J52" s="484"/>
      <c r="K52" s="484"/>
      <c r="L52" s="35"/>
      <c r="M52" s="35"/>
      <c r="N52" s="35"/>
      <c r="O52" s="58"/>
      <c r="P52" s="58"/>
      <c r="Q52" s="58"/>
    </row>
    <row r="53" spans="1:35" ht="24" customHeight="1" x14ac:dyDescent="0.25">
      <c r="A53" s="1225"/>
      <c r="B53" s="857" t="s">
        <v>1665</v>
      </c>
      <c r="C53" s="858"/>
      <c r="D53" s="858"/>
      <c r="E53" s="858"/>
      <c r="F53" s="858"/>
      <c r="G53" s="858"/>
      <c r="H53" s="858"/>
      <c r="I53" s="858"/>
      <c r="J53" s="858"/>
      <c r="K53" s="858"/>
      <c r="L53" s="859"/>
      <c r="M53" s="859"/>
      <c r="N53" s="859"/>
      <c r="O53" s="787"/>
      <c r="P53" s="787"/>
      <c r="Q53" s="787"/>
      <c r="AC53" s="245"/>
      <c r="AD53" s="246"/>
      <c r="AE53" s="246"/>
      <c r="AF53" s="246"/>
      <c r="AG53" s="55"/>
      <c r="AH53" s="55"/>
      <c r="AI53" s="55"/>
    </row>
    <row r="54" spans="1:35" ht="12.75" customHeight="1" thickBot="1" x14ac:dyDescent="0.3"/>
    <row r="55" spans="1:35" ht="14.25" customHeight="1" x14ac:dyDescent="0.25">
      <c r="B55" s="790"/>
      <c r="C55" s="791"/>
      <c r="D55" s="791"/>
      <c r="E55" s="792"/>
      <c r="F55" s="793"/>
      <c r="G55" s="793"/>
      <c r="H55" s="793"/>
      <c r="I55" s="793"/>
      <c r="J55" s="793"/>
      <c r="K55" s="793"/>
      <c r="L55" s="793"/>
      <c r="M55" s="793"/>
      <c r="N55" s="793"/>
      <c r="O55" s="793"/>
      <c r="P55" s="793"/>
      <c r="Q55" s="794"/>
    </row>
    <row r="56" spans="1:35" ht="18" customHeight="1" x14ac:dyDescent="0.25">
      <c r="B56" s="795"/>
      <c r="C56" s="852" t="s">
        <v>1662</v>
      </c>
      <c r="D56" s="797"/>
      <c r="E56" s="798"/>
      <c r="F56" s="799"/>
      <c r="G56" s="799"/>
      <c r="H56" s="799"/>
      <c r="I56" s="799"/>
      <c r="J56" s="799"/>
      <c r="K56" s="799"/>
      <c r="L56" s="799"/>
      <c r="M56" s="799"/>
      <c r="N56" s="800" t="s">
        <v>59</v>
      </c>
      <c r="O56" s="359" t="str">
        <f>IF((COUNTBLANK(B61:B64)=ROWS(B61:B64)),"Complété","À compléter")</f>
        <v>À compléter</v>
      </c>
      <c r="P56" s="799"/>
      <c r="Q56" s="802"/>
    </row>
    <row r="57" spans="1:35" ht="6.75" customHeight="1" x14ac:dyDescent="0.25">
      <c r="B57" s="803"/>
      <c r="C57" s="804"/>
      <c r="D57" s="804"/>
      <c r="E57" s="804"/>
      <c r="F57" s="799"/>
      <c r="G57" s="799"/>
      <c r="H57" s="799"/>
      <c r="I57" s="799"/>
      <c r="J57" s="799"/>
      <c r="K57" s="799"/>
      <c r="L57" s="799"/>
      <c r="M57" s="799"/>
      <c r="N57" s="799"/>
      <c r="O57" s="799"/>
      <c r="P57" s="799"/>
      <c r="Q57" s="802"/>
    </row>
    <row r="58" spans="1:35" x14ac:dyDescent="0.25">
      <c r="B58" s="805"/>
      <c r="C58" s="884" t="s">
        <v>1668</v>
      </c>
      <c r="D58" s="823"/>
      <c r="E58" s="806"/>
      <c r="F58" s="806"/>
      <c r="G58" s="806"/>
      <c r="H58" s="806"/>
      <c r="I58" s="806"/>
      <c r="J58" s="806"/>
      <c r="K58" s="806"/>
      <c r="L58" s="806"/>
      <c r="M58" s="806"/>
      <c r="N58" s="806"/>
      <c r="O58" s="806"/>
      <c r="P58" s="806"/>
      <c r="Q58" s="807"/>
    </row>
    <row r="59" spans="1:35" ht="23.25" customHeight="1" x14ac:dyDescent="0.25">
      <c r="B59" s="805"/>
      <c r="C59" s="2845" t="s">
        <v>1429</v>
      </c>
      <c r="D59" s="2845"/>
      <c r="E59" s="2845"/>
      <c r="F59" s="2845"/>
      <c r="G59" s="2845"/>
      <c r="H59" s="2845"/>
      <c r="I59" s="2845"/>
      <c r="J59" s="2845"/>
      <c r="K59" s="2845"/>
      <c r="L59" s="2845"/>
      <c r="M59" s="2845"/>
      <c r="N59" s="2845"/>
      <c r="O59" s="2845"/>
      <c r="P59" s="2845"/>
      <c r="Q59" s="807"/>
    </row>
    <row r="60" spans="1:35" ht="7.5" customHeight="1" x14ac:dyDescent="0.25">
      <c r="B60" s="805"/>
      <c r="C60" s="823"/>
      <c r="D60" s="823"/>
      <c r="E60" s="806"/>
      <c r="F60" s="806"/>
      <c r="G60" s="806"/>
      <c r="H60" s="806"/>
      <c r="I60" s="806"/>
      <c r="J60" s="806"/>
      <c r="K60" s="806"/>
      <c r="L60" s="806"/>
      <c r="M60" s="806"/>
      <c r="N60" s="806"/>
      <c r="O60" s="806"/>
      <c r="P60" s="806"/>
      <c r="Q60" s="807"/>
    </row>
    <row r="61" spans="1:35" ht="18" customHeight="1" x14ac:dyDescent="0.25">
      <c r="B61" s="805"/>
      <c r="C61" s="264"/>
      <c r="D61" s="897"/>
      <c r="E61" s="266"/>
      <c r="F61" s="266"/>
      <c r="G61" s="266"/>
      <c r="H61" s="266"/>
      <c r="I61" s="266"/>
      <c r="J61" s="266"/>
      <c r="K61" s="266"/>
      <c r="L61" s="266"/>
      <c r="M61" s="266"/>
      <c r="N61" s="266"/>
      <c r="O61" s="266"/>
      <c r="P61" s="267"/>
      <c r="Q61" s="807"/>
    </row>
    <row r="62" spans="1:35" ht="29.25" customHeight="1" x14ac:dyDescent="0.25">
      <c r="B62" s="845" t="str">
        <f>IF(ISBLANK(D62)=FALSE,"","u")</f>
        <v>u</v>
      </c>
      <c r="C62" s="973" t="s">
        <v>1767</v>
      </c>
      <c r="D62" s="2869"/>
      <c r="E62" s="2870"/>
      <c r="F62" s="2871"/>
      <c r="G62" s="918" t="s">
        <v>274</v>
      </c>
      <c r="H62" s="2872" t="str">
        <f>IF(ISBLANK($D$62)=TRUE,"",VLOOKUP($D$62,'Liste municipalités'!$B$5:$D$1135,2,FALSE))</f>
        <v/>
      </c>
      <c r="I62" s="2873"/>
      <c r="J62" s="2873"/>
      <c r="K62" s="2874"/>
      <c r="L62" s="917" t="s">
        <v>1672</v>
      </c>
      <c r="M62" s="2872" t="str">
        <f>IF(ISBLANK($D$62)=TRUE,"",VLOOKUP($D$62,'Liste municipalités'!$B$5:$D$1135,3,FALSE))</f>
        <v/>
      </c>
      <c r="N62" s="2873"/>
      <c r="O62" s="2874"/>
      <c r="P62" s="617"/>
      <c r="Q62" s="807"/>
    </row>
    <row r="63" spans="1:35" ht="30.75" customHeight="1" x14ac:dyDescent="0.25">
      <c r="B63" s="845"/>
      <c r="C63" s="892"/>
      <c r="D63" s="2875" t="str">
        <f>IF(ISNA(H62)=TRUE,"ATTENTION: ceci n'est pas un code géographique valide; veuillez vous référer à l'onglet Liste municipalités","")</f>
        <v/>
      </c>
      <c r="E63" s="2875"/>
      <c r="F63" s="2875"/>
      <c r="G63" s="893"/>
      <c r="H63" s="895"/>
      <c r="I63" s="895"/>
      <c r="J63" s="895"/>
      <c r="K63" s="895"/>
      <c r="L63" s="894"/>
      <c r="M63" s="896"/>
      <c r="N63" s="896"/>
      <c r="O63" s="896"/>
      <c r="P63" s="617"/>
      <c r="Q63" s="807"/>
    </row>
    <row r="64" spans="1:35" ht="8.25" customHeight="1" x14ac:dyDescent="0.25">
      <c r="B64" s="805"/>
      <c r="C64" s="274"/>
      <c r="D64" s="275"/>
      <c r="E64" s="276"/>
      <c r="F64" s="276"/>
      <c r="G64" s="276"/>
      <c r="H64" s="276"/>
      <c r="I64" s="277"/>
      <c r="J64" s="278"/>
      <c r="K64" s="278"/>
      <c r="L64" s="278"/>
      <c r="M64" s="278"/>
      <c r="N64" s="278"/>
      <c r="O64" s="278"/>
      <c r="P64" s="279"/>
      <c r="Q64" s="807"/>
    </row>
    <row r="65" spans="1:35" ht="13.5" customHeight="1" thickBot="1" x14ac:dyDescent="0.3">
      <c r="B65" s="885"/>
      <c r="C65" s="810"/>
      <c r="D65" s="810"/>
      <c r="E65" s="810"/>
      <c r="F65" s="810"/>
      <c r="G65" s="810"/>
      <c r="H65" s="810"/>
      <c r="I65" s="810"/>
      <c r="J65" s="810"/>
      <c r="K65" s="810"/>
      <c r="L65" s="810"/>
      <c r="M65" s="810"/>
      <c r="N65" s="810"/>
      <c r="O65" s="810"/>
      <c r="P65" s="810"/>
      <c r="Q65" s="811"/>
    </row>
    <row r="66" spans="1:35" ht="18.75" customHeight="1" x14ac:dyDescent="0.3">
      <c r="B66" s="483"/>
      <c r="C66" s="484"/>
      <c r="D66" s="484"/>
      <c r="E66" s="484"/>
      <c r="F66" s="484"/>
      <c r="G66" s="484"/>
      <c r="H66" s="484"/>
      <c r="I66" s="484"/>
      <c r="J66" s="484"/>
      <c r="K66" s="484"/>
      <c r="L66" s="35"/>
      <c r="M66" s="35"/>
      <c r="N66" s="35"/>
      <c r="O66" s="58"/>
      <c r="P66" s="58"/>
      <c r="Q66" s="58"/>
    </row>
    <row r="67" spans="1:35" ht="24" customHeight="1" x14ac:dyDescent="0.25">
      <c r="A67" s="1225"/>
      <c r="B67" s="857" t="s">
        <v>1666</v>
      </c>
      <c r="C67" s="858"/>
      <c r="D67" s="858"/>
      <c r="E67" s="858"/>
      <c r="F67" s="858"/>
      <c r="G67" s="858"/>
      <c r="H67" s="858"/>
      <c r="I67" s="858"/>
      <c r="J67" s="858"/>
      <c r="K67" s="858"/>
      <c r="L67" s="859"/>
      <c r="M67" s="859"/>
      <c r="N67" s="859"/>
      <c r="O67" s="787"/>
      <c r="P67" s="787"/>
      <c r="Q67" s="787"/>
      <c r="AC67" s="245"/>
      <c r="AD67" s="246"/>
      <c r="AE67" s="246"/>
      <c r="AF67" s="246"/>
      <c r="AG67" s="55"/>
      <c r="AH67" s="55"/>
      <c r="AI67" s="55"/>
    </row>
    <row r="68" spans="1:35" ht="12.75" customHeight="1" thickBot="1" x14ac:dyDescent="0.3"/>
    <row r="69" spans="1:35" ht="14.25" customHeight="1" x14ac:dyDescent="0.25">
      <c r="B69" s="790"/>
      <c r="C69" s="791"/>
      <c r="D69" s="791"/>
      <c r="E69" s="792"/>
      <c r="F69" s="793"/>
      <c r="G69" s="793"/>
      <c r="H69" s="793"/>
      <c r="I69" s="793"/>
      <c r="J69" s="793"/>
      <c r="K69" s="793"/>
      <c r="L69" s="793"/>
      <c r="M69" s="793"/>
      <c r="N69" s="793"/>
      <c r="O69" s="793"/>
      <c r="P69" s="793"/>
      <c r="Q69" s="794"/>
    </row>
    <row r="70" spans="1:35" ht="18" customHeight="1" x14ac:dyDescent="0.25">
      <c r="B70" s="795"/>
      <c r="C70" s="852" t="s">
        <v>1744</v>
      </c>
      <c r="D70" s="797"/>
      <c r="E70" s="798"/>
      <c r="F70" s="799"/>
      <c r="G70" s="799"/>
      <c r="H70" s="799"/>
      <c r="I70" s="799"/>
      <c r="J70" s="799"/>
      <c r="K70" s="799"/>
      <c r="L70" s="799"/>
      <c r="M70" s="799"/>
      <c r="N70" s="800" t="s">
        <v>59</v>
      </c>
      <c r="O70" s="359" t="str">
        <f>IF((COUNTBLANK(B74:B96)=ROWS(B74:B96)),"Complété","À compléter")</f>
        <v>À compléter</v>
      </c>
      <c r="P70" s="799"/>
      <c r="Q70" s="802"/>
    </row>
    <row r="71" spans="1:35" ht="12.75" customHeight="1" x14ac:dyDescent="0.25">
      <c r="B71" s="803"/>
      <c r="C71" s="804"/>
      <c r="D71" s="804"/>
      <c r="E71" s="804"/>
      <c r="F71" s="799"/>
      <c r="G71" s="799"/>
      <c r="H71" s="799"/>
      <c r="I71" s="799"/>
      <c r="J71" s="799"/>
      <c r="K71" s="799"/>
      <c r="L71" s="799"/>
      <c r="M71" s="799"/>
      <c r="N71" s="799"/>
      <c r="O71" s="799"/>
      <c r="P71" s="799"/>
      <c r="Q71" s="802"/>
    </row>
    <row r="72" spans="1:35" x14ac:dyDescent="0.25">
      <c r="B72" s="805"/>
      <c r="C72" s="884" t="s">
        <v>1761</v>
      </c>
      <c r="D72" s="823"/>
      <c r="E72" s="891"/>
      <c r="F72" s="891"/>
      <c r="G72" s="891"/>
      <c r="H72" s="891"/>
      <c r="I72" s="891"/>
      <c r="J72" s="891"/>
      <c r="K72" s="891"/>
      <c r="L72" s="891"/>
      <c r="M72" s="891"/>
      <c r="N72" s="891"/>
      <c r="O72" s="891"/>
      <c r="P72" s="806"/>
      <c r="Q72" s="807"/>
    </row>
    <row r="73" spans="1:35" ht="8.25" customHeight="1" x14ac:dyDescent="0.25">
      <c r="B73" s="805"/>
      <c r="C73" s="823"/>
      <c r="D73" s="823"/>
      <c r="E73" s="891"/>
      <c r="F73" s="891"/>
      <c r="G73" s="891"/>
      <c r="H73" s="891"/>
      <c r="I73" s="891"/>
      <c r="J73" s="891"/>
      <c r="K73" s="891"/>
      <c r="L73" s="891"/>
      <c r="M73" s="891"/>
      <c r="N73" s="891"/>
      <c r="O73" s="891"/>
      <c r="P73" s="806"/>
      <c r="Q73" s="807"/>
    </row>
    <row r="74" spans="1:35" ht="15" customHeight="1" x14ac:dyDescent="0.25">
      <c r="B74" s="805"/>
      <c r="C74" s="264"/>
      <c r="D74" s="265"/>
      <c r="E74" s="281"/>
      <c r="F74" s="281"/>
      <c r="G74" s="281"/>
      <c r="H74" s="281"/>
      <c r="I74" s="281"/>
      <c r="J74" s="281"/>
      <c r="K74" s="281"/>
      <c r="L74" s="281"/>
      <c r="M74" s="281"/>
      <c r="N74" s="281"/>
      <c r="O74" s="281"/>
      <c r="P74" s="267"/>
      <c r="Q74" s="807"/>
    </row>
    <row r="75" spans="1:35" ht="18" customHeight="1" x14ac:dyDescent="0.25">
      <c r="B75" s="845" t="str">
        <f>IF(OR(ISBLANK(E75))=FALSE,"","u")</f>
        <v>u</v>
      </c>
      <c r="C75" s="104"/>
      <c r="D75" s="941" t="s">
        <v>1758</v>
      </c>
      <c r="E75" s="644"/>
      <c r="F75" s="944" t="s">
        <v>1691</v>
      </c>
      <c r="G75" s="945"/>
      <c r="H75" s="945"/>
      <c r="I75" s="945"/>
      <c r="J75" s="945"/>
      <c r="K75" s="945"/>
      <c r="L75" s="271"/>
      <c r="M75" s="271"/>
      <c r="N75" s="271"/>
      <c r="O75" s="271"/>
      <c r="P75" s="272"/>
      <c r="Q75" s="807"/>
    </row>
    <row r="76" spans="1:35" ht="10.5" customHeight="1" x14ac:dyDescent="0.25">
      <c r="B76" s="805"/>
      <c r="C76" s="104"/>
      <c r="D76" s="309"/>
      <c r="E76" s="309"/>
      <c r="F76" s="271"/>
      <c r="G76" s="271"/>
      <c r="H76" s="271"/>
      <c r="I76" s="271"/>
      <c r="J76" s="271"/>
      <c r="K76" s="271"/>
      <c r="L76" s="271"/>
      <c r="M76" s="271"/>
      <c r="N76" s="271"/>
      <c r="O76" s="271"/>
      <c r="P76" s="272"/>
      <c r="Q76" s="807"/>
    </row>
    <row r="77" spans="1:35" ht="18" customHeight="1" x14ac:dyDescent="0.25">
      <c r="B77" s="845" t="str">
        <f>IF(OR(ISBLANK(E77))=FALSE,"","u")</f>
        <v>u</v>
      </c>
      <c r="C77" s="104"/>
      <c r="D77" s="943" t="s">
        <v>1759</v>
      </c>
      <c r="E77" s="644"/>
      <c r="F77" s="942" t="s">
        <v>1692</v>
      </c>
      <c r="H77" s="271"/>
      <c r="I77" s="271"/>
      <c r="J77" s="271"/>
      <c r="K77" s="271"/>
      <c r="L77" s="271"/>
      <c r="M77" s="271"/>
      <c r="N77" s="271"/>
      <c r="O77" s="271"/>
      <c r="P77" s="272"/>
      <c r="Q77" s="807"/>
    </row>
    <row r="78" spans="1:35" ht="15.75" customHeight="1" x14ac:dyDescent="0.25">
      <c r="B78" s="805"/>
      <c r="C78" s="308"/>
      <c r="D78" s="309"/>
      <c r="E78" s="271"/>
      <c r="F78" s="271"/>
      <c r="G78" s="271"/>
      <c r="H78" s="271"/>
      <c r="I78" s="271"/>
      <c r="J78" s="271"/>
      <c r="K78" s="271"/>
      <c r="L78" s="271"/>
      <c r="M78" s="271"/>
      <c r="N78" s="271"/>
      <c r="O78" s="271"/>
      <c r="P78" s="272"/>
      <c r="Q78" s="807"/>
    </row>
    <row r="79" spans="1:35" ht="37.5" customHeight="1" x14ac:dyDescent="0.25">
      <c r="B79" s="805"/>
      <c r="C79" s="2861" t="s">
        <v>1760</v>
      </c>
      <c r="D79" s="2862"/>
      <c r="E79" s="2863"/>
      <c r="F79" s="2864"/>
      <c r="G79" s="2864"/>
      <c r="H79" s="2864"/>
      <c r="I79" s="2864"/>
      <c r="J79" s="2864"/>
      <c r="K79" s="2864"/>
      <c r="L79" s="2864"/>
      <c r="M79" s="2864"/>
      <c r="N79" s="2864"/>
      <c r="O79" s="2865"/>
      <c r="P79" s="617"/>
      <c r="Q79" s="807"/>
    </row>
    <row r="80" spans="1:35" ht="10.5" customHeight="1" x14ac:dyDescent="0.25">
      <c r="B80" s="805"/>
      <c r="C80" s="310"/>
      <c r="D80" s="311"/>
      <c r="E80" s="851"/>
      <c r="F80" s="851"/>
      <c r="G80" s="851"/>
      <c r="H80" s="851"/>
      <c r="I80" s="851"/>
      <c r="J80" s="851"/>
      <c r="K80" s="851"/>
      <c r="L80" s="851"/>
      <c r="M80" s="851"/>
      <c r="N80" s="851"/>
      <c r="O80" s="851"/>
      <c r="P80" s="313"/>
      <c r="Q80" s="807"/>
    </row>
    <row r="81" spans="2:17" ht="18.75" customHeight="1" x14ac:dyDescent="0.25">
      <c r="B81" s="805"/>
      <c r="C81" s="898"/>
      <c r="D81" s="898"/>
      <c r="E81" s="899"/>
      <c r="F81" s="900"/>
      <c r="G81" s="899"/>
      <c r="H81" s="900"/>
      <c r="I81" s="799"/>
      <c r="J81" s="899"/>
      <c r="K81" s="900"/>
      <c r="L81" s="899"/>
      <c r="M81" s="900"/>
      <c r="N81" s="899"/>
      <c r="O81" s="900"/>
      <c r="P81" s="900"/>
      <c r="Q81" s="807"/>
    </row>
    <row r="82" spans="2:17" ht="19.5" customHeight="1" x14ac:dyDescent="0.25">
      <c r="B82" s="805"/>
      <c r="C82" s="2805" t="s">
        <v>2107</v>
      </c>
      <c r="D82" s="2805"/>
      <c r="E82" s="2805"/>
      <c r="F82" s="2805"/>
      <c r="G82" s="2805"/>
      <c r="H82" s="2805"/>
      <c r="I82" s="2805"/>
      <c r="J82" s="2805"/>
      <c r="K82" s="2805"/>
      <c r="L82" s="2805"/>
      <c r="M82" s="2805"/>
      <c r="N82" s="2805"/>
      <c r="O82" s="2805"/>
      <c r="P82" s="806"/>
      <c r="Q82" s="807"/>
    </row>
    <row r="83" spans="2:17" ht="15.75" customHeight="1" x14ac:dyDescent="0.25">
      <c r="B83" s="803"/>
      <c r="C83" s="814" t="s">
        <v>2108</v>
      </c>
      <c r="D83" s="804"/>
      <c r="E83" s="804"/>
      <c r="F83" s="799"/>
      <c r="G83" s="799"/>
      <c r="H83" s="799"/>
      <c r="I83" s="799"/>
      <c r="J83" s="799"/>
      <c r="K83" s="799"/>
      <c r="L83" s="799"/>
      <c r="M83" s="799"/>
      <c r="N83" s="799"/>
      <c r="O83" s="799"/>
      <c r="P83" s="799"/>
      <c r="Q83" s="802"/>
    </row>
    <row r="84" spans="2:17" ht="6.75" customHeight="1" x14ac:dyDescent="0.25">
      <c r="B84" s="803"/>
      <c r="C84" s="814"/>
      <c r="D84" s="804"/>
      <c r="E84" s="804"/>
      <c r="F84" s="799"/>
      <c r="G84" s="799"/>
      <c r="H84" s="799"/>
      <c r="I84" s="799"/>
      <c r="J84" s="799"/>
      <c r="K84" s="799"/>
      <c r="L84" s="799"/>
      <c r="M84" s="799"/>
      <c r="N84" s="799"/>
      <c r="O84" s="799"/>
      <c r="P84" s="799"/>
      <c r="Q84" s="802"/>
    </row>
    <row r="85" spans="2:17" ht="22.5" customHeight="1" x14ac:dyDescent="0.25">
      <c r="B85" s="803"/>
      <c r="C85" s="814"/>
      <c r="D85" s="2430" t="s">
        <v>1417</v>
      </c>
      <c r="E85" s="2431"/>
      <c r="F85" s="799"/>
      <c r="G85" s="488" t="s">
        <v>1418</v>
      </c>
      <c r="H85" s="487"/>
      <c r="I85" s="799"/>
      <c r="J85" s="2574" t="s">
        <v>1419</v>
      </c>
      <c r="K85" s="2575"/>
      <c r="L85" s="799"/>
      <c r="M85" s="799"/>
      <c r="N85" s="799"/>
      <c r="O85" s="799"/>
      <c r="P85" s="799"/>
      <c r="Q85" s="802"/>
    </row>
    <row r="86" spans="2:17" ht="12" customHeight="1" x14ac:dyDescent="0.25">
      <c r="B86" s="803"/>
      <c r="C86" s="814"/>
      <c r="D86" s="804"/>
      <c r="E86" s="804"/>
      <c r="F86" s="799"/>
      <c r="G86" s="799"/>
      <c r="H86" s="799"/>
      <c r="I86" s="799"/>
      <c r="J86" s="799"/>
      <c r="K86" s="799"/>
      <c r="L86" s="799"/>
      <c r="M86" s="799"/>
      <c r="N86" s="799"/>
      <c r="O86" s="799"/>
      <c r="P86" s="799"/>
      <c r="Q86" s="802"/>
    </row>
    <row r="87" spans="2:17" ht="15.75" customHeight="1" x14ac:dyDescent="0.25">
      <c r="B87" s="803"/>
      <c r="C87" s="814" t="s">
        <v>2109</v>
      </c>
      <c r="D87" s="804"/>
      <c r="E87" s="804"/>
      <c r="F87" s="799"/>
      <c r="G87" s="799"/>
      <c r="H87" s="799"/>
      <c r="I87" s="799"/>
      <c r="J87" s="799"/>
      <c r="K87" s="799"/>
      <c r="L87" s="799"/>
      <c r="M87" s="799"/>
      <c r="N87" s="799"/>
      <c r="O87" s="799"/>
      <c r="P87" s="799"/>
      <c r="Q87" s="802"/>
    </row>
    <row r="88" spans="2:17" s="314" customFormat="1" ht="16.5" customHeight="1" x14ac:dyDescent="0.25">
      <c r="B88" s="815"/>
      <c r="C88" s="816" t="s">
        <v>2110</v>
      </c>
      <c r="D88" s="817"/>
      <c r="E88" s="817"/>
      <c r="F88" s="818"/>
      <c r="G88" s="818"/>
      <c r="H88" s="818"/>
      <c r="I88" s="818"/>
      <c r="J88" s="818"/>
      <c r="K88" s="818"/>
      <c r="L88" s="818"/>
      <c r="M88" s="818"/>
      <c r="N88" s="818"/>
      <c r="O88" s="818"/>
      <c r="P88" s="818"/>
      <c r="Q88" s="819"/>
    </row>
    <row r="89" spans="2:17" ht="6.75" customHeight="1" x14ac:dyDescent="0.25">
      <c r="B89" s="803"/>
      <c r="C89" s="814"/>
      <c r="D89" s="804"/>
      <c r="E89" s="804"/>
      <c r="F89" s="799"/>
      <c r="G89" s="799"/>
      <c r="H89" s="799"/>
      <c r="I89" s="799"/>
      <c r="J89" s="799"/>
      <c r="K89" s="799"/>
      <c r="L89" s="799"/>
      <c r="M89" s="799"/>
      <c r="N89" s="799"/>
      <c r="O89" s="799"/>
      <c r="P89" s="799"/>
      <c r="Q89" s="802"/>
    </row>
    <row r="90" spans="2:17" ht="22.5" customHeight="1" x14ac:dyDescent="0.25">
      <c r="B90" s="803"/>
      <c r="C90" s="814"/>
      <c r="D90" s="2430" t="s">
        <v>1417</v>
      </c>
      <c r="E90" s="2431"/>
      <c r="F90" s="799"/>
      <c r="G90" s="488" t="s">
        <v>1418</v>
      </c>
      <c r="H90" s="487"/>
      <c r="I90" s="914" t="s">
        <v>1674</v>
      </c>
      <c r="J90" s="799"/>
      <c r="K90" s="799"/>
      <c r="L90" s="799"/>
      <c r="M90" s="799"/>
      <c r="N90" s="799"/>
      <c r="O90" s="799"/>
      <c r="P90" s="799"/>
      <c r="Q90" s="802"/>
    </row>
    <row r="91" spans="2:17" s="314" customFormat="1" ht="17.25" customHeight="1" x14ac:dyDescent="0.25">
      <c r="B91" s="815"/>
      <c r="C91" s="816"/>
      <c r="D91" s="817"/>
      <c r="E91" s="817"/>
      <c r="F91" s="818"/>
      <c r="G91" s="818"/>
      <c r="H91" s="818"/>
      <c r="I91" s="818"/>
      <c r="J91" s="818"/>
      <c r="K91" s="818"/>
      <c r="L91" s="818"/>
      <c r="M91" s="818"/>
      <c r="N91" s="818"/>
      <c r="O91" s="818"/>
      <c r="P91" s="818"/>
      <c r="Q91" s="819"/>
    </row>
    <row r="92" spans="2:17" s="314" customFormat="1" ht="14.25" customHeight="1" x14ac:dyDescent="0.25">
      <c r="B92" s="815"/>
      <c r="C92" s="901"/>
      <c r="D92" s="902"/>
      <c r="E92" s="902"/>
      <c r="F92" s="903"/>
      <c r="G92" s="903"/>
      <c r="H92" s="903"/>
      <c r="I92" s="903"/>
      <c r="J92" s="903"/>
      <c r="K92" s="903"/>
      <c r="L92" s="903"/>
      <c r="M92" s="903"/>
      <c r="N92" s="903"/>
      <c r="O92" s="903"/>
      <c r="P92" s="910"/>
      <c r="Q92" s="819"/>
    </row>
    <row r="93" spans="2:17" s="314" customFormat="1" ht="19.5" customHeight="1" x14ac:dyDescent="0.35">
      <c r="B93" s="845" t="str">
        <f>IF(ISBLANK(G93)=FALSE,"","u")</f>
        <v>u</v>
      </c>
      <c r="C93" s="925"/>
      <c r="D93" s="904"/>
      <c r="E93" s="904"/>
      <c r="F93" s="926" t="s">
        <v>2111</v>
      </c>
      <c r="G93" s="2890"/>
      <c r="H93" s="2891"/>
      <c r="I93" s="2891"/>
      <c r="J93" s="2891"/>
      <c r="K93" s="2891"/>
      <c r="L93" s="2891"/>
      <c r="M93" s="2891"/>
      <c r="N93" s="2892"/>
      <c r="O93" s="948">
        <v>6</v>
      </c>
      <c r="P93" s="912"/>
      <c r="Q93" s="819"/>
    </row>
    <row r="94" spans="2:17" s="314" customFormat="1" ht="13.5" customHeight="1" x14ac:dyDescent="0.25">
      <c r="B94" s="815"/>
      <c r="C94" s="905"/>
      <c r="D94" s="497"/>
      <c r="E94" s="497"/>
      <c r="F94" s="684"/>
      <c r="G94" s="911"/>
      <c r="H94" s="911"/>
      <c r="I94" s="911"/>
      <c r="J94" s="911"/>
      <c r="K94" s="911"/>
      <c r="L94" s="911"/>
      <c r="M94" s="911"/>
      <c r="N94" s="911"/>
      <c r="O94" s="684"/>
      <c r="P94" s="912"/>
      <c r="Q94" s="819"/>
    </row>
    <row r="95" spans="2:17" s="314" customFormat="1" ht="35.25" customHeight="1" x14ac:dyDescent="0.25">
      <c r="B95" s="815"/>
      <c r="C95" s="905"/>
      <c r="D95" s="497"/>
      <c r="E95" s="497"/>
      <c r="F95" s="906" t="s">
        <v>23</v>
      </c>
      <c r="G95" s="2842"/>
      <c r="H95" s="2843"/>
      <c r="I95" s="2843"/>
      <c r="J95" s="2843"/>
      <c r="K95" s="2843"/>
      <c r="L95" s="2843"/>
      <c r="M95" s="2843"/>
      <c r="N95" s="2844"/>
      <c r="O95" s="684"/>
      <c r="P95" s="912"/>
      <c r="Q95" s="819"/>
    </row>
    <row r="96" spans="2:17" s="314" customFormat="1" ht="13.5" customHeight="1" x14ac:dyDescent="0.25">
      <c r="B96" s="815"/>
      <c r="C96" s="907"/>
      <c r="D96" s="908"/>
      <c r="E96" s="908"/>
      <c r="F96" s="909"/>
      <c r="G96" s="909"/>
      <c r="H96" s="909"/>
      <c r="I96" s="909"/>
      <c r="J96" s="909"/>
      <c r="K96" s="909"/>
      <c r="L96" s="909"/>
      <c r="M96" s="909"/>
      <c r="N96" s="909"/>
      <c r="O96" s="909"/>
      <c r="P96" s="913"/>
      <c r="Q96" s="819"/>
    </row>
    <row r="97" spans="1:35" ht="13.5" customHeight="1" thickBot="1" x14ac:dyDescent="0.3">
      <c r="B97" s="885"/>
      <c r="C97" s="810"/>
      <c r="D97" s="810"/>
      <c r="E97" s="810"/>
      <c r="F97" s="810"/>
      <c r="G97" s="810"/>
      <c r="H97" s="810"/>
      <c r="I97" s="810"/>
      <c r="J97" s="810"/>
      <c r="K97" s="810"/>
      <c r="L97" s="810"/>
      <c r="M97" s="810"/>
      <c r="N97" s="810"/>
      <c r="O97" s="810"/>
      <c r="P97" s="810"/>
      <c r="Q97" s="811"/>
    </row>
    <row r="98" spans="1:35" ht="18.75" customHeight="1" x14ac:dyDescent="0.3">
      <c r="B98" s="483"/>
      <c r="C98" s="484"/>
      <c r="D98" s="484"/>
      <c r="E98" s="484"/>
      <c r="F98" s="484"/>
      <c r="G98" s="484"/>
      <c r="H98" s="484"/>
      <c r="I98" s="484"/>
      <c r="J98" s="484"/>
      <c r="K98" s="484"/>
      <c r="L98" s="35"/>
      <c r="M98" s="35"/>
      <c r="N98" s="35"/>
      <c r="O98" s="58"/>
      <c r="P98" s="58"/>
      <c r="Q98" s="58"/>
    </row>
    <row r="99" spans="1:35" ht="24" customHeight="1" x14ac:dyDescent="0.25">
      <c r="A99" s="1225"/>
      <c r="B99" s="857" t="s">
        <v>1664</v>
      </c>
      <c r="C99" s="858"/>
      <c r="D99" s="858"/>
      <c r="E99" s="858"/>
      <c r="F99" s="858"/>
      <c r="G99" s="858"/>
      <c r="H99" s="858"/>
      <c r="I99" s="858"/>
      <c r="J99" s="858"/>
      <c r="K99" s="858"/>
      <c r="L99" s="859"/>
      <c r="M99" s="859"/>
      <c r="N99" s="859"/>
      <c r="O99" s="787"/>
      <c r="P99" s="787"/>
      <c r="Q99" s="787"/>
      <c r="AC99" s="245"/>
      <c r="AD99" s="246"/>
      <c r="AE99" s="246"/>
      <c r="AF99" s="246"/>
      <c r="AG99" s="55"/>
      <c r="AH99" s="55"/>
      <c r="AI99" s="55"/>
    </row>
    <row r="100" spans="1:35" ht="12.75" customHeight="1" thickBot="1" x14ac:dyDescent="0.3"/>
    <row r="101" spans="1:35" ht="14.25" customHeight="1" x14ac:dyDescent="0.25">
      <c r="B101" s="790"/>
      <c r="C101" s="791"/>
      <c r="D101" s="791"/>
      <c r="E101" s="792"/>
      <c r="F101" s="793"/>
      <c r="G101" s="793"/>
      <c r="H101" s="793"/>
      <c r="I101" s="793"/>
      <c r="J101" s="793"/>
      <c r="K101" s="793"/>
      <c r="L101" s="793"/>
      <c r="M101" s="793"/>
      <c r="N101" s="793"/>
      <c r="O101" s="793"/>
      <c r="P101" s="793"/>
      <c r="Q101" s="794"/>
    </row>
    <row r="102" spans="1:35" ht="18" customHeight="1" x14ac:dyDescent="0.25">
      <c r="B102" s="795"/>
      <c r="C102" s="852" t="s">
        <v>1663</v>
      </c>
      <c r="D102" s="797"/>
      <c r="E102" s="798"/>
      <c r="F102" s="799"/>
      <c r="G102" s="799"/>
      <c r="H102" s="799"/>
      <c r="I102" s="799"/>
      <c r="J102" s="799"/>
      <c r="K102" s="799"/>
      <c r="L102" s="799"/>
      <c r="M102" s="799"/>
      <c r="N102" s="800" t="s">
        <v>59</v>
      </c>
      <c r="O102" s="359" t="str">
        <f>IF((COUNTBLANK(B106:B118)=ROWS(B106:B118)),"Complété","À compléter")</f>
        <v>À compléter</v>
      </c>
      <c r="P102" s="799"/>
      <c r="Q102" s="802"/>
    </row>
    <row r="103" spans="1:35" ht="18" customHeight="1" x14ac:dyDescent="0.25">
      <c r="B103" s="803"/>
      <c r="C103" s="804"/>
      <c r="D103" s="804"/>
      <c r="E103" s="804"/>
      <c r="F103" s="799"/>
      <c r="G103" s="799"/>
      <c r="H103" s="799"/>
      <c r="I103" s="799"/>
      <c r="J103" s="799"/>
      <c r="K103" s="799"/>
      <c r="L103" s="799"/>
      <c r="M103" s="799"/>
      <c r="N103" s="799"/>
      <c r="O103" s="799"/>
      <c r="P103" s="799"/>
      <c r="Q103" s="802"/>
    </row>
    <row r="104" spans="1:35" x14ac:dyDescent="0.25">
      <c r="B104" s="805"/>
      <c r="C104" s="884" t="s">
        <v>1764</v>
      </c>
      <c r="D104" s="823"/>
      <c r="E104" s="806"/>
      <c r="F104" s="806"/>
      <c r="G104" s="806"/>
      <c r="H104" s="806"/>
      <c r="I104" s="806"/>
      <c r="J104" s="806"/>
      <c r="K104" s="806"/>
      <c r="L104" s="806"/>
      <c r="M104" s="806"/>
      <c r="N104" s="806"/>
      <c r="O104" s="806"/>
      <c r="P104" s="806"/>
      <c r="Q104" s="807"/>
    </row>
    <row r="105" spans="1:35" ht="12" customHeight="1" x14ac:dyDescent="0.25">
      <c r="B105" s="805"/>
      <c r="C105" s="823"/>
      <c r="D105" s="823"/>
      <c r="E105" s="806"/>
      <c r="F105" s="806"/>
      <c r="G105" s="806"/>
      <c r="H105" s="806"/>
      <c r="I105" s="806"/>
      <c r="J105" s="806"/>
      <c r="K105" s="806"/>
      <c r="L105" s="806"/>
      <c r="M105" s="806"/>
      <c r="N105" s="806"/>
      <c r="O105" s="806"/>
      <c r="P105" s="806"/>
      <c r="Q105" s="807"/>
    </row>
    <row r="106" spans="1:35" ht="18" customHeight="1" x14ac:dyDescent="0.25">
      <c r="B106" s="805"/>
      <c r="C106" s="264"/>
      <c r="D106" s="482"/>
      <c r="E106" s="266"/>
      <c r="F106" s="266"/>
      <c r="G106" s="266"/>
      <c r="H106" s="266"/>
      <c r="I106" s="266"/>
      <c r="J106" s="266"/>
      <c r="K106" s="266"/>
      <c r="L106" s="266"/>
      <c r="M106" s="266"/>
      <c r="N106" s="266"/>
      <c r="O106" s="266"/>
      <c r="P106" s="267"/>
      <c r="Q106" s="807"/>
    </row>
    <row r="107" spans="1:35" ht="18" customHeight="1" x14ac:dyDescent="0.25">
      <c r="B107" s="845" t="str">
        <f>IF(ISBLANK(#REF!)=FALSE,"","u")</f>
        <v/>
      </c>
      <c r="C107" s="104"/>
      <c r="D107" s="922" t="s">
        <v>62</v>
      </c>
      <c r="E107" s="921"/>
      <c r="F107" s="922" t="s">
        <v>61</v>
      </c>
      <c r="G107" s="921"/>
      <c r="H107" s="922" t="s">
        <v>126</v>
      </c>
      <c r="I107" s="922"/>
      <c r="J107" s="922" t="s">
        <v>63</v>
      </c>
      <c r="K107" s="922"/>
      <c r="L107" s="923" t="s">
        <v>64</v>
      </c>
      <c r="M107" s="923" t="s">
        <v>65</v>
      </c>
      <c r="N107" s="919" t="s">
        <v>1763</v>
      </c>
      <c r="P107" s="617"/>
      <c r="Q107" s="807"/>
    </row>
    <row r="108" spans="1:35" ht="8.25" customHeight="1" x14ac:dyDescent="0.25">
      <c r="B108" s="805"/>
      <c r="C108" s="2835" t="s">
        <v>1762</v>
      </c>
      <c r="D108" s="270"/>
      <c r="F108" s="270"/>
      <c r="H108" s="270"/>
      <c r="I108" s="270"/>
      <c r="J108" s="270"/>
      <c r="K108" s="270"/>
      <c r="L108" s="271"/>
      <c r="P108" s="272"/>
      <c r="Q108" s="807"/>
    </row>
    <row r="109" spans="1:35" ht="19.5" customHeight="1" x14ac:dyDescent="0.35">
      <c r="B109" s="845" t="str">
        <f>IF(OR(ISBLANK(D109),ISBLANK(F109),ISBLANK(H109),ISBLANK(J109),ISBLANK(L109),ISBLANK(N109))=FALSE,"","u")</f>
        <v>u</v>
      </c>
      <c r="C109" s="2835"/>
      <c r="D109" s="2836"/>
      <c r="E109" s="2837"/>
      <c r="F109" s="2833"/>
      <c r="G109" s="2834"/>
      <c r="H109" s="2833"/>
      <c r="I109" s="2834"/>
      <c r="J109" s="2833"/>
      <c r="K109" s="2834"/>
      <c r="L109" s="642"/>
      <c r="M109" s="643"/>
      <c r="N109" s="2833"/>
      <c r="O109" s="2834"/>
      <c r="P109" s="947">
        <v>6</v>
      </c>
      <c r="Q109" s="807"/>
    </row>
    <row r="110" spans="1:35" ht="14.25" customHeight="1" x14ac:dyDescent="0.25">
      <c r="B110" s="805"/>
      <c r="C110" s="2835"/>
      <c r="D110" s="273"/>
      <c r="E110" s="273"/>
      <c r="F110" s="273"/>
      <c r="G110" s="273"/>
      <c r="H110" s="273"/>
      <c r="I110" s="273"/>
      <c r="J110" s="273"/>
      <c r="L110" s="920"/>
      <c r="M110" s="920"/>
      <c r="N110" s="920"/>
      <c r="O110" s="920"/>
      <c r="P110" s="946"/>
      <c r="Q110" s="807"/>
    </row>
    <row r="111" spans="1:35" ht="19.5" customHeight="1" x14ac:dyDescent="0.35">
      <c r="B111" s="805"/>
      <c r="C111" s="918" t="s">
        <v>125</v>
      </c>
      <c r="D111" s="2830"/>
      <c r="E111" s="2831"/>
      <c r="F111" s="2828"/>
      <c r="G111" s="2829"/>
      <c r="H111" s="2828"/>
      <c r="I111" s="2829"/>
      <c r="J111" s="2828"/>
      <c r="K111" s="2829"/>
      <c r="L111" s="643"/>
      <c r="M111" s="643"/>
      <c r="N111" s="2828"/>
      <c r="O111" s="2829"/>
      <c r="P111" s="947">
        <v>6</v>
      </c>
      <c r="Q111" s="807"/>
    </row>
    <row r="112" spans="1:35" ht="14.25" customHeight="1" x14ac:dyDescent="0.25">
      <c r="B112" s="805"/>
      <c r="C112" s="924"/>
      <c r="D112" s="273"/>
      <c r="E112" s="273"/>
      <c r="F112" s="273"/>
      <c r="G112" s="273"/>
      <c r="H112" s="273"/>
      <c r="I112" s="273"/>
      <c r="J112" s="273"/>
      <c r="L112" s="920"/>
      <c r="M112" s="920"/>
      <c r="N112" s="920"/>
      <c r="O112" s="920"/>
      <c r="P112" s="946"/>
      <c r="Q112" s="807"/>
    </row>
    <row r="113" spans="1:35" ht="19.5" customHeight="1" x14ac:dyDescent="0.35">
      <c r="B113" s="805"/>
      <c r="C113" s="918" t="s">
        <v>1676</v>
      </c>
      <c r="D113" s="2830"/>
      <c r="E113" s="2831"/>
      <c r="F113" s="2828"/>
      <c r="G113" s="2829"/>
      <c r="H113" s="2828"/>
      <c r="I113" s="2829"/>
      <c r="J113" s="2828"/>
      <c r="K113" s="2829"/>
      <c r="L113" s="643"/>
      <c r="M113" s="643"/>
      <c r="N113" s="2828"/>
      <c r="O113" s="2829"/>
      <c r="P113" s="947">
        <v>6</v>
      </c>
      <c r="Q113" s="807"/>
    </row>
    <row r="114" spans="1:35" ht="14.25" customHeight="1" x14ac:dyDescent="0.25">
      <c r="B114" s="805"/>
      <c r="C114" s="924"/>
      <c r="D114" s="273"/>
      <c r="E114" s="273"/>
      <c r="F114" s="273"/>
      <c r="G114" s="273"/>
      <c r="H114" s="273"/>
      <c r="I114" s="273"/>
      <c r="J114" s="273"/>
      <c r="L114" s="920"/>
      <c r="M114" s="920"/>
      <c r="N114" s="920"/>
      <c r="O114" s="920"/>
      <c r="P114" s="946"/>
      <c r="Q114" s="807"/>
    </row>
    <row r="115" spans="1:35" ht="19.5" customHeight="1" x14ac:dyDescent="0.35">
      <c r="B115" s="805"/>
      <c r="C115" s="918" t="s">
        <v>1677</v>
      </c>
      <c r="D115" s="2830"/>
      <c r="E115" s="2831"/>
      <c r="F115" s="2828"/>
      <c r="G115" s="2829"/>
      <c r="H115" s="2828"/>
      <c r="I115" s="2829"/>
      <c r="J115" s="2828"/>
      <c r="K115" s="2829"/>
      <c r="L115" s="643"/>
      <c r="M115" s="643"/>
      <c r="N115" s="2828"/>
      <c r="O115" s="2829"/>
      <c r="P115" s="947">
        <v>6</v>
      </c>
      <c r="Q115" s="807"/>
    </row>
    <row r="116" spans="1:35" ht="14.25" customHeight="1" x14ac:dyDescent="0.25">
      <c r="B116" s="805"/>
      <c r="C116" s="924"/>
      <c r="D116" s="273"/>
      <c r="E116" s="273"/>
      <c r="F116" s="273"/>
      <c r="G116" s="273"/>
      <c r="H116" s="273"/>
      <c r="I116" s="273"/>
      <c r="J116" s="273"/>
      <c r="L116" s="920"/>
      <c r="M116" s="920"/>
      <c r="N116" s="920"/>
      <c r="O116" s="920"/>
      <c r="P116" s="946"/>
      <c r="Q116" s="807"/>
    </row>
    <row r="117" spans="1:35" ht="19.5" customHeight="1" x14ac:dyDescent="0.35">
      <c r="B117" s="805"/>
      <c r="C117" s="918" t="s">
        <v>1678</v>
      </c>
      <c r="D117" s="2830"/>
      <c r="E117" s="2831"/>
      <c r="F117" s="2828"/>
      <c r="G117" s="2829"/>
      <c r="H117" s="2828"/>
      <c r="I117" s="2829"/>
      <c r="J117" s="2828"/>
      <c r="K117" s="2829"/>
      <c r="L117" s="643"/>
      <c r="M117" s="643"/>
      <c r="N117" s="2828"/>
      <c r="O117" s="2829"/>
      <c r="P117" s="947">
        <v>6</v>
      </c>
      <c r="Q117" s="807"/>
    </row>
    <row r="118" spans="1:35" ht="19.5" customHeight="1" x14ac:dyDescent="0.25">
      <c r="B118" s="805"/>
      <c r="C118" s="274"/>
      <c r="D118" s="275"/>
      <c r="E118" s="276"/>
      <c r="F118" s="276"/>
      <c r="G118" s="276"/>
      <c r="H118" s="276"/>
      <c r="I118" s="277"/>
      <c r="J118" s="278"/>
      <c r="K118" s="278"/>
      <c r="L118" s="278"/>
      <c r="M118" s="278"/>
      <c r="N118" s="278"/>
      <c r="O118" s="278"/>
      <c r="P118" s="279"/>
      <c r="Q118" s="807"/>
    </row>
    <row r="119" spans="1:35" ht="13.5" customHeight="1" thickBot="1" x14ac:dyDescent="0.3">
      <c r="B119" s="885"/>
      <c r="C119" s="810"/>
      <c r="D119" s="810"/>
      <c r="E119" s="810"/>
      <c r="F119" s="810"/>
      <c r="G119" s="810"/>
      <c r="H119" s="810"/>
      <c r="I119" s="810"/>
      <c r="J119" s="810"/>
      <c r="K119" s="810"/>
      <c r="L119" s="810"/>
      <c r="M119" s="810"/>
      <c r="N119" s="810"/>
      <c r="O119" s="810"/>
      <c r="P119" s="810"/>
      <c r="Q119" s="811"/>
    </row>
    <row r="120" spans="1:35" ht="18.75" customHeight="1" x14ac:dyDescent="0.25"/>
    <row r="121" spans="1:35" ht="24" customHeight="1" x14ac:dyDescent="0.25">
      <c r="A121" s="1225"/>
      <c r="B121" s="857" t="s">
        <v>1675</v>
      </c>
      <c r="C121" s="858"/>
      <c r="D121" s="858"/>
      <c r="E121" s="858"/>
      <c r="F121" s="858"/>
      <c r="G121" s="858"/>
      <c r="H121" s="858"/>
      <c r="I121" s="858"/>
      <c r="J121" s="858"/>
      <c r="K121" s="858"/>
      <c r="L121" s="859"/>
      <c r="M121" s="859"/>
      <c r="N121" s="859"/>
      <c r="O121" s="787"/>
      <c r="P121" s="787"/>
      <c r="Q121" s="787"/>
      <c r="AC121" s="245"/>
      <c r="AD121" s="246"/>
      <c r="AE121" s="246"/>
      <c r="AF121" s="246"/>
      <c r="AG121" s="55"/>
      <c r="AH121" s="55"/>
      <c r="AI121" s="55"/>
    </row>
    <row r="122" spans="1:35" ht="12.75" customHeight="1" thickBot="1" x14ac:dyDescent="0.3"/>
    <row r="123" spans="1:35" ht="14.25" customHeight="1" x14ac:dyDescent="0.25">
      <c r="B123" s="790"/>
      <c r="C123" s="791"/>
      <c r="D123" s="791"/>
      <c r="E123" s="792"/>
      <c r="F123" s="793"/>
      <c r="G123" s="793"/>
      <c r="H123" s="793"/>
      <c r="I123" s="793"/>
      <c r="J123" s="793"/>
      <c r="K123" s="793"/>
      <c r="L123" s="793"/>
      <c r="M123" s="793"/>
      <c r="N123" s="793"/>
      <c r="O123" s="793"/>
      <c r="P123" s="793"/>
      <c r="Q123" s="794"/>
    </row>
    <row r="124" spans="1:35" ht="18" customHeight="1" x14ac:dyDescent="0.25">
      <c r="B124" s="795"/>
      <c r="C124" s="852" t="s">
        <v>1745</v>
      </c>
      <c r="D124" s="797"/>
      <c r="E124" s="798"/>
      <c r="F124" s="799"/>
      <c r="G124" s="799"/>
      <c r="H124" s="799"/>
      <c r="I124" s="799"/>
      <c r="J124" s="799"/>
      <c r="K124" s="799"/>
      <c r="L124" s="799"/>
      <c r="M124" s="799"/>
      <c r="N124" s="800" t="s">
        <v>59</v>
      </c>
      <c r="O124" s="359" t="str">
        <f>IF((COUNTBLANK(B128:B139)=ROWS(B128:B139)),"Complété","À compléter")</f>
        <v>À compléter</v>
      </c>
      <c r="P124" s="799"/>
      <c r="Q124" s="802"/>
    </row>
    <row r="125" spans="1:35" ht="18" customHeight="1" x14ac:dyDescent="0.25">
      <c r="B125" s="803"/>
      <c r="C125" s="804"/>
      <c r="D125" s="804"/>
      <c r="E125" s="804"/>
      <c r="F125" s="799"/>
      <c r="G125" s="799"/>
      <c r="H125" s="799"/>
      <c r="I125" s="799"/>
      <c r="J125" s="799"/>
      <c r="K125" s="799"/>
      <c r="L125" s="799"/>
      <c r="M125" s="799"/>
      <c r="N125" s="799"/>
      <c r="O125" s="799"/>
      <c r="P125" s="799"/>
      <c r="Q125" s="802"/>
    </row>
    <row r="126" spans="1:35" x14ac:dyDescent="0.25">
      <c r="B126" s="805"/>
      <c r="C126" s="884" t="s">
        <v>1681</v>
      </c>
      <c r="D126" s="823"/>
      <c r="E126" s="806"/>
      <c r="F126" s="806"/>
      <c r="G126" s="806"/>
      <c r="H126" s="806"/>
      <c r="I126" s="806"/>
      <c r="J126" s="806"/>
      <c r="K126" s="806"/>
      <c r="L126" s="806"/>
      <c r="M126" s="806"/>
      <c r="N126" s="806"/>
      <c r="O126" s="806"/>
      <c r="P126" s="806"/>
      <c r="Q126" s="807"/>
    </row>
    <row r="127" spans="1:35" ht="12" customHeight="1" x14ac:dyDescent="0.25">
      <c r="B127" s="805"/>
      <c r="C127" s="823"/>
      <c r="D127" s="823"/>
      <c r="E127" s="806"/>
      <c r="F127" s="806"/>
      <c r="G127" s="806"/>
      <c r="H127" s="806"/>
      <c r="I127" s="806"/>
      <c r="J127" s="806"/>
      <c r="K127" s="806"/>
      <c r="L127" s="806"/>
      <c r="M127" s="806"/>
      <c r="N127" s="806"/>
      <c r="O127" s="806"/>
      <c r="P127" s="806"/>
      <c r="Q127" s="807"/>
    </row>
    <row r="128" spans="1:35" ht="18" customHeight="1" x14ac:dyDescent="0.25">
      <c r="B128" s="805"/>
      <c r="C128" s="264"/>
      <c r="D128" s="482"/>
      <c r="E128" s="266"/>
      <c r="F128" s="266"/>
      <c r="G128" s="266"/>
      <c r="H128" s="266"/>
      <c r="I128" s="266"/>
      <c r="J128" s="266"/>
      <c r="K128" s="266"/>
      <c r="L128" s="266"/>
      <c r="M128" s="266"/>
      <c r="N128" s="266"/>
      <c r="O128" s="266"/>
      <c r="P128" s="267"/>
      <c r="Q128" s="807"/>
    </row>
    <row r="129" spans="2:17" ht="18" customHeight="1" x14ac:dyDescent="0.25">
      <c r="B129" s="845" t="str">
        <f>IF(ISBLANK(#REF!)=FALSE,"","u")</f>
        <v/>
      </c>
      <c r="C129" s="446"/>
      <c r="E129" s="268"/>
      <c r="F129" s="921" t="s">
        <v>1683</v>
      </c>
      <c r="G129" s="922"/>
      <c r="H129" s="921" t="s">
        <v>1684</v>
      </c>
      <c r="I129" s="922"/>
      <c r="J129" s="921" t="s">
        <v>1685</v>
      </c>
      <c r="K129" s="922"/>
      <c r="L129" s="922" t="s">
        <v>1682</v>
      </c>
      <c r="M129" s="269"/>
      <c r="N129" s="269"/>
      <c r="P129" s="617"/>
      <c r="Q129" s="807"/>
    </row>
    <row r="130" spans="2:17" ht="8.25" customHeight="1" x14ac:dyDescent="0.25">
      <c r="B130" s="805"/>
      <c r="C130" s="288"/>
      <c r="E130" s="270"/>
      <c r="G130" s="270"/>
      <c r="I130" s="270"/>
      <c r="J130" s="270"/>
      <c r="K130" s="270"/>
      <c r="L130" s="270"/>
      <c r="M130" s="271"/>
      <c r="P130" s="272"/>
      <c r="Q130" s="807"/>
    </row>
    <row r="131" spans="2:17" ht="19.5" customHeight="1" x14ac:dyDescent="0.25">
      <c r="B131" s="845" t="str">
        <f>IF(OR(ISBLANK(F131),ISBLANK(H131),ISBLANK(J131))=FALSE,"","u")</f>
        <v>u</v>
      </c>
      <c r="C131" s="2876" t="s">
        <v>2152</v>
      </c>
      <c r="D131" s="2877"/>
      <c r="E131" s="2878"/>
      <c r="F131" s="2883"/>
      <c r="G131" s="2885"/>
      <c r="H131" s="2886"/>
      <c r="I131" s="2887"/>
      <c r="J131" s="2886"/>
      <c r="K131" s="2887"/>
      <c r="L131" s="2828"/>
      <c r="M131" s="2860"/>
      <c r="N131" s="2860"/>
      <c r="O131" s="2829"/>
      <c r="P131" s="617"/>
      <c r="Q131" s="807"/>
    </row>
    <row r="132" spans="2:17" ht="14.25" customHeight="1" x14ac:dyDescent="0.25">
      <c r="B132" s="805"/>
      <c r="C132" s="924"/>
      <c r="D132" s="2585"/>
      <c r="E132" s="2586"/>
      <c r="F132" s="273"/>
      <c r="G132" s="273"/>
      <c r="H132" s="273"/>
      <c r="I132" s="273"/>
      <c r="J132" s="273"/>
      <c r="K132" s="273"/>
      <c r="P132" s="272"/>
      <c r="Q132" s="807"/>
    </row>
    <row r="133" spans="2:17" ht="19.5" customHeight="1" x14ac:dyDescent="0.25">
      <c r="B133" s="805"/>
      <c r="C133" s="2876" t="s">
        <v>1690</v>
      </c>
      <c r="D133" s="2877"/>
      <c r="E133" s="2878"/>
      <c r="F133" s="2881"/>
      <c r="G133" s="2882"/>
      <c r="H133" s="2879"/>
      <c r="I133" s="2880"/>
      <c r="J133" s="2879"/>
      <c r="K133" s="2880"/>
      <c r="L133" s="2828"/>
      <c r="M133" s="2860"/>
      <c r="N133" s="2860"/>
      <c r="O133" s="2829"/>
      <c r="P133" s="272"/>
      <c r="Q133" s="807"/>
    </row>
    <row r="134" spans="2:17" ht="19.5" customHeight="1" x14ac:dyDescent="0.25">
      <c r="B134" s="805"/>
      <c r="C134" s="938"/>
      <c r="D134" s="936"/>
      <c r="E134" s="937"/>
      <c r="F134" s="2881"/>
      <c r="G134" s="2882"/>
      <c r="H134" s="2879"/>
      <c r="I134" s="2880"/>
      <c r="J134" s="2879"/>
      <c r="K134" s="2880"/>
      <c r="L134" s="2828"/>
      <c r="M134" s="2860"/>
      <c r="N134" s="2860"/>
      <c r="O134" s="2829"/>
      <c r="P134" s="272"/>
      <c r="Q134" s="807"/>
    </row>
    <row r="135" spans="2:17" ht="19.5" customHeight="1" x14ac:dyDescent="0.25">
      <c r="B135" s="805"/>
      <c r="C135" s="918"/>
      <c r="D135" s="974"/>
      <c r="E135" s="1218"/>
      <c r="F135" s="2881"/>
      <c r="G135" s="2882"/>
      <c r="H135" s="2879"/>
      <c r="I135" s="2880"/>
      <c r="J135" s="2879"/>
      <c r="K135" s="2880"/>
      <c r="L135" s="2828"/>
      <c r="M135" s="2860"/>
      <c r="N135" s="2860"/>
      <c r="O135" s="2829"/>
      <c r="P135" s="617"/>
      <c r="Q135" s="807"/>
    </row>
    <row r="136" spans="2:17" ht="17.25" customHeight="1" x14ac:dyDescent="0.25">
      <c r="B136" s="805"/>
      <c r="C136" s="918"/>
      <c r="D136" s="1219"/>
      <c r="E136" s="1218"/>
      <c r="F136" s="2881"/>
      <c r="G136" s="2882"/>
      <c r="H136" s="2879"/>
      <c r="I136" s="2880"/>
      <c r="J136" s="2879"/>
      <c r="K136" s="2880"/>
      <c r="L136" s="2828"/>
      <c r="M136" s="2860"/>
      <c r="N136" s="2860"/>
      <c r="O136" s="2829"/>
      <c r="P136" s="617"/>
      <c r="Q136" s="807"/>
    </row>
    <row r="137" spans="2:17" ht="14.25" customHeight="1" x14ac:dyDescent="0.25">
      <c r="B137" s="805"/>
      <c r="C137" s="935"/>
      <c r="D137" s="921"/>
      <c r="E137" s="940"/>
      <c r="G137" s="270"/>
      <c r="I137" s="270"/>
      <c r="J137" s="270"/>
      <c r="K137" s="270"/>
      <c r="L137" s="270"/>
      <c r="M137" s="271"/>
      <c r="P137" s="272"/>
      <c r="Q137" s="807"/>
    </row>
    <row r="138" spans="2:17" ht="19.5" customHeight="1" x14ac:dyDescent="0.25">
      <c r="B138" s="845" t="str">
        <f>IF(ISBLANK(F138)=FALSE,"","u")</f>
        <v>u</v>
      </c>
      <c r="C138" s="2876" t="s">
        <v>2151</v>
      </c>
      <c r="D138" s="2877"/>
      <c r="E138" s="2878"/>
      <c r="F138" s="2883"/>
      <c r="G138" s="2884"/>
      <c r="H138" s="2884"/>
      <c r="I138" s="2884"/>
      <c r="J138" s="2884"/>
      <c r="K138" s="2885"/>
      <c r="L138" s="2828"/>
      <c r="M138" s="2860"/>
      <c r="N138" s="2860"/>
      <c r="O138" s="2829"/>
      <c r="P138" s="617"/>
      <c r="Q138" s="807"/>
    </row>
    <row r="139" spans="2:17" ht="21" customHeight="1" x14ac:dyDescent="0.25">
      <c r="B139" s="805"/>
      <c r="C139" s="274"/>
      <c r="D139" s="275"/>
      <c r="E139" s="276"/>
      <c r="F139" s="276"/>
      <c r="G139" s="276"/>
      <c r="H139" s="276"/>
      <c r="I139" s="277"/>
      <c r="J139" s="278"/>
      <c r="K139" s="278"/>
      <c r="L139" s="278"/>
      <c r="M139" s="278"/>
      <c r="N139" s="278"/>
      <c r="O139" s="278"/>
      <c r="P139" s="279"/>
      <c r="Q139" s="807"/>
    </row>
    <row r="140" spans="2:17" ht="19.5" customHeight="1" thickBot="1" x14ac:dyDescent="0.3">
      <c r="B140" s="885"/>
      <c r="C140" s="810"/>
      <c r="D140" s="810"/>
      <c r="E140" s="810"/>
      <c r="F140" s="810"/>
      <c r="G140" s="810"/>
      <c r="H140" s="810"/>
      <c r="I140" s="810"/>
      <c r="J140" s="810"/>
      <c r="K140" s="810"/>
      <c r="L140" s="810"/>
      <c r="M140" s="810"/>
      <c r="N140" s="810"/>
      <c r="O140" s="810"/>
      <c r="P140" s="810"/>
      <c r="Q140" s="811"/>
    </row>
    <row r="141" spans="2:17" ht="10.5" customHeight="1" x14ac:dyDescent="0.25"/>
  </sheetData>
  <sheetProtection password="C518" sheet="1" objects="1" scenarios="1"/>
  <mergeCells count="83">
    <mergeCell ref="M3:Q3"/>
    <mergeCell ref="F138:K138"/>
    <mergeCell ref="H131:I131"/>
    <mergeCell ref="F131:G131"/>
    <mergeCell ref="L133:O133"/>
    <mergeCell ref="L131:O131"/>
    <mergeCell ref="J136:K136"/>
    <mergeCell ref="J135:K135"/>
    <mergeCell ref="J134:K134"/>
    <mergeCell ref="J133:K133"/>
    <mergeCell ref="J131:K131"/>
    <mergeCell ref="L138:O138"/>
    <mergeCell ref="L136:O136"/>
    <mergeCell ref="L135:O135"/>
    <mergeCell ref="I6:I7"/>
    <mergeCell ref="G93:N93"/>
    <mergeCell ref="C138:E138"/>
    <mergeCell ref="C133:E133"/>
    <mergeCell ref="C131:E131"/>
    <mergeCell ref="H133:I133"/>
    <mergeCell ref="F136:G136"/>
    <mergeCell ref="F135:G135"/>
    <mergeCell ref="F134:G134"/>
    <mergeCell ref="F133:G133"/>
    <mergeCell ref="H136:I136"/>
    <mergeCell ref="H135:I135"/>
    <mergeCell ref="H134:I134"/>
    <mergeCell ref="L134:O134"/>
    <mergeCell ref="L6:M6"/>
    <mergeCell ref="N6:O6"/>
    <mergeCell ref="C79:D79"/>
    <mergeCell ref="E79:O79"/>
    <mergeCell ref="C24:O24"/>
    <mergeCell ref="C25:O25"/>
    <mergeCell ref="C26:O26"/>
    <mergeCell ref="C29:P29"/>
    <mergeCell ref="D62:F62"/>
    <mergeCell ref="M62:O62"/>
    <mergeCell ref="C41:O41"/>
    <mergeCell ref="C43:O43"/>
    <mergeCell ref="H62:K62"/>
    <mergeCell ref="D63:F63"/>
    <mergeCell ref="C82:O82"/>
    <mergeCell ref="C45:O45"/>
    <mergeCell ref="C46:O46"/>
    <mergeCell ref="G95:N95"/>
    <mergeCell ref="C59:P59"/>
    <mergeCell ref="C21:O21"/>
    <mergeCell ref="C22:O22"/>
    <mergeCell ref="C23:O23"/>
    <mergeCell ref="C49:M49"/>
    <mergeCell ref="N49:O49"/>
    <mergeCell ref="C42:O42"/>
    <mergeCell ref="C44:O44"/>
    <mergeCell ref="C32:M32"/>
    <mergeCell ref="N32:O32"/>
    <mergeCell ref="J6:K6"/>
    <mergeCell ref="N113:O113"/>
    <mergeCell ref="N111:O111"/>
    <mergeCell ref="N109:O109"/>
    <mergeCell ref="C108:C110"/>
    <mergeCell ref="J109:K109"/>
    <mergeCell ref="H109:I109"/>
    <mergeCell ref="F109:G109"/>
    <mergeCell ref="D109:E109"/>
    <mergeCell ref="J113:K113"/>
    <mergeCell ref="J111:K111"/>
    <mergeCell ref="H113:I113"/>
    <mergeCell ref="H111:I111"/>
    <mergeCell ref="F113:G113"/>
    <mergeCell ref="F111:G111"/>
    <mergeCell ref="D113:E113"/>
    <mergeCell ref="D111:E111"/>
    <mergeCell ref="F117:G117"/>
    <mergeCell ref="F115:G115"/>
    <mergeCell ref="D117:E117"/>
    <mergeCell ref="D115:E115"/>
    <mergeCell ref="N117:O117"/>
    <mergeCell ref="N115:O115"/>
    <mergeCell ref="J117:K117"/>
    <mergeCell ref="J115:K115"/>
    <mergeCell ref="H117:I117"/>
    <mergeCell ref="H115:I115"/>
  </mergeCells>
  <conditionalFormatting sqref="F138">
    <cfRule type="notContainsBlanks" dxfId="618" priority="1">
      <formula>LEN(TRIM(F138))&gt;0</formula>
    </cfRule>
  </conditionalFormatting>
  <conditionalFormatting sqref="N32 N49 D62 E75 E77 G93 D109 F109 H109 J109 L109 N109 F131 H131 J131">
    <cfRule type="notContainsBlanks" dxfId="617" priority="13">
      <formula>LEN(TRIM(D32))&gt;0</formula>
    </cfRule>
  </conditionalFormatting>
  <conditionalFormatting sqref="O19 O39 O56 O70 O102">
    <cfRule type="containsText" dxfId="616" priority="11" operator="containsText" text="Complété">
      <formula>NOT(ISERROR(SEARCH("Complété",O19)))</formula>
    </cfRule>
    <cfRule type="containsText" dxfId="615" priority="12" operator="containsText" text="À compléter">
      <formula>NOT(ISERROR(SEARCH("À compléter",O19)))</formula>
    </cfRule>
  </conditionalFormatting>
  <conditionalFormatting sqref="O124">
    <cfRule type="containsText" dxfId="614" priority="3" operator="containsText" text="Complété">
      <formula>NOT(ISERROR(SEARCH("Complété",O124)))</formula>
    </cfRule>
    <cfRule type="containsText" dxfId="613" priority="4" operator="containsText" text="À compléter">
      <formula>NOT(ISERROR(SEARCH("À compléter",O124)))</formula>
    </cfRule>
  </conditionalFormatting>
  <hyperlinks>
    <hyperlink ref="C8" location="IDENTIFICATION!A16" display="Partie A" xr:uid="{00000000-0004-0000-0200-000000000000}"/>
    <hyperlink ref="C9" location="IDENTIFICATION!A36" display="Partie B" xr:uid="{00000000-0004-0000-0200-000001000000}"/>
    <hyperlink ref="C10" location="IDENTIFICATION!A53" display="Partie C" xr:uid="{00000000-0004-0000-0200-000002000000}"/>
    <hyperlink ref="C13" location="IDENTIFICATION!A121" display="Partie F" xr:uid="{00000000-0004-0000-0200-000003000000}"/>
    <hyperlink ref="C11" location="IDENTIFICATION!A67" display="Partie D" xr:uid="{00000000-0004-0000-0200-000004000000}"/>
    <hyperlink ref="C12" location="IDENTIFICATION!A99" display="Partie E" xr:uid="{00000000-0004-0000-0200-000005000000}"/>
  </hyperlinks>
  <pageMargins left="0.70866141732283472" right="0.51181102362204722" top="0.55118110236220474" bottom="0.55118110236220474" header="0.31496062992125984" footer="0.31496062992125984"/>
  <pageSetup scale="55" fitToHeight="0" orientation="landscape" r:id="rId1"/>
  <headerFooter>
    <oddFooter>&amp;L&amp;9Version 1.0   © CERIU2023&amp;R&amp;9Onglet IDENTIFICATION
Page &amp;P de &amp;N</oddFooter>
  </headerFooter>
  <rowBreaks count="1" manualBreakCount="1">
    <brk id="98" max="16383" man="1"/>
  </rowBreak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0000000}">
          <x14:formula1>
            <xm:f>'MENU DÉROULANT'!$C$7</xm:f>
          </x14:formula1>
          <xm:sqref>N32:O32 N49:O49</xm:sqref>
        </x14:dataValidation>
        <x14:dataValidation type="list" allowBlank="1" showInputMessage="1" showErrorMessage="1" xr:uid="{00000000-0002-0000-0200-000001000000}">
          <x14:formula1>
            <xm:f>'MENU DÉROULANT'!$D$12:$D$16</xm:f>
          </x14:formula1>
          <xm:sqref>E77</xm:sqref>
        </x14:dataValidation>
        <x14:dataValidation type="list" allowBlank="1" showInputMessage="1" showErrorMessage="1" xr:uid="{00000000-0002-0000-0200-000002000000}">
          <x14:formula1>
            <xm:f>'MENU DÉROULANT'!$C$9:$C$10</xm:f>
          </x14:formula1>
          <xm:sqref>G93:N93</xm:sqref>
        </x14:dataValidation>
        <x14:dataValidation type="list" allowBlank="1" showInputMessage="1" showErrorMessage="1" xr:uid="{00000000-0002-0000-0200-000003000000}">
          <x14:formula1>
            <xm:f>'MENU DÉROULANT'!$C$12:$C$18</xm:f>
          </x14:formula1>
          <xm:sqref>E75</xm:sqref>
        </x14:dataValidation>
        <x14:dataValidation type="list" allowBlank="1" showInputMessage="1" showErrorMessage="1" xr:uid="{00000000-0002-0000-0200-000004000000}">
          <x14:formula1>
            <xm:f>'MENU DÉROULANT'!$E$12:$E$16</xm:f>
          </x14:formula1>
          <xm:sqref>N109:O109 N111:O111 N113:O113 N115:O115 N117:O117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499984740745262"/>
    <pageSetUpPr fitToPage="1"/>
  </sheetPr>
  <dimension ref="A1:K136"/>
  <sheetViews>
    <sheetView workbookViewId="0"/>
  </sheetViews>
  <sheetFormatPr baseColWidth="10" defaultRowHeight="15" x14ac:dyDescent="0.25"/>
  <cols>
    <col min="1" max="1" width="3.42578125" style="55" customWidth="1"/>
    <col min="2" max="2" width="5.140625" style="28" customWidth="1"/>
    <col min="3" max="6" width="32.28515625" style="28" customWidth="1"/>
    <col min="7" max="7" width="44.5703125" style="28" customWidth="1"/>
    <col min="8" max="8" width="13.42578125" style="28" customWidth="1"/>
    <col min="9" max="9" width="4.85546875" style="55" customWidth="1"/>
    <col min="10" max="10" width="32.28515625" style="55" customWidth="1"/>
    <col min="11" max="11" width="50.7109375" style="55" customWidth="1"/>
    <col min="12" max="16384" width="11.42578125" style="28"/>
  </cols>
  <sheetData>
    <row r="1" spans="2:8" s="55" customFormat="1" ht="9" customHeight="1" thickBot="1" x14ac:dyDescent="0.3"/>
    <row r="2" spans="2:8" s="55" customFormat="1" ht="27" customHeight="1" x14ac:dyDescent="0.25">
      <c r="B2" s="1545" t="s">
        <v>1648</v>
      </c>
      <c r="C2" s="1281"/>
      <c r="D2" s="1281"/>
    </row>
    <row r="3" spans="2:8" s="55" customFormat="1" ht="21.75" customHeight="1" x14ac:dyDescent="0.3">
      <c r="B3" s="2579"/>
      <c r="H3" s="2580" t="s">
        <v>2149</v>
      </c>
    </row>
    <row r="4" spans="2:8" s="55" customFormat="1" ht="21.75" customHeight="1" x14ac:dyDescent="0.25"/>
    <row r="5" spans="2:8" ht="31.5" customHeight="1" x14ac:dyDescent="0.25">
      <c r="B5" s="1546" t="s">
        <v>1640</v>
      </c>
      <c r="C5" s="1284"/>
      <c r="D5" s="1284"/>
      <c r="E5" s="1284"/>
      <c r="F5" s="1284"/>
      <c r="G5" s="1284"/>
      <c r="H5" s="1284"/>
    </row>
    <row r="7" spans="2:8" x14ac:dyDescent="0.25">
      <c r="C7" s="28" t="s">
        <v>265</v>
      </c>
    </row>
    <row r="9" spans="2:8" x14ac:dyDescent="0.25">
      <c r="C9" s="28" t="s">
        <v>2112</v>
      </c>
    </row>
    <row r="10" spans="2:8" x14ac:dyDescent="0.25">
      <c r="C10" s="28" t="s">
        <v>2113</v>
      </c>
    </row>
    <row r="12" spans="2:8" x14ac:dyDescent="0.25">
      <c r="C12" s="919">
        <v>2023</v>
      </c>
      <c r="D12" s="919" t="s">
        <v>1452</v>
      </c>
      <c r="E12" s="28" t="s">
        <v>1679</v>
      </c>
      <c r="F12" s="919">
        <v>1</v>
      </c>
      <c r="G12" s="919"/>
    </row>
    <row r="13" spans="2:8" x14ac:dyDescent="0.25">
      <c r="C13" s="919">
        <v>2024</v>
      </c>
      <c r="D13" s="919" t="s">
        <v>1453</v>
      </c>
      <c r="E13" s="28" t="s">
        <v>271</v>
      </c>
      <c r="F13" s="919">
        <v>2</v>
      </c>
      <c r="G13" s="919"/>
    </row>
    <row r="14" spans="2:8" x14ac:dyDescent="0.25">
      <c r="C14" s="919">
        <v>2025</v>
      </c>
      <c r="D14" s="919" t="s">
        <v>1454</v>
      </c>
      <c r="E14" s="28" t="s">
        <v>272</v>
      </c>
      <c r="F14" s="919">
        <v>3</v>
      </c>
      <c r="G14" s="919"/>
    </row>
    <row r="15" spans="2:8" x14ac:dyDescent="0.25">
      <c r="C15" s="919">
        <v>2026</v>
      </c>
      <c r="D15" s="919" t="s">
        <v>1455</v>
      </c>
      <c r="E15" s="28" t="s">
        <v>273</v>
      </c>
      <c r="F15" s="919">
        <v>4</v>
      </c>
      <c r="G15" s="919"/>
    </row>
    <row r="16" spans="2:8" x14ac:dyDescent="0.25">
      <c r="C16" s="919">
        <v>2027</v>
      </c>
      <c r="D16" s="919" t="s">
        <v>1456</v>
      </c>
      <c r="E16" s="28" t="s">
        <v>1680</v>
      </c>
      <c r="F16" s="919">
        <v>5</v>
      </c>
      <c r="G16" s="919"/>
    </row>
    <row r="17" spans="2:8" x14ac:dyDescent="0.25">
      <c r="C17" s="919">
        <v>2028</v>
      </c>
    </row>
    <row r="18" spans="2:8" x14ac:dyDescent="0.25">
      <c r="C18" s="919">
        <v>2029</v>
      </c>
    </row>
    <row r="20" spans="2:8" ht="31.5" customHeight="1" x14ac:dyDescent="0.25">
      <c r="B20" s="1546" t="s">
        <v>1647</v>
      </c>
      <c r="C20" s="1284"/>
      <c r="D20" s="1284"/>
      <c r="E20" s="1284"/>
      <c r="F20" s="1284"/>
      <c r="G20" s="1284"/>
      <c r="H20" s="1284"/>
    </row>
    <row r="22" spans="2:8" ht="23.25" customHeight="1" x14ac:dyDescent="0.3">
      <c r="B22" s="1285" t="s">
        <v>248</v>
      </c>
      <c r="C22" s="1284"/>
      <c r="D22" s="1284"/>
      <c r="E22" s="1284"/>
      <c r="F22" s="1284"/>
      <c r="G22" s="1284"/>
      <c r="H22" s="1284"/>
    </row>
    <row r="25" spans="2:8" ht="23.25" customHeight="1" x14ac:dyDescent="0.3">
      <c r="B25" s="1285" t="s">
        <v>249</v>
      </c>
      <c r="C25" s="1284"/>
      <c r="D25" s="1284"/>
      <c r="E25" s="1284"/>
      <c r="F25" s="1284"/>
      <c r="G25" s="1284"/>
      <c r="H25" s="1284"/>
    </row>
    <row r="26" spans="2:8" ht="23.25" customHeight="1" x14ac:dyDescent="0.3">
      <c r="B26" s="1425"/>
    </row>
    <row r="27" spans="2:8" x14ac:dyDescent="0.25">
      <c r="B27" s="1048"/>
      <c r="C27" s="1284" t="s">
        <v>1645</v>
      </c>
      <c r="D27" s="1284"/>
      <c r="E27" s="1284"/>
      <c r="F27" s="1284"/>
      <c r="G27" s="1284"/>
      <c r="H27" s="1284"/>
    </row>
    <row r="28" spans="2:8" x14ac:dyDescent="0.25">
      <c r="B28" s="1547"/>
      <c r="C28" s="28" t="s">
        <v>1564</v>
      </c>
      <c r="F28" s="28" t="s">
        <v>1571</v>
      </c>
      <c r="H28" s="920">
        <v>1</v>
      </c>
    </row>
    <row r="29" spans="2:8" x14ac:dyDescent="0.25">
      <c r="B29" s="1547"/>
      <c r="C29" s="28" t="s">
        <v>1569</v>
      </c>
      <c r="F29" s="28" t="s">
        <v>1569</v>
      </c>
      <c r="H29" s="920">
        <v>2</v>
      </c>
    </row>
    <row r="30" spans="2:8" x14ac:dyDescent="0.25">
      <c r="B30" s="1547"/>
      <c r="C30" s="28" t="s">
        <v>1565</v>
      </c>
      <c r="F30" s="28" t="s">
        <v>1565</v>
      </c>
      <c r="H30" s="920">
        <v>3</v>
      </c>
    </row>
    <row r="31" spans="2:8" x14ac:dyDescent="0.25">
      <c r="B31" s="1547"/>
      <c r="C31" s="28" t="s">
        <v>1566</v>
      </c>
      <c r="F31" s="28" t="s">
        <v>1566</v>
      </c>
      <c r="H31" s="920">
        <v>4</v>
      </c>
    </row>
    <row r="32" spans="2:8" x14ac:dyDescent="0.25">
      <c r="B32" s="1547"/>
      <c r="C32" s="28" t="s">
        <v>1567</v>
      </c>
      <c r="F32" s="28" t="s">
        <v>1567</v>
      </c>
      <c r="H32" s="920">
        <v>5</v>
      </c>
    </row>
    <row r="34" spans="3:8" x14ac:dyDescent="0.25">
      <c r="C34" s="1127" t="s">
        <v>1469</v>
      </c>
      <c r="D34" s="1350" t="s">
        <v>269</v>
      </c>
      <c r="E34" s="1350" t="s">
        <v>1476</v>
      </c>
      <c r="F34" s="1127" t="s">
        <v>1854</v>
      </c>
      <c r="G34" s="1127"/>
    </row>
    <row r="35" spans="3:8" x14ac:dyDescent="0.25">
      <c r="C35" s="1127" t="s">
        <v>1470</v>
      </c>
      <c r="D35" s="1350" t="s">
        <v>270</v>
      </c>
      <c r="E35" s="1350" t="s">
        <v>0</v>
      </c>
      <c r="F35" s="1127" t="s">
        <v>1855</v>
      </c>
      <c r="G35" s="1127"/>
    </row>
    <row r="36" spans="3:8" x14ac:dyDescent="0.25">
      <c r="D36" s="1350" t="s">
        <v>290</v>
      </c>
      <c r="E36" s="1350"/>
      <c r="F36" s="1127" t="s">
        <v>1478</v>
      </c>
      <c r="G36" s="1127"/>
    </row>
    <row r="37" spans="3:8" x14ac:dyDescent="0.25">
      <c r="F37" s="1127" t="s">
        <v>1477</v>
      </c>
      <c r="G37" s="1127"/>
    </row>
    <row r="38" spans="3:8" x14ac:dyDescent="0.25">
      <c r="F38" s="1127" t="s">
        <v>290</v>
      </c>
      <c r="G38" s="1127"/>
    </row>
    <row r="39" spans="3:8" x14ac:dyDescent="0.25">
      <c r="F39" s="1127"/>
      <c r="G39" s="1127"/>
    </row>
    <row r="40" spans="3:8" x14ac:dyDescent="0.25">
      <c r="C40" s="1284" t="s">
        <v>1646</v>
      </c>
      <c r="D40" s="1284"/>
      <c r="E40" s="1284"/>
      <c r="F40" s="1284"/>
      <c r="G40" s="1284"/>
      <c r="H40" s="1284"/>
    </row>
    <row r="41" spans="3:8" x14ac:dyDescent="0.25">
      <c r="C41" s="28" t="s">
        <v>2018</v>
      </c>
      <c r="F41" s="28" t="s">
        <v>2019</v>
      </c>
    </row>
    <row r="42" spans="3:8" x14ac:dyDescent="0.25">
      <c r="C42" s="28" t="s">
        <v>1569</v>
      </c>
      <c r="F42" s="28" t="s">
        <v>1569</v>
      </c>
    </row>
    <row r="43" spans="3:8" x14ac:dyDescent="0.25">
      <c r="C43" s="28" t="s">
        <v>1565</v>
      </c>
      <c r="F43" s="28" t="s">
        <v>1565</v>
      </c>
    </row>
    <row r="44" spans="3:8" x14ac:dyDescent="0.25">
      <c r="C44" s="28" t="s">
        <v>1566</v>
      </c>
      <c r="F44" s="28" t="s">
        <v>1566</v>
      </c>
    </row>
    <row r="45" spans="3:8" x14ac:dyDescent="0.25">
      <c r="C45" s="28" t="s">
        <v>1567</v>
      </c>
      <c r="F45" s="28" t="s">
        <v>1567</v>
      </c>
    </row>
    <row r="47" spans="3:8" x14ac:dyDescent="0.25">
      <c r="C47" s="1127" t="s">
        <v>1469</v>
      </c>
      <c r="D47" s="1350" t="s">
        <v>269</v>
      </c>
      <c r="E47" s="1350" t="s">
        <v>2022</v>
      </c>
      <c r="F47" s="1127" t="s">
        <v>1854</v>
      </c>
      <c r="G47" s="1127"/>
    </row>
    <row r="48" spans="3:8" x14ac:dyDescent="0.25">
      <c r="C48" s="1127" t="s">
        <v>1470</v>
      </c>
      <c r="D48" s="1350" t="s">
        <v>270</v>
      </c>
      <c r="E48" s="1350" t="s">
        <v>2023</v>
      </c>
      <c r="F48" s="1127" t="s">
        <v>1855</v>
      </c>
      <c r="G48" s="1127"/>
    </row>
    <row r="49" spans="3:8" x14ac:dyDescent="0.25">
      <c r="D49" s="1350" t="s">
        <v>290</v>
      </c>
      <c r="E49" s="1350"/>
      <c r="F49" s="1127" t="s">
        <v>1478</v>
      </c>
      <c r="G49" s="1127"/>
    </row>
    <row r="50" spans="3:8" x14ac:dyDescent="0.25">
      <c r="F50" s="1127" t="s">
        <v>1477</v>
      </c>
      <c r="G50" s="1127"/>
    </row>
    <row r="51" spans="3:8" x14ac:dyDescent="0.25">
      <c r="F51" s="1127" t="s">
        <v>290</v>
      </c>
      <c r="G51" s="1127"/>
    </row>
    <row r="52" spans="3:8" x14ac:dyDescent="0.25">
      <c r="F52" s="1127"/>
      <c r="G52" s="1127"/>
    </row>
    <row r="53" spans="3:8" x14ac:dyDescent="0.25">
      <c r="C53" s="1284" t="s">
        <v>1673</v>
      </c>
      <c r="D53" s="1284"/>
      <c r="E53" s="1284"/>
      <c r="F53" s="1284"/>
      <c r="G53" s="1284"/>
      <c r="H53" s="1284"/>
    </row>
    <row r="54" spans="3:8" x14ac:dyDescent="0.25">
      <c r="C54" s="28" t="s">
        <v>2020</v>
      </c>
      <c r="F54" s="28" t="s">
        <v>2021</v>
      </c>
    </row>
    <row r="55" spans="3:8" x14ac:dyDescent="0.25">
      <c r="C55" s="28" t="s">
        <v>1569</v>
      </c>
      <c r="F55" s="28" t="s">
        <v>1569</v>
      </c>
    </row>
    <row r="56" spans="3:8" x14ac:dyDescent="0.25">
      <c r="C56" s="28" t="s">
        <v>1565</v>
      </c>
      <c r="F56" s="28" t="s">
        <v>1565</v>
      </c>
    </row>
    <row r="57" spans="3:8" x14ac:dyDescent="0.25">
      <c r="C57" s="28" t="s">
        <v>1566</v>
      </c>
      <c r="F57" s="28" t="s">
        <v>1566</v>
      </c>
    </row>
    <row r="58" spans="3:8" x14ac:dyDescent="0.25">
      <c r="C58" s="28" t="s">
        <v>1567</v>
      </c>
      <c r="F58" s="28" t="s">
        <v>1567</v>
      </c>
    </row>
    <row r="60" spans="3:8" x14ac:dyDescent="0.25">
      <c r="C60" s="1127" t="s">
        <v>1469</v>
      </c>
      <c r="D60" s="1350" t="s">
        <v>269</v>
      </c>
      <c r="E60" s="1350" t="s">
        <v>2022</v>
      </c>
      <c r="F60" s="1127" t="s">
        <v>1854</v>
      </c>
      <c r="G60" s="1127"/>
    </row>
    <row r="61" spans="3:8" x14ac:dyDescent="0.25">
      <c r="C61" s="1127" t="s">
        <v>1470</v>
      </c>
      <c r="D61" s="1350" t="s">
        <v>270</v>
      </c>
      <c r="E61" s="1350" t="s">
        <v>2023</v>
      </c>
      <c r="F61" s="1127" t="s">
        <v>1855</v>
      </c>
      <c r="G61" s="1127"/>
    </row>
    <row r="62" spans="3:8" x14ac:dyDescent="0.25">
      <c r="D62" s="1350" t="s">
        <v>290</v>
      </c>
      <c r="E62" s="1350"/>
      <c r="F62" s="1127" t="s">
        <v>1478</v>
      </c>
      <c r="G62" s="1127"/>
    </row>
    <row r="63" spans="3:8" x14ac:dyDescent="0.25">
      <c r="C63" s="28" t="s">
        <v>2136</v>
      </c>
      <c r="F63" s="1127" t="s">
        <v>1477</v>
      </c>
      <c r="G63" s="1127"/>
    </row>
    <row r="64" spans="3:8" x14ac:dyDescent="0.25">
      <c r="C64" s="28" t="s">
        <v>2137</v>
      </c>
      <c r="F64" s="1127" t="s">
        <v>290</v>
      </c>
      <c r="G64" s="1127"/>
    </row>
    <row r="65" spans="1:11" x14ac:dyDescent="0.25">
      <c r="F65" s="1127"/>
      <c r="G65" s="1127"/>
    </row>
    <row r="66" spans="1:11" ht="23.25" customHeight="1" x14ac:dyDescent="0.3">
      <c r="B66" s="1285" t="s">
        <v>250</v>
      </c>
      <c r="C66" s="1284"/>
      <c r="D66" s="1284"/>
      <c r="E66" s="1284"/>
      <c r="F66" s="1284"/>
      <c r="G66" s="1284"/>
      <c r="H66" s="1284"/>
    </row>
    <row r="67" spans="1:11" ht="15" customHeight="1" x14ac:dyDescent="0.25"/>
    <row r="68" spans="1:11" s="314" customFormat="1" ht="25.5" customHeight="1" x14ac:dyDescent="0.2">
      <c r="A68" s="684"/>
      <c r="C68" s="152" t="s">
        <v>1513</v>
      </c>
      <c r="I68" s="684"/>
      <c r="J68" s="684"/>
      <c r="K68" s="854"/>
    </row>
    <row r="69" spans="1:11" s="314" customFormat="1" ht="14.25" customHeight="1" x14ac:dyDescent="0.25">
      <c r="A69" s="684"/>
      <c r="C69" s="380" t="s">
        <v>1856</v>
      </c>
      <c r="I69" s="684"/>
      <c r="J69" s="684"/>
      <c r="K69" s="854"/>
    </row>
    <row r="70" spans="1:11" s="314" customFormat="1" ht="14.25" customHeight="1" x14ac:dyDescent="0.25">
      <c r="A70" s="684"/>
      <c r="C70" s="315" t="s">
        <v>1857</v>
      </c>
      <c r="I70" s="684"/>
      <c r="J70" s="684"/>
      <c r="K70" s="854"/>
    </row>
    <row r="71" spans="1:11" s="314" customFormat="1" ht="25.5" customHeight="1" x14ac:dyDescent="0.25">
      <c r="A71" s="684"/>
      <c r="C71" s="315"/>
      <c r="I71" s="684"/>
      <c r="J71" s="684"/>
      <c r="K71" s="854"/>
    </row>
    <row r="72" spans="1:11" s="314" customFormat="1" ht="25.5" customHeight="1" x14ac:dyDescent="0.25">
      <c r="A72" s="684"/>
      <c r="C72" s="28" t="s">
        <v>1448</v>
      </c>
      <c r="D72" s="28" t="s">
        <v>1449</v>
      </c>
      <c r="E72" s="28" t="s">
        <v>1447</v>
      </c>
      <c r="F72" s="28" t="s">
        <v>1450</v>
      </c>
      <c r="G72" s="28" t="s">
        <v>1461</v>
      </c>
      <c r="I72" s="55"/>
      <c r="J72" s="55"/>
      <c r="K72" s="854"/>
    </row>
    <row r="73" spans="1:11" s="314" customFormat="1" x14ac:dyDescent="0.25">
      <c r="A73" s="684"/>
      <c r="C73" s="380" t="s">
        <v>126</v>
      </c>
      <c r="D73" s="380" t="s">
        <v>221</v>
      </c>
      <c r="E73" s="380" t="s">
        <v>215</v>
      </c>
      <c r="F73" s="380" t="s">
        <v>1444</v>
      </c>
      <c r="G73" s="380" t="s">
        <v>1462</v>
      </c>
      <c r="I73" s="855"/>
      <c r="J73" s="855"/>
      <c r="K73" s="684"/>
    </row>
    <row r="74" spans="1:11" s="314" customFormat="1" x14ac:dyDescent="0.25">
      <c r="A74" s="684"/>
      <c r="C74" s="380" t="s">
        <v>143</v>
      </c>
      <c r="D74" s="380" t="s">
        <v>222</v>
      </c>
      <c r="E74" s="380" t="s">
        <v>216</v>
      </c>
      <c r="F74" s="380" t="s">
        <v>1445</v>
      </c>
      <c r="G74" s="380" t="s">
        <v>0</v>
      </c>
      <c r="I74" s="855"/>
      <c r="J74" s="855"/>
      <c r="K74" s="684"/>
    </row>
    <row r="75" spans="1:11" s="314" customFormat="1" x14ac:dyDescent="0.25">
      <c r="A75" s="684"/>
      <c r="C75" s="380" t="s">
        <v>56</v>
      </c>
      <c r="D75" s="380"/>
      <c r="E75" s="380" t="s">
        <v>217</v>
      </c>
      <c r="F75" s="380" t="s">
        <v>1446</v>
      </c>
      <c r="G75" s="380"/>
      <c r="I75" s="855"/>
      <c r="J75" s="855"/>
      <c r="K75" s="684"/>
    </row>
    <row r="76" spans="1:11" s="314" customFormat="1" x14ac:dyDescent="0.25">
      <c r="A76" s="684"/>
      <c r="C76" s="380" t="s">
        <v>142</v>
      </c>
      <c r="D76" s="380"/>
      <c r="E76" s="380" t="s">
        <v>35</v>
      </c>
      <c r="F76" s="380" t="s">
        <v>218</v>
      </c>
      <c r="G76" s="380" t="s">
        <v>2022</v>
      </c>
      <c r="I76" s="684"/>
      <c r="J76" s="684"/>
      <c r="K76" s="684"/>
    </row>
    <row r="77" spans="1:11" s="314" customFormat="1" x14ac:dyDescent="0.25">
      <c r="A77" s="684"/>
      <c r="C77" s="380" t="s">
        <v>290</v>
      </c>
      <c r="D77" s="380"/>
      <c r="E77" s="380"/>
      <c r="F77" s="380"/>
      <c r="G77" s="380" t="s">
        <v>2023</v>
      </c>
      <c r="H77" s="380"/>
      <c r="I77" s="684"/>
      <c r="J77" s="684"/>
      <c r="K77" s="684"/>
    </row>
    <row r="79" spans="1:11" ht="23.25" customHeight="1" x14ac:dyDescent="0.3">
      <c r="B79" s="1285" t="s">
        <v>1643</v>
      </c>
      <c r="C79" s="1284"/>
      <c r="D79" s="1284"/>
      <c r="E79" s="1284"/>
      <c r="F79" s="1284"/>
      <c r="G79" s="1284"/>
      <c r="H79" s="1284"/>
    </row>
    <row r="81" spans="2:11" ht="25.5" customHeight="1" x14ac:dyDescent="0.25">
      <c r="C81" s="152" t="s">
        <v>1513</v>
      </c>
      <c r="K81" s="854"/>
    </row>
    <row r="82" spans="2:11" ht="14.25" customHeight="1" x14ac:dyDescent="0.25">
      <c r="C82" s="380" t="s">
        <v>1856</v>
      </c>
      <c r="K82" s="854"/>
    </row>
    <row r="83" spans="2:11" ht="14.25" customHeight="1" x14ac:dyDescent="0.25">
      <c r="C83" s="315" t="s">
        <v>1857</v>
      </c>
      <c r="K83" s="854"/>
    </row>
    <row r="84" spans="2:11" ht="25.5" customHeight="1" x14ac:dyDescent="0.25">
      <c r="C84" s="380"/>
      <c r="K84" s="854"/>
    </row>
    <row r="85" spans="2:11" x14ac:dyDescent="0.25">
      <c r="C85" s="325" t="s">
        <v>205</v>
      </c>
    </row>
    <row r="86" spans="2:11" x14ac:dyDescent="0.25">
      <c r="C86" s="325" t="s">
        <v>204</v>
      </c>
    </row>
    <row r="87" spans="2:11" x14ac:dyDescent="0.25">
      <c r="C87" s="325" t="s">
        <v>202</v>
      </c>
    </row>
    <row r="88" spans="2:11" ht="15" customHeight="1" x14ac:dyDescent="0.25">
      <c r="C88" s="325" t="s">
        <v>203</v>
      </c>
    </row>
    <row r="89" spans="2:11" x14ac:dyDescent="0.25">
      <c r="C89" s="325"/>
    </row>
    <row r="90" spans="2:11" ht="23.25" customHeight="1" x14ac:dyDescent="0.3">
      <c r="B90" s="1285" t="s">
        <v>1642</v>
      </c>
      <c r="C90" s="1284"/>
      <c r="D90" s="1284"/>
      <c r="E90" s="1284"/>
      <c r="F90" s="1284"/>
      <c r="G90" s="1284"/>
      <c r="H90" s="1284"/>
    </row>
    <row r="92" spans="2:11" ht="25.5" customHeight="1" x14ac:dyDescent="0.25">
      <c r="C92" s="152" t="s">
        <v>1513</v>
      </c>
      <c r="K92" s="854"/>
    </row>
    <row r="93" spans="2:11" ht="14.25" customHeight="1" x14ac:dyDescent="0.25">
      <c r="C93" s="380" t="s">
        <v>1856</v>
      </c>
      <c r="K93" s="854"/>
    </row>
    <row r="94" spans="2:11" ht="14.25" customHeight="1" x14ac:dyDescent="0.25">
      <c r="C94" s="315" t="s">
        <v>1857</v>
      </c>
      <c r="K94" s="854"/>
    </row>
    <row r="95" spans="2:11" ht="25.5" customHeight="1" x14ac:dyDescent="0.25">
      <c r="C95" s="380"/>
      <c r="K95" s="854"/>
    </row>
    <row r="96" spans="2:11" x14ac:dyDescent="0.25">
      <c r="C96" s="325" t="s">
        <v>209</v>
      </c>
    </row>
    <row r="97" spans="2:8" x14ac:dyDescent="0.25">
      <c r="C97" s="325" t="s">
        <v>212</v>
      </c>
    </row>
    <row r="98" spans="2:8" x14ac:dyDescent="0.25">
      <c r="C98" s="325" t="s">
        <v>213</v>
      </c>
    </row>
    <row r="99" spans="2:8" ht="15" customHeight="1" x14ac:dyDescent="0.25">
      <c r="C99" s="325" t="s">
        <v>208</v>
      </c>
    </row>
    <row r="100" spans="2:8" x14ac:dyDescent="0.25">
      <c r="C100" s="325" t="s">
        <v>1542</v>
      </c>
    </row>
    <row r="102" spans="2:8" ht="23.25" customHeight="1" x14ac:dyDescent="0.3">
      <c r="B102" s="1285" t="s">
        <v>251</v>
      </c>
      <c r="C102" s="1284"/>
      <c r="D102" s="1284"/>
      <c r="E102" s="1284"/>
      <c r="F102" s="1284"/>
      <c r="G102" s="1284"/>
      <c r="H102" s="1284"/>
    </row>
    <row r="104" spans="2:8" x14ac:dyDescent="0.25">
      <c r="C104" s="152" t="s">
        <v>141</v>
      </c>
      <c r="D104" s="152"/>
    </row>
    <row r="105" spans="2:8" x14ac:dyDescent="0.25">
      <c r="C105" s="152" t="s">
        <v>140</v>
      </c>
      <c r="D105" s="152"/>
    </row>
    <row r="106" spans="2:8" x14ac:dyDescent="0.25">
      <c r="C106" s="152" t="s">
        <v>139</v>
      </c>
      <c r="D106" s="152"/>
    </row>
    <row r="108" spans="2:8" ht="23.25" customHeight="1" x14ac:dyDescent="0.3">
      <c r="B108" s="1285" t="s">
        <v>1644</v>
      </c>
      <c r="C108" s="1284"/>
      <c r="D108" s="1284"/>
      <c r="E108" s="1284"/>
      <c r="F108" s="1284"/>
      <c r="G108" s="1284"/>
      <c r="H108" s="1284"/>
    </row>
    <row r="110" spans="2:8" x14ac:dyDescent="0.25">
      <c r="C110" s="152" t="s">
        <v>298</v>
      </c>
      <c r="D110" s="152" t="s">
        <v>13</v>
      </c>
      <c r="E110" s="152" t="s">
        <v>16</v>
      </c>
    </row>
    <row r="111" spans="2:8" x14ac:dyDescent="0.25">
      <c r="C111" s="152" t="s">
        <v>295</v>
      </c>
      <c r="D111" s="152" t="s">
        <v>19</v>
      </c>
      <c r="E111" s="152" t="s">
        <v>15</v>
      </c>
    </row>
    <row r="112" spans="2:8" x14ac:dyDescent="0.25">
      <c r="C112" s="152" t="s">
        <v>297</v>
      </c>
      <c r="D112" s="152" t="s">
        <v>17</v>
      </c>
      <c r="E112" s="152" t="s">
        <v>18</v>
      </c>
    </row>
    <row r="113" spans="3:5" x14ac:dyDescent="0.25">
      <c r="C113" s="152" t="s">
        <v>296</v>
      </c>
      <c r="D113" s="152" t="s">
        <v>14</v>
      </c>
      <c r="E113" s="152" t="s">
        <v>20</v>
      </c>
    </row>
    <row r="114" spans="3:5" x14ac:dyDescent="0.25">
      <c r="D114" s="152" t="s">
        <v>21</v>
      </c>
      <c r="E114" s="152" t="s">
        <v>22</v>
      </c>
    </row>
    <row r="115" spans="3:5" x14ac:dyDescent="0.25">
      <c r="D115" s="152" t="s">
        <v>1570</v>
      </c>
      <c r="E115" s="152" t="s">
        <v>1570</v>
      </c>
    </row>
    <row r="119" spans="3:5" s="55" customFormat="1" x14ac:dyDescent="0.25"/>
    <row r="120" spans="3:5" s="55" customFormat="1" x14ac:dyDescent="0.25"/>
    <row r="121" spans="3:5" s="55" customFormat="1" x14ac:dyDescent="0.25"/>
    <row r="122" spans="3:5" s="55" customFormat="1" x14ac:dyDescent="0.25"/>
    <row r="123" spans="3:5" s="55" customFormat="1" x14ac:dyDescent="0.25"/>
    <row r="124" spans="3:5" s="55" customFormat="1" x14ac:dyDescent="0.25"/>
    <row r="125" spans="3:5" s="55" customFormat="1" x14ac:dyDescent="0.25"/>
    <row r="126" spans="3:5" s="55" customFormat="1" x14ac:dyDescent="0.25"/>
    <row r="127" spans="3:5" s="55" customFormat="1" x14ac:dyDescent="0.25"/>
    <row r="128" spans="3:5" s="55" customFormat="1" x14ac:dyDescent="0.25"/>
    <row r="129" s="55" customFormat="1" x14ac:dyDescent="0.25"/>
    <row r="130" s="55" customFormat="1" x14ac:dyDescent="0.25"/>
    <row r="131" s="55" customFormat="1" x14ac:dyDescent="0.25"/>
    <row r="132" s="55" customFormat="1" x14ac:dyDescent="0.25"/>
    <row r="133" s="55" customFormat="1" x14ac:dyDescent="0.25"/>
    <row r="134" s="55" customFormat="1" x14ac:dyDescent="0.25"/>
    <row r="135" s="55" customFormat="1" x14ac:dyDescent="0.25"/>
    <row r="136" s="55" customFormat="1" x14ac:dyDescent="0.25"/>
  </sheetData>
  <sheetProtection password="C518" sheet="1" objects="1" scenarios="1"/>
  <pageMargins left="0.70866141732283472" right="0.70866141732283472" top="0.74803149606299213" bottom="0.74803149606299213" header="0.31496062992125984" footer="0.31496062992125984"/>
  <pageSetup scale="35" fitToWidth="0" orientation="portrait" r:id="rId1"/>
  <headerFooter>
    <oddFooter>&amp;L&amp;10Version 1.0 © CERIU2023&amp;R&amp;10Onglet MENU DÉROULANT
Page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pageSetUpPr fitToPage="1"/>
  </sheetPr>
  <dimension ref="A1:AJ729"/>
  <sheetViews>
    <sheetView showGridLines="0" zoomScaleNormal="100" workbookViewId="0"/>
  </sheetViews>
  <sheetFormatPr baseColWidth="10" defaultRowHeight="15" x14ac:dyDescent="0.25"/>
  <cols>
    <col min="1" max="1" width="2" style="28" customWidth="1"/>
    <col min="2" max="2" width="3.42578125" style="28" customWidth="1"/>
    <col min="3" max="3" width="23.5703125" style="28" customWidth="1"/>
    <col min="4" max="4" width="15.42578125" style="28" customWidth="1"/>
    <col min="5" max="15" width="15" style="28" customWidth="1"/>
    <col min="16" max="16" width="2.85546875" style="28" customWidth="1"/>
    <col min="17" max="17" width="3" style="28" customWidth="1"/>
    <col min="18" max="18" width="9.140625" style="28" customWidth="1"/>
    <col min="19" max="19" width="45.28515625" style="28" customWidth="1"/>
    <col min="20" max="20" width="26.42578125" style="28" customWidth="1"/>
    <col min="21" max="21" width="17.140625" style="28" customWidth="1"/>
    <col min="22" max="30" width="11.42578125" style="28"/>
    <col min="31" max="31" width="15.42578125" style="28" customWidth="1"/>
    <col min="32" max="33" width="16.85546875" style="28" customWidth="1"/>
    <col min="34" max="34" width="16.42578125" style="28" customWidth="1"/>
    <col min="35" max="16384" width="11.42578125" style="28"/>
  </cols>
  <sheetData>
    <row r="1" spans="2:19" ht="9" customHeight="1" thickBot="1" x14ac:dyDescent="0.3">
      <c r="S1" s="627"/>
    </row>
    <row r="2" spans="2:19" ht="31.5" customHeight="1" x14ac:dyDescent="0.3">
      <c r="B2" s="528" t="s">
        <v>1526</v>
      </c>
      <c r="C2" s="241"/>
      <c r="D2" s="241"/>
      <c r="E2" s="241"/>
      <c r="F2" s="241"/>
      <c r="G2" s="241"/>
      <c r="H2" s="241"/>
      <c r="I2" s="241"/>
      <c r="J2" s="241"/>
      <c r="K2" s="241"/>
      <c r="L2" s="34"/>
      <c r="M2" s="34"/>
      <c r="N2" s="34"/>
      <c r="O2" s="242"/>
      <c r="P2" s="242"/>
      <c r="Q2" s="242"/>
      <c r="S2" s="2994" t="s">
        <v>1552</v>
      </c>
    </row>
    <row r="3" spans="2:19" ht="29.25" customHeight="1" thickBot="1" x14ac:dyDescent="0.3">
      <c r="B3" s="600"/>
      <c r="C3" s="599"/>
      <c r="M3" s="2814" t="s">
        <v>2149</v>
      </c>
      <c r="N3" s="2815"/>
      <c r="O3" s="2815"/>
      <c r="P3" s="2815"/>
      <c r="Q3" s="2815"/>
      <c r="S3" s="2995"/>
    </row>
    <row r="4" spans="2:19" ht="9.75" customHeight="1" thickBot="1" x14ac:dyDescent="0.35">
      <c r="B4" s="483"/>
      <c r="C4" s="484"/>
      <c r="D4" s="484"/>
      <c r="E4" s="484"/>
      <c r="F4" s="484"/>
      <c r="G4" s="484"/>
      <c r="H4" s="484"/>
      <c r="I4" s="484"/>
      <c r="J4" s="484"/>
      <c r="K4" s="484"/>
      <c r="L4" s="35"/>
      <c r="M4" s="35"/>
      <c r="N4" s="35"/>
      <c r="O4" s="58"/>
      <c r="P4" s="58"/>
      <c r="Q4" s="58"/>
      <c r="S4" s="627"/>
    </row>
    <row r="5" spans="2:19" ht="9" customHeight="1" x14ac:dyDescent="0.25">
      <c r="B5" s="520"/>
      <c r="C5" s="521"/>
      <c r="D5" s="521"/>
      <c r="E5" s="521"/>
      <c r="F5" s="521"/>
      <c r="G5" s="521"/>
      <c r="H5" s="521"/>
      <c r="I5" s="521"/>
      <c r="J5" s="521"/>
      <c r="K5" s="521"/>
      <c r="L5" s="521"/>
      <c r="M5" s="521"/>
      <c r="N5" s="521"/>
      <c r="O5" s="521"/>
      <c r="P5" s="522"/>
      <c r="Q5" s="523"/>
      <c r="S5" s="2900"/>
    </row>
    <row r="6" spans="2:19" ht="18.75" customHeight="1" x14ac:dyDescent="0.25">
      <c r="B6" s="985" t="s">
        <v>1654</v>
      </c>
      <c r="C6" s="166"/>
      <c r="D6" s="480"/>
      <c r="E6" s="480"/>
      <c r="F6" s="480"/>
      <c r="G6" s="166"/>
      <c r="H6" s="3013"/>
      <c r="I6" s="3013"/>
      <c r="J6" s="3013"/>
      <c r="K6" s="3013"/>
      <c r="L6" s="3013"/>
      <c r="M6" s="3013"/>
      <c r="N6" s="3013"/>
      <c r="O6" s="3013"/>
      <c r="P6" s="262"/>
      <c r="Q6" s="263"/>
      <c r="S6" s="2899"/>
    </row>
    <row r="7" spans="2:19" ht="18" customHeight="1" x14ac:dyDescent="0.25">
      <c r="B7" s="527"/>
      <c r="C7" s="547"/>
      <c r="D7" s="480"/>
      <c r="E7" s="480"/>
      <c r="F7" s="480"/>
      <c r="G7" s="166"/>
      <c r="H7" s="545"/>
      <c r="I7" s="986" t="s">
        <v>1650</v>
      </c>
      <c r="J7" s="166"/>
      <c r="K7" s="546" t="s">
        <v>1483</v>
      </c>
      <c r="L7" s="166"/>
      <c r="M7" s="538"/>
      <c r="N7" s="546" t="s">
        <v>1505</v>
      </c>
      <c r="O7" s="667"/>
      <c r="P7" s="262"/>
      <c r="Q7" s="263"/>
      <c r="S7" s="2899"/>
    </row>
    <row r="8" spans="2:19" s="72" customFormat="1" ht="18" customHeight="1" x14ac:dyDescent="0.25">
      <c r="B8" s="259"/>
      <c r="C8" s="696" t="s">
        <v>1484</v>
      </c>
      <c r="D8" s="548" t="s">
        <v>1482</v>
      </c>
      <c r="E8" s="549"/>
      <c r="F8" s="549"/>
      <c r="G8" s="549"/>
      <c r="H8" s="550"/>
      <c r="I8" s="551" t="str">
        <f>IF(OR(O24="À compléter",O45="À compléter"),"À compléter","Complété")</f>
        <v>À compléter</v>
      </c>
      <c r="J8" s="551"/>
      <c r="K8" s="551" t="str">
        <f>"----"</f>
        <v>----</v>
      </c>
      <c r="L8" s="551"/>
      <c r="M8" s="551"/>
      <c r="N8" s="551" t="str">
        <f>"----"</f>
        <v>----</v>
      </c>
      <c r="O8" s="552"/>
      <c r="P8" s="262"/>
      <c r="Q8" s="263"/>
      <c r="S8" s="2899"/>
    </row>
    <row r="9" spans="2:19" s="72" customFormat="1" ht="18" customHeight="1" x14ac:dyDescent="0.25">
      <c r="B9" s="259"/>
      <c r="C9" s="697" t="s">
        <v>1479</v>
      </c>
      <c r="D9" s="553" t="s">
        <v>24</v>
      </c>
      <c r="E9" s="554"/>
      <c r="F9" s="554"/>
      <c r="G9" s="555"/>
      <c r="H9" s="556"/>
      <c r="I9" s="557" t="str">
        <f>O67</f>
        <v>À compléter</v>
      </c>
      <c r="J9" s="558"/>
      <c r="K9" s="558" t="str">
        <f>I169</f>
        <v>À compléter</v>
      </c>
      <c r="L9" s="558"/>
      <c r="M9" s="558"/>
      <c r="N9" s="558" t="str">
        <f>I171</f>
        <v>À compléter</v>
      </c>
      <c r="O9" s="555"/>
      <c r="P9" s="262"/>
      <c r="Q9" s="263"/>
      <c r="S9" s="2899"/>
    </row>
    <row r="10" spans="2:19" s="72" customFormat="1" ht="18" customHeight="1" x14ac:dyDescent="0.25">
      <c r="B10" s="259"/>
      <c r="C10" s="697" t="s">
        <v>1480</v>
      </c>
      <c r="D10" s="553" t="s">
        <v>165</v>
      </c>
      <c r="E10" s="554"/>
      <c r="F10" s="554"/>
      <c r="G10" s="559"/>
      <c r="H10" s="556"/>
      <c r="I10" s="557" t="str">
        <f>O179</f>
        <v>À compléter</v>
      </c>
      <c r="J10" s="558"/>
      <c r="K10" s="558" t="str">
        <f>I241</f>
        <v>À compléter</v>
      </c>
      <c r="L10" s="558"/>
      <c r="M10" s="558"/>
      <c r="N10" s="558" t="str">
        <f>I243</f>
        <v>À compléter</v>
      </c>
      <c r="O10" s="555"/>
      <c r="P10" s="262"/>
      <c r="Q10" s="263"/>
      <c r="S10" s="2899"/>
    </row>
    <row r="11" spans="2:19" s="72" customFormat="1" ht="18" customHeight="1" x14ac:dyDescent="0.25">
      <c r="B11" s="259"/>
      <c r="C11" s="697" t="s">
        <v>1488</v>
      </c>
      <c r="D11" s="553" t="s">
        <v>28</v>
      </c>
      <c r="E11" s="554"/>
      <c r="F11" s="554"/>
      <c r="G11" s="559"/>
      <c r="H11" s="556"/>
      <c r="I11" s="557" t="str">
        <f>O251</f>
        <v>À compléter</v>
      </c>
      <c r="J11" s="558"/>
      <c r="K11" s="558" t="str">
        <f>I285</f>
        <v>À compléter</v>
      </c>
      <c r="L11" s="558"/>
      <c r="M11" s="558"/>
      <c r="N11" s="558" t="str">
        <f>I287</f>
        <v>À compléter</v>
      </c>
      <c r="O11" s="555"/>
      <c r="P11" s="262"/>
      <c r="Q11" s="263"/>
      <c r="S11" s="2899"/>
    </row>
    <row r="12" spans="2:19" s="72" customFormat="1" ht="18" customHeight="1" x14ac:dyDescent="0.25">
      <c r="B12" s="259"/>
      <c r="C12" s="697" t="s">
        <v>1489</v>
      </c>
      <c r="D12" s="553" t="s">
        <v>52</v>
      </c>
      <c r="E12" s="554"/>
      <c r="F12" s="554"/>
      <c r="G12" s="559"/>
      <c r="H12" s="560"/>
      <c r="I12" s="557" t="str">
        <f>O295</f>
        <v>À compléter</v>
      </c>
      <c r="J12" s="558"/>
      <c r="K12" s="558" t="str">
        <f>I328</f>
        <v>À compléter</v>
      </c>
      <c r="L12" s="558"/>
      <c r="M12" s="558"/>
      <c r="N12" s="558" t="str">
        <f>I330</f>
        <v>À compléter</v>
      </c>
      <c r="O12" s="555"/>
      <c r="P12" s="262"/>
      <c r="Q12" s="263"/>
      <c r="S12" s="2899"/>
    </row>
    <row r="13" spans="2:19" s="72" customFormat="1" ht="18" customHeight="1" x14ac:dyDescent="0.25">
      <c r="B13" s="259"/>
      <c r="C13" s="697" t="s">
        <v>1490</v>
      </c>
      <c r="D13" s="553" t="s">
        <v>1491</v>
      </c>
      <c r="E13" s="554"/>
      <c r="F13" s="554"/>
      <c r="G13" s="554"/>
      <c r="H13" s="555"/>
      <c r="I13" s="561" t="str">
        <f>O338</f>
        <v>À compléter</v>
      </c>
      <c r="J13" s="558"/>
      <c r="K13" s="558" t="str">
        <f>I369</f>
        <v>À compléter</v>
      </c>
      <c r="L13" s="558"/>
      <c r="M13" s="558"/>
      <c r="N13" s="558" t="str">
        <f>I371</f>
        <v>À compléter</v>
      </c>
      <c r="O13" s="555"/>
      <c r="P13" s="262"/>
      <c r="Q13" s="263"/>
      <c r="S13" s="2899"/>
    </row>
    <row r="14" spans="2:19" s="72" customFormat="1" ht="18" customHeight="1" x14ac:dyDescent="0.25">
      <c r="B14" s="259"/>
      <c r="C14" s="697" t="s">
        <v>1584</v>
      </c>
      <c r="D14" s="553" t="s">
        <v>1492</v>
      </c>
      <c r="E14" s="554"/>
      <c r="F14" s="554"/>
      <c r="G14" s="554"/>
      <c r="H14" s="555"/>
      <c r="I14" s="561" t="str">
        <f>O375</f>
        <v>À compléter</v>
      </c>
      <c r="J14" s="558"/>
      <c r="K14" s="558" t="str">
        <f>I497</f>
        <v>À compléter</v>
      </c>
      <c r="L14" s="558"/>
      <c r="M14" s="558"/>
      <c r="N14" s="558" t="str">
        <f>I499</f>
        <v>À compléter</v>
      </c>
      <c r="O14" s="555"/>
      <c r="P14" s="262"/>
      <c r="Q14" s="263"/>
      <c r="S14" s="2899"/>
    </row>
    <row r="15" spans="2:19" s="72" customFormat="1" ht="18" customHeight="1" x14ac:dyDescent="0.25">
      <c r="B15" s="259"/>
      <c r="C15" s="697" t="s">
        <v>1481</v>
      </c>
      <c r="D15" s="553" t="s">
        <v>1840</v>
      </c>
      <c r="E15" s="554"/>
      <c r="F15" s="554"/>
      <c r="G15" s="554"/>
      <c r="H15" s="555"/>
      <c r="I15" s="561" t="str">
        <f>O507</f>
        <v>À compléter</v>
      </c>
      <c r="J15" s="558"/>
      <c r="K15" s="558" t="str">
        <f>I570</f>
        <v>À compléter</v>
      </c>
      <c r="L15" s="558"/>
      <c r="M15" s="558"/>
      <c r="N15" s="558" t="str">
        <f>I572</f>
        <v>À compléter</v>
      </c>
      <c r="O15" s="555"/>
      <c r="P15" s="262"/>
      <c r="Q15" s="263"/>
      <c r="S15" s="2899"/>
    </row>
    <row r="16" spans="2:19" s="72" customFormat="1" ht="18" customHeight="1" x14ac:dyDescent="0.25">
      <c r="B16" s="259"/>
      <c r="C16" s="697" t="s">
        <v>1496</v>
      </c>
      <c r="D16" s="553" t="s">
        <v>1493</v>
      </c>
      <c r="E16" s="554"/>
      <c r="F16" s="554"/>
      <c r="G16" s="554"/>
      <c r="H16" s="555"/>
      <c r="I16" s="561" t="str">
        <f>O580</f>
        <v>À compléter</v>
      </c>
      <c r="J16" s="558"/>
      <c r="K16" s="558" t="str">
        <f>"----"</f>
        <v>----</v>
      </c>
      <c r="L16" s="558"/>
      <c r="M16" s="558"/>
      <c r="N16" s="558" t="str">
        <f>"----"</f>
        <v>----</v>
      </c>
      <c r="O16" s="555"/>
      <c r="P16" s="262"/>
      <c r="Q16" s="263"/>
      <c r="S16" s="2899"/>
    </row>
    <row r="17" spans="1:36" s="72" customFormat="1" ht="18" customHeight="1" x14ac:dyDescent="0.25">
      <c r="B17" s="259"/>
      <c r="C17" s="697" t="s">
        <v>1585</v>
      </c>
      <c r="D17" s="553" t="s">
        <v>1495</v>
      </c>
      <c r="E17" s="554"/>
      <c r="F17" s="554"/>
      <c r="G17" s="554"/>
      <c r="H17" s="555"/>
      <c r="I17" s="561" t="str">
        <f>O646</f>
        <v>À compléter</v>
      </c>
      <c r="J17" s="558"/>
      <c r="K17" s="558" t="str">
        <f>"----"</f>
        <v>----</v>
      </c>
      <c r="L17" s="558"/>
      <c r="M17" s="558"/>
      <c r="N17" s="558" t="str">
        <f>"----"</f>
        <v>----</v>
      </c>
      <c r="O17" s="555"/>
      <c r="P17" s="262"/>
      <c r="Q17" s="263"/>
      <c r="S17" s="2899"/>
    </row>
    <row r="18" spans="1:36" s="72" customFormat="1" ht="18" customHeight="1" x14ac:dyDescent="0.25">
      <c r="B18" s="259"/>
      <c r="C18" s="698" t="s">
        <v>1485</v>
      </c>
      <c r="D18" s="562" t="s">
        <v>1494</v>
      </c>
      <c r="E18" s="563"/>
      <c r="F18" s="563"/>
      <c r="G18" s="563"/>
      <c r="H18" s="564"/>
      <c r="I18" s="565" t="str">
        <f>"----"</f>
        <v>----</v>
      </c>
      <c r="J18" s="565"/>
      <c r="K18" s="565" t="str">
        <f>"----"</f>
        <v>----</v>
      </c>
      <c r="L18" s="565"/>
      <c r="M18" s="565"/>
      <c r="N18" s="565" t="str">
        <f>"----"</f>
        <v>----</v>
      </c>
      <c r="O18" s="565"/>
      <c r="P18" s="262"/>
      <c r="Q18" s="263"/>
      <c r="S18" s="2899"/>
    </row>
    <row r="19" spans="1:36" ht="14.25" customHeight="1" thickBot="1" x14ac:dyDescent="0.3">
      <c r="B19" s="304"/>
      <c r="C19" s="524"/>
      <c r="D19" s="524"/>
      <c r="E19" s="524"/>
      <c r="F19" s="525"/>
      <c r="G19" s="525"/>
      <c r="H19" s="525"/>
      <c r="I19" s="525"/>
      <c r="J19" s="285"/>
      <c r="K19" s="285"/>
      <c r="L19" s="285"/>
      <c r="M19" s="526"/>
      <c r="N19" s="526"/>
      <c r="O19" s="526"/>
      <c r="P19" s="305"/>
      <c r="Q19" s="306"/>
      <c r="S19" s="2904"/>
    </row>
    <row r="20" spans="1:36" ht="14.25" customHeight="1" thickBot="1" x14ac:dyDescent="0.35">
      <c r="B20" s="483"/>
      <c r="C20" s="484"/>
      <c r="D20" s="484"/>
      <c r="E20" s="484"/>
      <c r="F20" s="484"/>
      <c r="G20" s="484"/>
      <c r="H20" s="484"/>
      <c r="I20" s="484"/>
      <c r="J20" s="484"/>
      <c r="K20" s="484"/>
      <c r="L20" s="35"/>
      <c r="M20" s="35"/>
      <c r="N20" s="35"/>
      <c r="O20" s="58"/>
      <c r="P20" s="58"/>
      <c r="Q20" s="58"/>
      <c r="S20" s="627"/>
    </row>
    <row r="21" spans="1:36" ht="22.5" customHeight="1" thickBot="1" x14ac:dyDescent="0.3">
      <c r="A21" s="1225"/>
      <c r="B21" s="243" t="s">
        <v>57</v>
      </c>
      <c r="C21" s="243"/>
      <c r="D21" s="243"/>
      <c r="E21" s="243"/>
      <c r="F21" s="243"/>
      <c r="G21" s="243"/>
      <c r="H21" s="243"/>
      <c r="I21" s="243"/>
      <c r="J21" s="243"/>
      <c r="K21" s="243"/>
      <c r="L21" s="244"/>
      <c r="M21" s="244"/>
      <c r="N21" s="244"/>
      <c r="O21" s="3265" t="s">
        <v>1641</v>
      </c>
      <c r="P21" s="3265"/>
      <c r="Q21" s="3265"/>
      <c r="S21" s="628" t="s">
        <v>1537</v>
      </c>
      <c r="AD21" s="245"/>
      <c r="AE21" s="246"/>
      <c r="AF21" s="246"/>
      <c r="AG21" s="246"/>
      <c r="AH21" s="55"/>
      <c r="AI21" s="55"/>
      <c r="AJ21" s="55"/>
    </row>
    <row r="22" spans="1:36" ht="9.75" customHeight="1" thickBot="1" x14ac:dyDescent="0.3">
      <c r="S22" s="629"/>
    </row>
    <row r="23" spans="1:36" ht="12" customHeight="1" x14ac:dyDescent="0.25">
      <c r="B23" s="247"/>
      <c r="C23" s="248"/>
      <c r="D23" s="248"/>
      <c r="E23" s="249"/>
      <c r="F23" s="250"/>
      <c r="G23" s="250"/>
      <c r="H23" s="250"/>
      <c r="I23" s="250"/>
      <c r="J23" s="250"/>
      <c r="K23" s="250"/>
      <c r="L23" s="250"/>
      <c r="M23" s="250"/>
      <c r="N23" s="250"/>
      <c r="O23" s="250"/>
      <c r="P23" s="250"/>
      <c r="Q23" s="251"/>
      <c r="S23" s="2900"/>
    </row>
    <row r="24" spans="1:36" ht="18" customHeight="1" x14ac:dyDescent="0.25">
      <c r="B24" s="252"/>
      <c r="C24" s="253" t="s">
        <v>58</v>
      </c>
      <c r="D24" s="253"/>
      <c r="E24" s="254"/>
      <c r="F24" s="166"/>
      <c r="G24" s="166"/>
      <c r="H24" s="166"/>
      <c r="I24" s="166"/>
      <c r="J24" s="166"/>
      <c r="K24" s="166"/>
      <c r="L24" s="166"/>
      <c r="M24" s="166"/>
      <c r="N24" s="255" t="s">
        <v>59</v>
      </c>
      <c r="O24" s="359" t="str">
        <f>IF(AND(IDENTIFICATION!O56="Complété",IDENTIFICATION!O102="Complété"),"Complété","À compléter")</f>
        <v>À compléter</v>
      </c>
      <c r="P24" s="166"/>
      <c r="Q24" s="256"/>
      <c r="S24" s="2899"/>
    </row>
    <row r="25" spans="1:36" ht="6.75" customHeight="1" x14ac:dyDescent="0.25">
      <c r="B25" s="257"/>
      <c r="C25" s="258"/>
      <c r="D25" s="258"/>
      <c r="E25" s="258"/>
      <c r="F25" s="166"/>
      <c r="G25" s="166"/>
      <c r="H25" s="166"/>
      <c r="I25" s="166"/>
      <c r="J25" s="166"/>
      <c r="K25" s="166"/>
      <c r="L25" s="166"/>
      <c r="M25" s="166"/>
      <c r="N25" s="166"/>
      <c r="O25" s="166"/>
      <c r="P25" s="166"/>
      <c r="Q25" s="256"/>
      <c r="S25" s="2899"/>
    </row>
    <row r="26" spans="1:36" x14ac:dyDescent="0.25">
      <c r="B26" s="259"/>
      <c r="C26" s="485" t="s">
        <v>1765</v>
      </c>
      <c r="D26" s="261"/>
      <c r="E26" s="262"/>
      <c r="F26" s="262"/>
      <c r="G26" s="262"/>
      <c r="H26" s="262"/>
      <c r="I26" s="262"/>
      <c r="J26" s="262"/>
      <c r="K26" s="262"/>
      <c r="L26" s="262"/>
      <c r="M26" s="262"/>
      <c r="N26" s="262"/>
      <c r="O26" s="262"/>
      <c r="P26" s="262"/>
      <c r="Q26" s="263"/>
      <c r="S26" s="2899"/>
    </row>
    <row r="27" spans="1:36" ht="19.5" customHeight="1" x14ac:dyDescent="0.25">
      <c r="B27" s="259"/>
      <c r="C27" s="347" t="s">
        <v>1774</v>
      </c>
      <c r="D27" s="322"/>
      <c r="E27" s="262"/>
      <c r="F27" s="262"/>
      <c r="G27" s="262"/>
      <c r="H27" s="262"/>
      <c r="I27" s="262"/>
      <c r="J27" s="262"/>
      <c r="K27" s="262"/>
      <c r="L27" s="262"/>
      <c r="M27" s="262"/>
      <c r="N27" s="262"/>
      <c r="O27" s="262"/>
      <c r="P27" s="262"/>
      <c r="Q27" s="263"/>
      <c r="S27" s="2899"/>
    </row>
    <row r="28" spans="1:36" ht="12.75" customHeight="1" x14ac:dyDescent="0.25">
      <c r="B28" s="259"/>
      <c r="C28" s="261"/>
      <c r="D28" s="261"/>
      <c r="E28" s="262"/>
      <c r="F28" s="262"/>
      <c r="G28" s="262"/>
      <c r="H28" s="262"/>
      <c r="I28" s="262"/>
      <c r="J28" s="262"/>
      <c r="K28" s="262"/>
      <c r="L28" s="262"/>
      <c r="M28" s="262"/>
      <c r="N28" s="262"/>
      <c r="O28" s="262"/>
      <c r="P28" s="262"/>
      <c r="Q28" s="263"/>
      <c r="S28" s="2899"/>
    </row>
    <row r="29" spans="1:36" ht="18" customHeight="1" x14ac:dyDescent="0.25">
      <c r="B29" s="259"/>
      <c r="C29" s="264"/>
      <c r="D29" s="482" t="str">
        <f>IF(ISNA(#REF!)=TRUE,"Attention vérifier code géographique","")</f>
        <v/>
      </c>
      <c r="E29" s="266"/>
      <c r="F29" s="266"/>
      <c r="G29" s="266"/>
      <c r="H29" s="266"/>
      <c r="I29" s="266"/>
      <c r="J29" s="266"/>
      <c r="K29" s="266"/>
      <c r="L29" s="266"/>
      <c r="M29" s="266"/>
      <c r="N29" s="266"/>
      <c r="O29" s="266"/>
      <c r="P29" s="267"/>
      <c r="Q29" s="263"/>
      <c r="S29" s="2899"/>
    </row>
    <row r="30" spans="1:36" ht="25.5" customHeight="1" x14ac:dyDescent="0.25">
      <c r="B30" s="494"/>
      <c r="C30" s="973" t="s">
        <v>1766</v>
      </c>
      <c r="D30" s="2872" t="str">
        <f>IF(ISBLANK(IDENTIFICATION!D62),"",IDENTIFICATION!D62)</f>
        <v/>
      </c>
      <c r="E30" s="2873"/>
      <c r="F30" s="2874"/>
      <c r="G30" s="918" t="s">
        <v>274</v>
      </c>
      <c r="H30" s="2872" t="str">
        <f>IF(ISBLANK(IDENTIFICATION!H62),"",IDENTIFICATION!H62)</f>
        <v/>
      </c>
      <c r="I30" s="2873"/>
      <c r="J30" s="2873"/>
      <c r="K30" s="2874"/>
      <c r="L30" s="917" t="s">
        <v>1672</v>
      </c>
      <c r="M30" s="2872" t="str">
        <f>IF(ISBLANK(IDENTIFICATION!M62),"",IDENTIFICATION!M62)</f>
        <v/>
      </c>
      <c r="N30" s="2873"/>
      <c r="O30" s="2874"/>
      <c r="P30" s="617"/>
      <c r="Q30" s="263"/>
      <c r="S30" s="2899"/>
    </row>
    <row r="31" spans="1:36" ht="8.25" customHeight="1" x14ac:dyDescent="0.25">
      <c r="B31" s="259"/>
      <c r="C31" s="980"/>
      <c r="D31" s="270"/>
      <c r="F31" s="270"/>
      <c r="H31" s="270"/>
      <c r="I31" s="270"/>
      <c r="J31" s="270"/>
      <c r="K31" s="270"/>
      <c r="L31" s="271"/>
      <c r="P31" s="272"/>
      <c r="Q31" s="263"/>
      <c r="S31" s="2899"/>
    </row>
    <row r="32" spans="1:36" ht="8.25" customHeight="1" x14ac:dyDescent="0.25">
      <c r="B32" s="259"/>
      <c r="C32" s="980"/>
      <c r="D32" s="270"/>
      <c r="F32" s="270"/>
      <c r="H32" s="270"/>
      <c r="I32" s="270"/>
      <c r="J32" s="270"/>
      <c r="K32" s="270"/>
      <c r="L32" s="271"/>
      <c r="P32" s="272"/>
      <c r="Q32" s="263"/>
      <c r="S32" s="2899"/>
    </row>
    <row r="33" spans="2:19" ht="14.25" customHeight="1" x14ac:dyDescent="0.25">
      <c r="B33" s="494"/>
      <c r="C33" s="104"/>
      <c r="D33" s="922" t="s">
        <v>62</v>
      </c>
      <c r="E33" s="921"/>
      <c r="F33" s="922" t="s">
        <v>61</v>
      </c>
      <c r="G33" s="921"/>
      <c r="H33" s="922" t="s">
        <v>126</v>
      </c>
      <c r="I33" s="922"/>
      <c r="J33" s="922" t="s">
        <v>63</v>
      </c>
      <c r="K33" s="922"/>
      <c r="L33" s="923" t="s">
        <v>64</v>
      </c>
      <c r="M33" s="923" t="s">
        <v>65</v>
      </c>
      <c r="N33" s="919" t="s">
        <v>1763</v>
      </c>
      <c r="P33" s="617"/>
      <c r="Q33" s="263"/>
      <c r="S33" s="2899"/>
    </row>
    <row r="34" spans="2:19" ht="4.5" customHeight="1" x14ac:dyDescent="0.25">
      <c r="B34" s="259"/>
      <c r="C34" s="3021" t="s">
        <v>1762</v>
      </c>
      <c r="D34" s="270"/>
      <c r="F34" s="270"/>
      <c r="H34" s="270"/>
      <c r="I34" s="270"/>
      <c r="J34" s="270"/>
      <c r="K34" s="270"/>
      <c r="L34" s="271"/>
      <c r="P34" s="272"/>
      <c r="Q34" s="263"/>
      <c r="S34" s="2899"/>
    </row>
    <row r="35" spans="2:19" ht="19.5" customHeight="1" x14ac:dyDescent="0.35">
      <c r="B35" s="494"/>
      <c r="C35" s="3021"/>
      <c r="D35" s="2895" t="str">
        <f>IF(ISBLANK(IDENTIFICATION!D109),"",IDENTIFICATION!D109)</f>
        <v/>
      </c>
      <c r="E35" s="2896"/>
      <c r="F35" s="2897" t="str">
        <f>IF(ISBLANK(IDENTIFICATION!F109),"",IDENTIFICATION!F109)</f>
        <v/>
      </c>
      <c r="G35" s="2898"/>
      <c r="H35" s="2897" t="str">
        <f>IF(ISBLANK(IDENTIFICATION!H109),"",IDENTIFICATION!H109)</f>
        <v/>
      </c>
      <c r="I35" s="2898"/>
      <c r="J35" s="2897" t="str">
        <f>IF(ISBLANK(IDENTIFICATION!J109),"",IDENTIFICATION!J109)</f>
        <v/>
      </c>
      <c r="K35" s="2898"/>
      <c r="L35" s="982" t="str">
        <f>IF(ISBLANK(IDENTIFICATION!L109),"",IDENTIFICATION!L109)</f>
        <v/>
      </c>
      <c r="M35" s="982" t="str">
        <f>IF(ISBLANK(IDENTIFICATION!M109),"",IDENTIFICATION!M109)</f>
        <v/>
      </c>
      <c r="N35" s="2897" t="str">
        <f>IF(ISBLANK(IDENTIFICATION!N109),"",IDENTIFICATION!N109)</f>
        <v/>
      </c>
      <c r="O35" s="2898"/>
      <c r="P35" s="947">
        <v>6</v>
      </c>
      <c r="Q35" s="263"/>
      <c r="S35" s="2899"/>
    </row>
    <row r="36" spans="2:19" ht="14.25" customHeight="1" x14ac:dyDescent="0.25">
      <c r="B36" s="259"/>
      <c r="C36" s="3021"/>
      <c r="D36" s="2893"/>
      <c r="E36" s="2893"/>
      <c r="F36" s="2894"/>
      <c r="G36" s="2894"/>
      <c r="H36" s="2894"/>
      <c r="I36" s="2894"/>
      <c r="J36" s="2894"/>
      <c r="K36" s="2894"/>
      <c r="L36" s="981"/>
      <c r="M36" s="981"/>
      <c r="N36" s="2894"/>
      <c r="O36" s="2894"/>
      <c r="P36" s="946"/>
      <c r="Q36" s="263"/>
      <c r="S36" s="2899"/>
    </row>
    <row r="37" spans="2:19" ht="19.5" customHeight="1" x14ac:dyDescent="0.35">
      <c r="B37" s="259"/>
      <c r="C37" s="918" t="s">
        <v>1768</v>
      </c>
      <c r="D37" s="2895" t="str">
        <f>IF(OR(IDENTIFICATION!N111='MENU DÉROULANT'!$E$12,IDENTIFICATION!N111='MENU DÉROULANT'!$E$13),IF(ISBLANK(IDENTIFICATION!D111),"",IDENTIFICATION!D111),"")</f>
        <v/>
      </c>
      <c r="E37" s="2896"/>
      <c r="F37" s="2897" t="str">
        <f>IF(($D37=""),"",IDENTIFICATION!F111)</f>
        <v/>
      </c>
      <c r="G37" s="2898"/>
      <c r="H37" s="2897" t="str">
        <f>IF(($D37=""),"",IDENTIFICATION!H111)</f>
        <v/>
      </c>
      <c r="I37" s="2898"/>
      <c r="J37" s="2897" t="str">
        <f>IF(($D37=""),"",IDENTIFICATION!J111)</f>
        <v/>
      </c>
      <c r="K37" s="2898"/>
      <c r="L37" s="982" t="str">
        <f>IF(($D37=""),"",IDENTIFICATION!L111)</f>
        <v/>
      </c>
      <c r="M37" s="982" t="str">
        <f>IF(($D37=""),"",IDENTIFICATION!M111)</f>
        <v/>
      </c>
      <c r="N37" s="2897" t="str">
        <f>IF(($D37=""),"",IDENTIFICATION!N111)</f>
        <v/>
      </c>
      <c r="O37" s="2898"/>
      <c r="P37" s="947">
        <v>6</v>
      </c>
      <c r="Q37" s="263"/>
      <c r="S37" s="2899"/>
    </row>
    <row r="38" spans="2:19" ht="19.5" customHeight="1" x14ac:dyDescent="0.25">
      <c r="B38" s="259"/>
      <c r="C38" s="924"/>
      <c r="D38" s="2895" t="str">
        <f>IF(OR(IDENTIFICATION!N113='MENU DÉROULANT'!$E$12,IDENTIFICATION!N113='MENU DÉROULANT'!$E$13),IF(ISBLANK(IDENTIFICATION!D113),"",IDENTIFICATION!D113),"")</f>
        <v/>
      </c>
      <c r="E38" s="2896"/>
      <c r="F38" s="2897" t="str">
        <f>IF(($D38=""),"",IDENTIFICATION!F113)</f>
        <v/>
      </c>
      <c r="G38" s="2898"/>
      <c r="H38" s="2897" t="str">
        <f>IF(($D38=""),"",IDENTIFICATION!H113)</f>
        <v/>
      </c>
      <c r="I38" s="2898"/>
      <c r="J38" s="2897" t="str">
        <f>IF(($D38=""),"",IDENTIFICATION!J113)</f>
        <v/>
      </c>
      <c r="K38" s="2898"/>
      <c r="L38" s="982" t="str">
        <f>IF(($D38=""),"",IDENTIFICATION!L113)</f>
        <v/>
      </c>
      <c r="M38" s="982" t="str">
        <f>IF(($D38=""),"",IDENTIFICATION!M113)</f>
        <v/>
      </c>
      <c r="N38" s="2897" t="str">
        <f>IF(($D38=""),"",IDENTIFICATION!N113)</f>
        <v/>
      </c>
      <c r="O38" s="2898"/>
      <c r="P38" s="946"/>
      <c r="Q38" s="263"/>
      <c r="S38" s="2899"/>
    </row>
    <row r="39" spans="2:19" ht="19.5" customHeight="1" x14ac:dyDescent="0.35">
      <c r="B39" s="259"/>
      <c r="C39" s="918"/>
      <c r="D39" s="2895" t="str">
        <f>IF(OR(IDENTIFICATION!N115='MENU DÉROULANT'!$E$12,IDENTIFICATION!N115='MENU DÉROULANT'!$E$13),IF(ISBLANK(IDENTIFICATION!D115),"",IDENTIFICATION!D115),"")</f>
        <v/>
      </c>
      <c r="E39" s="2896"/>
      <c r="F39" s="2897" t="str">
        <f>IF(($D39=""),"",IDENTIFICATION!F115)</f>
        <v/>
      </c>
      <c r="G39" s="2898"/>
      <c r="H39" s="2897" t="str">
        <f>IF(($D39=""),"",IDENTIFICATION!H115)</f>
        <v/>
      </c>
      <c r="I39" s="2898"/>
      <c r="J39" s="2897" t="str">
        <f>IF(($D39=""),"",IDENTIFICATION!J115)</f>
        <v/>
      </c>
      <c r="K39" s="2898"/>
      <c r="L39" s="982" t="str">
        <f>IF(($D39=""),"",IDENTIFICATION!L115)</f>
        <v/>
      </c>
      <c r="M39" s="982" t="str">
        <f>IF(($D39=""),"",IDENTIFICATION!M115)</f>
        <v/>
      </c>
      <c r="N39" s="2897" t="str">
        <f>IF(($D39=""),"",IDENTIFICATION!N115)</f>
        <v/>
      </c>
      <c r="O39" s="2898"/>
      <c r="P39" s="947">
        <v>6</v>
      </c>
      <c r="Q39" s="263"/>
      <c r="S39" s="2899"/>
    </row>
    <row r="40" spans="2:19" ht="19.5" customHeight="1" x14ac:dyDescent="0.25">
      <c r="B40" s="259"/>
      <c r="C40" s="924"/>
      <c r="D40" s="2895" t="str">
        <f>IF(OR(IDENTIFICATION!N117='MENU DÉROULANT'!$E$12,IDENTIFICATION!N117='MENU DÉROULANT'!$E$13),IF(ISBLANK(IDENTIFICATION!D117),"",IDENTIFICATION!D117),"")</f>
        <v/>
      </c>
      <c r="E40" s="2896"/>
      <c r="F40" s="2897" t="str">
        <f>IF(($D40=""),"",IDENTIFICATION!F117)</f>
        <v/>
      </c>
      <c r="G40" s="2898"/>
      <c r="H40" s="2897" t="str">
        <f>IF(($D40=""),"",IDENTIFICATION!H117)</f>
        <v/>
      </c>
      <c r="I40" s="2898"/>
      <c r="J40" s="2897" t="str">
        <f>IF(($D40=""),"",IDENTIFICATION!J117)</f>
        <v/>
      </c>
      <c r="K40" s="2898"/>
      <c r="L40" s="982" t="str">
        <f>IF(($D40=""),"",IDENTIFICATION!L117)</f>
        <v/>
      </c>
      <c r="M40" s="982" t="str">
        <f>IF(($D40=""),"",IDENTIFICATION!M117)</f>
        <v/>
      </c>
      <c r="N40" s="2897" t="str">
        <f>IF(($D40=""),"",IDENTIFICATION!N117)</f>
        <v/>
      </c>
      <c r="O40" s="2898"/>
      <c r="P40" s="946"/>
      <c r="Q40" s="263"/>
      <c r="S40" s="2899"/>
    </row>
    <row r="41" spans="2:19" ht="16.5" customHeight="1" x14ac:dyDescent="0.25">
      <c r="B41" s="259"/>
      <c r="C41" s="274"/>
      <c r="D41" s="275"/>
      <c r="E41" s="276"/>
      <c r="F41" s="276"/>
      <c r="G41" s="276"/>
      <c r="H41" s="276"/>
      <c r="I41" s="277"/>
      <c r="J41" s="278"/>
      <c r="K41" s="278"/>
      <c r="L41" s="278"/>
      <c r="M41" s="278"/>
      <c r="N41" s="278"/>
      <c r="O41" s="278"/>
      <c r="P41" s="279"/>
      <c r="Q41" s="263"/>
      <c r="S41" s="2899"/>
    </row>
    <row r="42" spans="2:19" ht="13.5" customHeight="1" thickBot="1" x14ac:dyDescent="0.3">
      <c r="B42" s="284"/>
      <c r="C42" s="285"/>
      <c r="D42" s="285"/>
      <c r="E42" s="285"/>
      <c r="F42" s="285"/>
      <c r="G42" s="285"/>
      <c r="H42" s="285"/>
      <c r="I42" s="285"/>
      <c r="J42" s="285"/>
      <c r="K42" s="285"/>
      <c r="L42" s="285"/>
      <c r="M42" s="285"/>
      <c r="N42" s="285"/>
      <c r="O42" s="285"/>
      <c r="P42" s="285"/>
      <c r="Q42" s="286"/>
      <c r="S42" s="2899"/>
    </row>
    <row r="43" spans="2:19" ht="10.5" customHeight="1" thickBot="1" x14ac:dyDescent="0.3">
      <c r="S43" s="2899"/>
    </row>
    <row r="44" spans="2:19" ht="12" customHeight="1" x14ac:dyDescent="0.25">
      <c r="B44" s="247"/>
      <c r="C44" s="248"/>
      <c r="D44" s="248"/>
      <c r="E44" s="249"/>
      <c r="F44" s="250"/>
      <c r="G44" s="250"/>
      <c r="H44" s="250"/>
      <c r="I44" s="250"/>
      <c r="J44" s="250"/>
      <c r="K44" s="250"/>
      <c r="L44" s="250"/>
      <c r="M44" s="250"/>
      <c r="N44" s="250"/>
      <c r="O44" s="250"/>
      <c r="P44" s="250"/>
      <c r="Q44" s="251"/>
      <c r="S44" s="2899"/>
    </row>
    <row r="45" spans="2:19" ht="18" customHeight="1" x14ac:dyDescent="0.25">
      <c r="B45" s="252"/>
      <c r="C45" s="253" t="s">
        <v>1744</v>
      </c>
      <c r="D45" s="253"/>
      <c r="E45" s="254"/>
      <c r="F45" s="166"/>
      <c r="G45" s="166"/>
      <c r="H45" s="166"/>
      <c r="I45" s="166"/>
      <c r="J45" s="166"/>
      <c r="K45" s="166"/>
      <c r="L45" s="166"/>
      <c r="M45" s="166"/>
      <c r="N45" s="255" t="s">
        <v>59</v>
      </c>
      <c r="O45" s="359" t="str">
        <f>IF(AND(IDENTIFICATION!O70="Complété",IDENTIFICATION!O124="Complété"),"Complété","À compléter")</f>
        <v>À compléter</v>
      </c>
      <c r="P45" s="166"/>
      <c r="Q45" s="256"/>
      <c r="S45" s="2899"/>
    </row>
    <row r="46" spans="2:19" ht="7.5" customHeight="1" x14ac:dyDescent="0.25">
      <c r="B46" s="257"/>
      <c r="C46" s="258"/>
      <c r="D46" s="258"/>
      <c r="E46" s="258"/>
      <c r="F46" s="166"/>
      <c r="G46" s="166"/>
      <c r="H46" s="166"/>
      <c r="I46" s="166"/>
      <c r="J46" s="166"/>
      <c r="K46" s="166"/>
      <c r="L46" s="166"/>
      <c r="M46" s="166"/>
      <c r="N46" s="166"/>
      <c r="O46" s="166"/>
      <c r="P46" s="166"/>
      <c r="Q46" s="256"/>
      <c r="S46" s="2899"/>
    </row>
    <row r="47" spans="2:19" x14ac:dyDescent="0.25">
      <c r="B47" s="259"/>
      <c r="C47" s="485" t="s">
        <v>1765</v>
      </c>
      <c r="D47" s="261"/>
      <c r="E47" s="262"/>
      <c r="F47" s="262"/>
      <c r="G47" s="262"/>
      <c r="H47" s="262"/>
      <c r="I47" s="262"/>
      <c r="J47" s="262"/>
      <c r="K47" s="262"/>
      <c r="L47" s="262"/>
      <c r="M47" s="262"/>
      <c r="N47" s="262"/>
      <c r="O47" s="262"/>
      <c r="P47" s="262"/>
      <c r="Q47" s="263"/>
      <c r="S47" s="2899"/>
    </row>
    <row r="48" spans="2:19" ht="19.5" customHeight="1" x14ac:dyDescent="0.25">
      <c r="B48" s="259"/>
      <c r="C48" s="347" t="s">
        <v>1774</v>
      </c>
      <c r="D48" s="322"/>
      <c r="E48" s="262"/>
      <c r="F48" s="262"/>
      <c r="G48" s="262"/>
      <c r="H48" s="262"/>
      <c r="I48" s="262"/>
      <c r="J48" s="262"/>
      <c r="K48" s="262"/>
      <c r="L48" s="262"/>
      <c r="M48" s="262"/>
      <c r="N48" s="262"/>
      <c r="O48" s="262"/>
      <c r="P48" s="262"/>
      <c r="Q48" s="263"/>
      <c r="S48" s="2899"/>
    </row>
    <row r="49" spans="1:19" ht="12" customHeight="1" x14ac:dyDescent="0.25">
      <c r="B49" s="259"/>
      <c r="C49" s="261"/>
      <c r="D49" s="261"/>
      <c r="E49" s="287"/>
      <c r="F49" s="287"/>
      <c r="G49" s="287"/>
      <c r="H49" s="287"/>
      <c r="I49" s="287"/>
      <c r="J49" s="287"/>
      <c r="K49" s="287"/>
      <c r="L49" s="287"/>
      <c r="M49" s="287"/>
      <c r="N49" s="287"/>
      <c r="O49" s="287"/>
      <c r="P49" s="262"/>
      <c r="Q49" s="263"/>
      <c r="S49" s="2899"/>
    </row>
    <row r="50" spans="1:19" ht="15" customHeight="1" x14ac:dyDescent="0.25">
      <c r="B50" s="259"/>
      <c r="C50" s="264"/>
      <c r="D50" s="265"/>
      <c r="E50" s="281"/>
      <c r="F50" s="281"/>
      <c r="G50" s="281"/>
      <c r="H50" s="281"/>
      <c r="I50" s="281"/>
      <c r="J50" s="281"/>
      <c r="K50" s="281"/>
      <c r="L50" s="281"/>
      <c r="M50" s="281"/>
      <c r="N50" s="281"/>
      <c r="O50" s="281"/>
      <c r="P50" s="267"/>
      <c r="Q50" s="263"/>
      <c r="S50" s="2899"/>
    </row>
    <row r="51" spans="1:19" ht="18" customHeight="1" x14ac:dyDescent="0.25">
      <c r="B51" s="494"/>
      <c r="C51" s="104"/>
      <c r="D51" s="941" t="s">
        <v>1758</v>
      </c>
      <c r="E51" s="983" t="str">
        <f>IF(ISBLANK(IDENTIFICATION!E75),"",IDENTIFICATION!E75)</f>
        <v/>
      </c>
      <c r="F51" s="944" t="s">
        <v>1772</v>
      </c>
      <c r="G51" s="945"/>
      <c r="H51" s="945"/>
      <c r="I51" s="945"/>
      <c r="J51" s="945"/>
      <c r="K51" s="945"/>
      <c r="L51" s="271"/>
      <c r="M51" s="271"/>
      <c r="N51" s="271"/>
      <c r="O51" s="271"/>
      <c r="P51" s="272"/>
      <c r="Q51" s="263"/>
      <c r="S51" s="2899"/>
    </row>
    <row r="52" spans="1:19" ht="10.5" customHeight="1" x14ac:dyDescent="0.25">
      <c r="B52" s="259"/>
      <c r="C52" s="104"/>
      <c r="D52" s="309"/>
      <c r="E52" s="309"/>
      <c r="F52" s="271"/>
      <c r="G52" s="271"/>
      <c r="H52" s="271"/>
      <c r="I52" s="271"/>
      <c r="J52" s="271"/>
      <c r="K52" s="271"/>
      <c r="L52" s="271"/>
      <c r="M52" s="271"/>
      <c r="N52" s="271"/>
      <c r="O52" s="271"/>
      <c r="P52" s="272"/>
      <c r="Q52" s="263"/>
      <c r="S52" s="2899"/>
    </row>
    <row r="53" spans="1:19" ht="18" customHeight="1" x14ac:dyDescent="0.25">
      <c r="B53" s="494"/>
      <c r="C53" s="104"/>
      <c r="D53" s="943" t="s">
        <v>1759</v>
      </c>
      <c r="E53" s="983" t="str">
        <f>IF(ISBLANK(IDENTIFICATION!E77),"",IDENTIFICATION!E77)</f>
        <v/>
      </c>
      <c r="F53" s="942" t="s">
        <v>1771</v>
      </c>
      <c r="H53" s="271"/>
      <c r="I53" s="271"/>
      <c r="J53" s="271"/>
      <c r="K53" s="271"/>
      <c r="L53" s="271"/>
      <c r="M53" s="271"/>
      <c r="N53" s="271"/>
      <c r="O53" s="271"/>
      <c r="P53" s="272"/>
      <c r="Q53" s="263"/>
      <c r="S53" s="2899"/>
    </row>
    <row r="54" spans="1:19" ht="15.75" customHeight="1" x14ac:dyDescent="0.25">
      <c r="B54" s="259"/>
      <c r="C54" s="308"/>
      <c r="D54" s="309"/>
      <c r="E54" s="271"/>
      <c r="F54" s="271"/>
      <c r="G54" s="271"/>
      <c r="H54" s="271"/>
      <c r="I54" s="271"/>
      <c r="J54" s="271"/>
      <c r="K54" s="271"/>
      <c r="L54" s="271"/>
      <c r="M54" s="271"/>
      <c r="N54" s="271"/>
      <c r="O54" s="271"/>
      <c r="P54" s="272"/>
      <c r="Q54" s="263"/>
      <c r="S54" s="2899"/>
    </row>
    <row r="55" spans="1:19" ht="19.5" customHeight="1" x14ac:dyDescent="0.25">
      <c r="B55" s="494"/>
      <c r="C55" s="2876" t="s">
        <v>1769</v>
      </c>
      <c r="D55" s="2877"/>
      <c r="E55" s="3231" t="str">
        <f>IF(ISBLANK(IDENTIFICATION!F131),"",IDENTIFICATION!F131)</f>
        <v/>
      </c>
      <c r="F55" s="3232"/>
      <c r="G55" s="2862" t="s">
        <v>1773</v>
      </c>
      <c r="H55" s="2862"/>
      <c r="I55" s="3222"/>
      <c r="J55" s="3223"/>
      <c r="K55" s="3223"/>
      <c r="L55" s="3223"/>
      <c r="M55" s="3223"/>
      <c r="N55" s="3223"/>
      <c r="O55" s="3224"/>
      <c r="P55" s="617"/>
      <c r="Q55" s="263"/>
      <c r="S55" s="2899"/>
    </row>
    <row r="56" spans="1:19" ht="14.25" customHeight="1" x14ac:dyDescent="0.25">
      <c r="B56" s="259"/>
      <c r="C56" s="935"/>
      <c r="D56" s="936"/>
      <c r="E56" s="273"/>
      <c r="F56" s="273"/>
      <c r="G56" s="2862"/>
      <c r="H56" s="2862"/>
      <c r="I56" s="3225"/>
      <c r="J56" s="3226"/>
      <c r="K56" s="3226"/>
      <c r="L56" s="3226"/>
      <c r="M56" s="3226"/>
      <c r="N56" s="3226"/>
      <c r="O56" s="3227"/>
      <c r="P56" s="272"/>
      <c r="Q56" s="263"/>
      <c r="S56" s="2899"/>
    </row>
    <row r="57" spans="1:19" ht="19.5" customHeight="1" x14ac:dyDescent="0.25">
      <c r="B57" s="259"/>
      <c r="C57" s="2876" t="s">
        <v>1770</v>
      </c>
      <c r="D57" s="2877"/>
      <c r="E57" s="3231" t="str">
        <f>IF(ISBLANK(IDENTIFICATION!F133),"",IDENTIFICATION!F133)</f>
        <v/>
      </c>
      <c r="F57" s="3232"/>
      <c r="G57" s="2862"/>
      <c r="H57" s="2862"/>
      <c r="I57" s="3225"/>
      <c r="J57" s="3226"/>
      <c r="K57" s="3226"/>
      <c r="L57" s="3226"/>
      <c r="M57" s="3226"/>
      <c r="N57" s="3226"/>
      <c r="O57" s="3227"/>
      <c r="P57" s="272"/>
      <c r="Q57" s="263"/>
      <c r="S57" s="2899"/>
    </row>
    <row r="58" spans="1:19" ht="19.5" customHeight="1" x14ac:dyDescent="0.25">
      <c r="B58" s="259"/>
      <c r="C58" s="938"/>
      <c r="D58" s="936"/>
      <c r="E58" s="3231" t="str">
        <f>IF(ISBLANK(IDENTIFICATION!F134),"",IDENTIFICATION!F134)</f>
        <v/>
      </c>
      <c r="F58" s="3232"/>
      <c r="G58" s="288"/>
      <c r="H58" s="984"/>
      <c r="I58" s="3225"/>
      <c r="J58" s="3226"/>
      <c r="K58" s="3226"/>
      <c r="L58" s="3226"/>
      <c r="M58" s="3226"/>
      <c r="N58" s="3226"/>
      <c r="O58" s="3227"/>
      <c r="P58" s="272"/>
      <c r="Q58" s="263"/>
      <c r="S58" s="2899"/>
    </row>
    <row r="59" spans="1:19" ht="19.5" customHeight="1" x14ac:dyDescent="0.25">
      <c r="B59" s="259"/>
      <c r="C59" s="918"/>
      <c r="D59" s="974"/>
      <c r="E59" s="3231" t="str">
        <f>IF(ISBLANK(IDENTIFICATION!F135),"",IDENTIFICATION!F135)</f>
        <v/>
      </c>
      <c r="F59" s="3232"/>
      <c r="G59" s="288"/>
      <c r="H59" s="984"/>
      <c r="I59" s="3225"/>
      <c r="J59" s="3226"/>
      <c r="K59" s="3226"/>
      <c r="L59" s="3226"/>
      <c r="M59" s="3226"/>
      <c r="N59" s="3226"/>
      <c r="O59" s="3227"/>
      <c r="P59" s="617"/>
      <c r="Q59" s="263"/>
      <c r="S59" s="2899"/>
    </row>
    <row r="60" spans="1:19" ht="17.25" customHeight="1" x14ac:dyDescent="0.25">
      <c r="B60" s="259"/>
      <c r="C60" s="918"/>
      <c r="D60" s="939"/>
      <c r="E60" s="3231" t="str">
        <f>IF(ISBLANK(IDENTIFICATION!F136),"",IDENTIFICATION!F136)</f>
        <v/>
      </c>
      <c r="F60" s="3232"/>
      <c r="G60" s="288"/>
      <c r="H60" s="984"/>
      <c r="I60" s="3228"/>
      <c r="J60" s="3229"/>
      <c r="K60" s="3229"/>
      <c r="L60" s="3229"/>
      <c r="M60" s="3229"/>
      <c r="N60" s="3229"/>
      <c r="O60" s="3230"/>
      <c r="P60" s="617"/>
      <c r="Q60" s="263"/>
      <c r="S60" s="2899"/>
    </row>
    <row r="61" spans="1:19" ht="17.25" customHeight="1" x14ac:dyDescent="0.25">
      <c r="B61" s="259"/>
      <c r="C61" s="282"/>
      <c r="D61" s="283"/>
      <c r="E61" s="278"/>
      <c r="F61" s="289"/>
      <c r="G61" s="278"/>
      <c r="H61" s="289"/>
      <c r="I61" s="277"/>
      <c r="J61" s="278"/>
      <c r="K61" s="289"/>
      <c r="L61" s="278"/>
      <c r="M61" s="289"/>
      <c r="N61" s="278"/>
      <c r="O61" s="289"/>
      <c r="P61" s="279"/>
      <c r="Q61" s="263"/>
      <c r="S61" s="2899"/>
    </row>
    <row r="62" spans="1:19" ht="13.5" customHeight="1" thickBot="1" x14ac:dyDescent="0.3">
      <c r="B62" s="284"/>
      <c r="C62" s="285"/>
      <c r="D62" s="285"/>
      <c r="E62" s="285"/>
      <c r="F62" s="285"/>
      <c r="G62" s="285"/>
      <c r="H62" s="285"/>
      <c r="I62" s="285"/>
      <c r="J62" s="285"/>
      <c r="K62" s="285"/>
      <c r="L62" s="285"/>
      <c r="M62" s="285"/>
      <c r="N62" s="285"/>
      <c r="O62" s="285"/>
      <c r="P62" s="285"/>
      <c r="Q62" s="286"/>
      <c r="S62" s="2904"/>
    </row>
    <row r="63" spans="1:19" ht="10.5" customHeight="1" thickBot="1" x14ac:dyDescent="0.3">
      <c r="B63" s="699"/>
      <c r="S63" s="627"/>
    </row>
    <row r="64" spans="1:19" ht="22.5" customHeight="1" thickBot="1" x14ac:dyDescent="0.3">
      <c r="A64" s="1225"/>
      <c r="B64" s="243" t="s">
        <v>66</v>
      </c>
      <c r="C64" s="243"/>
      <c r="D64" s="243"/>
      <c r="E64" s="243"/>
      <c r="F64" s="243"/>
      <c r="G64" s="243"/>
      <c r="H64" s="243"/>
      <c r="I64" s="243"/>
      <c r="J64" s="243"/>
      <c r="K64" s="243"/>
      <c r="L64" s="244"/>
      <c r="M64" s="244"/>
      <c r="N64" s="244"/>
      <c r="O64" s="3265" t="s">
        <v>1641</v>
      </c>
      <c r="P64" s="3265"/>
      <c r="Q64" s="3265"/>
      <c r="S64" s="628" t="s">
        <v>1537</v>
      </c>
    </row>
    <row r="65" spans="2:19" ht="9.75" customHeight="1" thickBot="1" x14ac:dyDescent="0.3">
      <c r="S65" s="629"/>
    </row>
    <row r="66" spans="2:19" ht="8.25" customHeight="1" x14ac:dyDescent="0.25">
      <c r="B66" s="247"/>
      <c r="C66" s="248"/>
      <c r="D66" s="248"/>
      <c r="E66" s="249"/>
      <c r="F66" s="250"/>
      <c r="G66" s="250"/>
      <c r="H66" s="250"/>
      <c r="I66" s="250"/>
      <c r="J66" s="250"/>
      <c r="K66" s="250"/>
      <c r="L66" s="250"/>
      <c r="M66" s="250"/>
      <c r="N66" s="250"/>
      <c r="O66" s="250"/>
      <c r="P66" s="250"/>
      <c r="Q66" s="251"/>
      <c r="S66" s="2900"/>
    </row>
    <row r="67" spans="2:19" ht="18" customHeight="1" x14ac:dyDescent="0.25">
      <c r="B67" s="290"/>
      <c r="C67" s="253" t="s">
        <v>67</v>
      </c>
      <c r="D67" s="253"/>
      <c r="E67" s="291"/>
      <c r="F67" s="292"/>
      <c r="G67" s="293"/>
      <c r="H67" s="293"/>
      <c r="I67" s="293"/>
      <c r="J67" s="293"/>
      <c r="K67" s="293"/>
      <c r="L67" s="293"/>
      <c r="M67" s="293"/>
      <c r="N67" s="255" t="s">
        <v>59</v>
      </c>
      <c r="O67" s="359" t="str">
        <f>IF((COUNTBLANK(B78:B166)=ROWS(B78:B166)),"Complété","À compléter")</f>
        <v>À compléter</v>
      </c>
      <c r="P67" s="293"/>
      <c r="Q67" s="294"/>
      <c r="S67" s="2899"/>
    </row>
    <row r="68" spans="2:19" ht="6.75" customHeight="1" x14ac:dyDescent="0.25">
      <c r="B68" s="290"/>
      <c r="C68" s="292"/>
      <c r="D68" s="292"/>
      <c r="E68" s="292"/>
      <c r="F68" s="293"/>
      <c r="G68" s="293"/>
      <c r="H68" s="293"/>
      <c r="I68" s="293"/>
      <c r="J68" s="293"/>
      <c r="K68" s="293"/>
      <c r="L68" s="293"/>
      <c r="M68" s="293"/>
      <c r="N68" s="293"/>
      <c r="O68" s="293"/>
      <c r="P68" s="293"/>
      <c r="Q68" s="294"/>
      <c r="S68" s="2899"/>
    </row>
    <row r="69" spans="2:19" ht="17.25" customHeight="1" x14ac:dyDescent="0.25">
      <c r="B69" s="257"/>
      <c r="C69" s="3020" t="s">
        <v>1590</v>
      </c>
      <c r="D69" s="3020"/>
      <c r="E69" s="3020"/>
      <c r="F69" s="3020"/>
      <c r="G69" s="3020"/>
      <c r="H69" s="3020"/>
      <c r="I69" s="3020"/>
      <c r="J69" s="3020"/>
      <c r="K69" s="3020"/>
      <c r="L69" s="3020"/>
      <c r="M69" s="3020"/>
      <c r="N69" s="166"/>
      <c r="O69" s="166"/>
      <c r="P69" s="166"/>
      <c r="Q69" s="256"/>
      <c r="S69" s="2899"/>
    </row>
    <row r="70" spans="2:19" ht="9.75" customHeight="1" x14ac:dyDescent="0.25">
      <c r="B70" s="257"/>
      <c r="C70" s="258"/>
      <c r="D70" s="258"/>
      <c r="E70" s="258"/>
      <c r="F70" s="166"/>
      <c r="G70" s="166"/>
      <c r="H70" s="166"/>
      <c r="I70" s="166"/>
      <c r="J70" s="166"/>
      <c r="K70" s="166"/>
      <c r="L70" s="166"/>
      <c r="M70" s="166"/>
      <c r="N70" s="166"/>
      <c r="O70" s="166"/>
      <c r="P70" s="166"/>
      <c r="Q70" s="256"/>
      <c r="S70" s="2899"/>
    </row>
    <row r="71" spans="2:19" ht="18.75" customHeight="1" x14ac:dyDescent="0.25">
      <c r="B71" s="259"/>
      <c r="C71" s="379" t="s">
        <v>1621</v>
      </c>
      <c r="D71" s="261"/>
      <c r="E71" s="262"/>
      <c r="F71" s="262"/>
      <c r="G71" s="262"/>
      <c r="H71" s="262"/>
      <c r="I71" s="262"/>
      <c r="J71" s="262"/>
      <c r="K71" s="262"/>
      <c r="L71" s="262"/>
      <c r="M71" s="262"/>
      <c r="N71" s="262"/>
      <c r="O71" s="262"/>
      <c r="P71" s="262"/>
      <c r="Q71" s="263"/>
      <c r="S71" s="2899"/>
    </row>
    <row r="72" spans="2:19" ht="42" customHeight="1" x14ac:dyDescent="0.25">
      <c r="B72" s="259"/>
      <c r="C72" s="3016" t="s">
        <v>1592</v>
      </c>
      <c r="D72" s="3016"/>
      <c r="E72" s="3016"/>
      <c r="F72" s="3016"/>
      <c r="G72" s="3016"/>
      <c r="H72" s="3016"/>
      <c r="I72" s="3016"/>
      <c r="J72" s="3016"/>
      <c r="K72" s="3016"/>
      <c r="L72" s="3016"/>
      <c r="M72" s="3016"/>
      <c r="N72" s="3016"/>
      <c r="O72" s="3016"/>
      <c r="P72" s="3016"/>
      <c r="Q72" s="263"/>
      <c r="S72" s="2899"/>
    </row>
    <row r="73" spans="2:19" ht="21.75" customHeight="1" x14ac:dyDescent="0.25">
      <c r="B73" s="259"/>
      <c r="C73" s="3019" t="s">
        <v>1591</v>
      </c>
      <c r="D73" s="3019"/>
      <c r="E73" s="3019"/>
      <c r="F73" s="3019"/>
      <c r="G73" s="3019"/>
      <c r="H73" s="3019"/>
      <c r="I73" s="3019"/>
      <c r="J73" s="3019"/>
      <c r="K73" s="3019"/>
      <c r="L73" s="3019"/>
      <c r="M73" s="3019"/>
      <c r="N73" s="3019"/>
      <c r="O73" s="3019"/>
      <c r="P73" s="771"/>
      <c r="Q73" s="263"/>
      <c r="S73" s="2899"/>
    </row>
    <row r="74" spans="2:19" ht="12" customHeight="1" x14ac:dyDescent="0.25">
      <c r="B74" s="259"/>
      <c r="C74" s="3012" t="s">
        <v>1593</v>
      </c>
      <c r="D74" s="3012"/>
      <c r="E74" s="772" t="s">
        <v>278</v>
      </c>
      <c r="F74" s="262"/>
      <c r="G74" s="262"/>
      <c r="H74" s="262"/>
      <c r="I74" s="262"/>
      <c r="J74" s="262"/>
      <c r="K74" s="262"/>
      <c r="L74" s="262"/>
      <c r="M74" s="262"/>
      <c r="N74" s="262"/>
      <c r="O74" s="262"/>
      <c r="P74" s="262"/>
      <c r="Q74" s="263"/>
      <c r="S74" s="2899"/>
    </row>
    <row r="75" spans="2:19" ht="12" customHeight="1" x14ac:dyDescent="0.25">
      <c r="B75" s="259"/>
      <c r="C75" s="295"/>
      <c r="D75" s="166"/>
      <c r="E75" s="772" t="s">
        <v>279</v>
      </c>
      <c r="F75" s="262"/>
      <c r="G75" s="262"/>
      <c r="H75" s="262"/>
      <c r="I75" s="262"/>
      <c r="J75" s="262"/>
      <c r="K75" s="262"/>
      <c r="L75" s="262"/>
      <c r="M75" s="262"/>
      <c r="N75" s="262"/>
      <c r="O75" s="262"/>
      <c r="P75" s="262"/>
      <c r="Q75" s="263"/>
      <c r="S75" s="2899"/>
    </row>
    <row r="76" spans="2:19" ht="12" customHeight="1" x14ac:dyDescent="0.25">
      <c r="B76" s="259"/>
      <c r="C76" s="295"/>
      <c r="D76" s="166"/>
      <c r="E76" s="772" t="s">
        <v>277</v>
      </c>
      <c r="F76" s="262"/>
      <c r="G76" s="262"/>
      <c r="H76" s="262"/>
      <c r="I76" s="262"/>
      <c r="J76" s="262"/>
      <c r="K76" s="262"/>
      <c r="L76" s="262"/>
      <c r="M76" s="262"/>
      <c r="N76" s="262"/>
      <c r="O76" s="262"/>
      <c r="P76" s="262"/>
      <c r="Q76" s="263"/>
      <c r="S76" s="2899"/>
    </row>
    <row r="77" spans="2:19" ht="12.75" customHeight="1" x14ac:dyDescent="0.25">
      <c r="B77" s="259"/>
      <c r="C77" s="371"/>
      <c r="D77" s="261"/>
      <c r="E77" s="262"/>
      <c r="F77" s="262"/>
      <c r="G77" s="262"/>
      <c r="H77" s="262"/>
      <c r="I77" s="262"/>
      <c r="J77" s="262"/>
      <c r="K77" s="262"/>
      <c r="L77" s="262"/>
      <c r="M77" s="262"/>
      <c r="N77" s="262"/>
      <c r="O77" s="262"/>
      <c r="P77" s="262"/>
      <c r="Q77" s="263"/>
      <c r="S77" s="2899"/>
    </row>
    <row r="78" spans="2:19" ht="12.75" customHeight="1" x14ac:dyDescent="0.25">
      <c r="B78" s="259"/>
      <c r="C78" s="264"/>
      <c r="D78" s="265"/>
      <c r="E78" s="266"/>
      <c r="F78" s="266"/>
      <c r="G78" s="266"/>
      <c r="H78" s="266"/>
      <c r="I78" s="266"/>
      <c r="J78" s="266"/>
      <c r="K78" s="266"/>
      <c r="L78" s="266"/>
      <c r="M78" s="266"/>
      <c r="N78" s="266"/>
      <c r="O78" s="266"/>
      <c r="P78" s="267"/>
      <c r="Q78" s="263"/>
      <c r="S78" s="2899"/>
    </row>
    <row r="79" spans="2:19" ht="3.75" customHeight="1" x14ac:dyDescent="0.25">
      <c r="B79" s="259"/>
      <c r="C79" s="2984" t="s">
        <v>68</v>
      </c>
      <c r="P79" s="272"/>
      <c r="Q79" s="263"/>
      <c r="S79" s="2899"/>
    </row>
    <row r="80" spans="2:19" ht="9" customHeight="1" x14ac:dyDescent="0.25">
      <c r="B80" s="259"/>
      <c r="C80" s="2984"/>
      <c r="D80" s="2987" t="s">
        <v>1568</v>
      </c>
      <c r="E80" s="2987"/>
      <c r="F80" s="2987"/>
      <c r="G80" s="2987"/>
      <c r="P80" s="272"/>
      <c r="Q80" s="263"/>
      <c r="S80" s="2899"/>
    </row>
    <row r="81" spans="2:20" ht="18" customHeight="1" x14ac:dyDescent="0.25">
      <c r="B81" s="494" t="str">
        <f>IF(ISBLANK(H81)=FALSE,"","u")</f>
        <v>u</v>
      </c>
      <c r="C81" s="2984"/>
      <c r="D81" s="2987"/>
      <c r="E81" s="2987"/>
      <c r="F81" s="2987"/>
      <c r="G81" s="2987"/>
      <c r="H81" s="2988"/>
      <c r="I81" s="2989"/>
      <c r="J81" s="2989"/>
      <c r="K81" s="2989"/>
      <c r="L81" s="2989"/>
      <c r="M81" s="2990"/>
      <c r="O81" s="1048" t="str">
        <f>IF(ISNA(VLOOKUP(H81,'MENU DÉROULANT'!C28:H32,6,FALSE)),"",VLOOKUP(H81,'MENU DÉROULANT'!C28:H32,6,FALSE))</f>
        <v/>
      </c>
      <c r="P81" s="272"/>
      <c r="Q81" s="263"/>
      <c r="S81" s="2899"/>
    </row>
    <row r="82" spans="2:20" ht="30.75" customHeight="1" x14ac:dyDescent="0.25">
      <c r="B82" s="259"/>
      <c r="C82" s="2984"/>
      <c r="D82" s="659"/>
      <c r="E82" s="659"/>
      <c r="F82" s="659"/>
      <c r="G82" s="659"/>
      <c r="H82" s="2991" t="str">
        <f>IF(H81='MENU DÉROULANT'!C28,"Notez que toutes les sections concernant ce sous-service ne seront donc pas remplies et qu'il n'y aura donc pas de visuel dans le sommaire pour ce sous-service. Une note apparaitra toutefois à ce sujet sur le sommaire.","")</f>
        <v/>
      </c>
      <c r="I82" s="2991"/>
      <c r="J82" s="2991"/>
      <c r="K82" s="2991"/>
      <c r="L82" s="2991"/>
      <c r="M82" s="2991"/>
      <c r="P82" s="272"/>
      <c r="Q82" s="263"/>
      <c r="S82" s="2899"/>
    </row>
    <row r="83" spans="2:20" ht="9.75" customHeight="1" x14ac:dyDescent="0.25">
      <c r="B83" s="259"/>
      <c r="C83" s="2984"/>
      <c r="P83" s="272"/>
      <c r="Q83" s="263"/>
      <c r="S83" s="2899"/>
    </row>
    <row r="84" spans="2:20" ht="27" customHeight="1" x14ac:dyDescent="0.25">
      <c r="B84" s="259"/>
      <c r="C84" s="2984"/>
      <c r="F84" s="2939" t="s">
        <v>130</v>
      </c>
      <c r="G84" s="2939"/>
      <c r="H84" s="2828"/>
      <c r="I84" s="2860"/>
      <c r="J84" s="2860"/>
      <c r="K84" s="2860"/>
      <c r="L84" s="2860"/>
      <c r="M84" s="2829"/>
      <c r="P84" s="272"/>
      <c r="Q84" s="263"/>
      <c r="S84" s="2899"/>
    </row>
    <row r="85" spans="2:20" ht="15" customHeight="1" x14ac:dyDescent="0.25">
      <c r="B85" s="259"/>
      <c r="C85" s="2984"/>
      <c r="D85" s="517"/>
      <c r="E85" s="517"/>
      <c r="F85" s="517"/>
      <c r="G85" s="517"/>
      <c r="H85" s="517"/>
      <c r="I85" s="517"/>
      <c r="J85" s="517"/>
      <c r="K85" s="517"/>
      <c r="L85" s="517"/>
      <c r="M85" s="517"/>
      <c r="N85" s="517"/>
      <c r="O85" s="517"/>
      <c r="P85" s="272"/>
      <c r="Q85" s="263"/>
      <c r="S85" s="2899"/>
    </row>
    <row r="86" spans="2:20" ht="12.75" customHeight="1" x14ac:dyDescent="0.25">
      <c r="B86" s="259"/>
      <c r="C86" s="385"/>
      <c r="P86" s="272"/>
      <c r="Q86" s="263"/>
      <c r="S86" s="2899"/>
    </row>
    <row r="87" spans="2:20" ht="27" customHeight="1" x14ac:dyDescent="0.25">
      <c r="B87" s="259"/>
      <c r="C87" s="385"/>
      <c r="D87" s="675" t="s">
        <v>69</v>
      </c>
      <c r="E87" s="457" t="s">
        <v>281</v>
      </c>
      <c r="F87" s="85"/>
      <c r="G87" s="85"/>
      <c r="H87" s="85"/>
      <c r="I87" s="85"/>
      <c r="J87" s="2939" t="s">
        <v>1468</v>
      </c>
      <c r="K87" s="2939"/>
      <c r="L87" s="2985"/>
      <c r="M87" s="2828"/>
      <c r="N87" s="2860"/>
      <c r="O87" s="2829"/>
      <c r="P87" s="272"/>
      <c r="Q87" s="263"/>
      <c r="S87" s="2899"/>
    </row>
    <row r="88" spans="2:20" ht="17.25" customHeight="1" x14ac:dyDescent="0.25">
      <c r="B88" s="259"/>
      <c r="C88" s="385"/>
      <c r="D88" s="382"/>
      <c r="E88" s="456"/>
      <c r="F88" s="85"/>
      <c r="G88" s="85"/>
      <c r="H88" s="85"/>
      <c r="I88" s="85"/>
      <c r="J88" s="85"/>
      <c r="K88" s="85"/>
      <c r="L88" s="85"/>
      <c r="M88" s="85"/>
      <c r="N88" s="85"/>
      <c r="O88" s="451"/>
      <c r="P88" s="272"/>
      <c r="Q88" s="263"/>
      <c r="S88" s="2899"/>
    </row>
    <row r="89" spans="2:20" ht="18" customHeight="1" x14ac:dyDescent="0.25">
      <c r="B89" s="494" t="str">
        <f>IF(OR(O81=1,O81=3),"",IF(OR(ISBLANK(G89),ISBLANK(J89),ISBLANK(K89),ISBLANK(L89),ISBLANK(M89),ISBLANK(N89))=FALSE,"","u"))</f>
        <v>u</v>
      </c>
      <c r="C89" s="385"/>
      <c r="D89" s="297"/>
      <c r="F89" s="298" t="s">
        <v>70</v>
      </c>
      <c r="G89" s="574"/>
      <c r="H89" s="2939" t="s">
        <v>282</v>
      </c>
      <c r="I89" s="2939"/>
      <c r="J89" s="578"/>
      <c r="K89" s="578"/>
      <c r="L89" s="578"/>
      <c r="M89" s="578"/>
      <c r="N89" s="578"/>
      <c r="O89" s="730">
        <f>1-J89-K89-L89-M89-N89</f>
        <v>1</v>
      </c>
      <c r="P89" s="617"/>
      <c r="Q89" s="263"/>
      <c r="S89" s="2899"/>
    </row>
    <row r="90" spans="2:20" ht="6.75" customHeight="1" x14ac:dyDescent="0.25">
      <c r="B90" s="259"/>
      <c r="C90" s="385"/>
      <c r="D90" s="297"/>
      <c r="E90" s="85"/>
      <c r="F90" s="85"/>
      <c r="G90" s="85"/>
      <c r="H90" s="2939"/>
      <c r="I90" s="2939"/>
      <c r="J90" s="85"/>
      <c r="K90" s="85"/>
      <c r="L90" s="85"/>
      <c r="M90" s="85"/>
      <c r="N90" s="85"/>
      <c r="O90" s="85"/>
      <c r="P90" s="272"/>
      <c r="Q90" s="263"/>
      <c r="S90" s="2899"/>
    </row>
    <row r="91" spans="2:20" ht="17.25" customHeight="1" x14ac:dyDescent="0.25">
      <c r="B91" s="494" t="str">
        <f>IF(OR(O81=1,O81=3),"",IF(ISBLANK(G91)=FALSE,"","u"))</f>
        <v>u</v>
      </c>
      <c r="C91" s="385"/>
      <c r="D91" s="297"/>
      <c r="E91" s="658"/>
      <c r="F91" s="299" t="s">
        <v>71</v>
      </c>
      <c r="G91" s="575"/>
      <c r="H91" s="271"/>
      <c r="I91" s="271"/>
      <c r="J91" s="300" t="s">
        <v>72</v>
      </c>
      <c r="K91" s="300" t="s">
        <v>73</v>
      </c>
      <c r="L91" s="300" t="s">
        <v>74</v>
      </c>
      <c r="M91" s="300" t="s">
        <v>75</v>
      </c>
      <c r="N91" s="87" t="s">
        <v>76</v>
      </c>
      <c r="O91" s="87" t="s">
        <v>35</v>
      </c>
      <c r="P91" s="617"/>
      <c r="Q91" s="263"/>
      <c r="S91" s="2899"/>
    </row>
    <row r="92" spans="2:20" ht="9" customHeight="1" x14ac:dyDescent="0.25">
      <c r="B92" s="494"/>
      <c r="C92" s="385"/>
      <c r="D92" s="297"/>
      <c r="E92" s="658"/>
      <c r="F92" s="299"/>
      <c r="G92" s="685"/>
      <c r="H92" s="271"/>
      <c r="I92" s="271"/>
      <c r="J92" s="300"/>
      <c r="K92" s="300"/>
      <c r="L92" s="300"/>
      <c r="M92" s="300"/>
      <c r="N92" s="87"/>
      <c r="O92" s="87"/>
      <c r="P92" s="617"/>
      <c r="Q92" s="263"/>
      <c r="S92" s="2899"/>
    </row>
    <row r="93" spans="2:20" ht="27" customHeight="1" x14ac:dyDescent="0.25">
      <c r="B93" s="494"/>
      <c r="C93" s="385"/>
      <c r="D93" s="297"/>
      <c r="E93" s="658"/>
      <c r="F93" s="299"/>
      <c r="G93" s="501"/>
      <c r="H93" s="2939" t="s">
        <v>130</v>
      </c>
      <c r="I93" s="2939"/>
      <c r="J93" s="2828"/>
      <c r="K93" s="2860"/>
      <c r="L93" s="2860"/>
      <c r="M93" s="2860"/>
      <c r="N93" s="2860"/>
      <c r="O93" s="2829"/>
      <c r="P93" s="617"/>
      <c r="Q93" s="263"/>
      <c r="S93" s="2899"/>
    </row>
    <row r="94" spans="2:20" ht="15" customHeight="1" x14ac:dyDescent="0.25">
      <c r="B94" s="259"/>
      <c r="C94" s="385"/>
      <c r="D94" s="301"/>
      <c r="E94" s="278"/>
      <c r="F94" s="289"/>
      <c r="G94" s="278"/>
      <c r="H94" s="289"/>
      <c r="I94" s="277"/>
      <c r="J94" s="278"/>
      <c r="K94" s="289"/>
      <c r="L94" s="278"/>
      <c r="M94" s="289"/>
      <c r="N94" s="278"/>
      <c r="O94" s="289"/>
      <c r="P94" s="617"/>
      <c r="Q94" s="263"/>
      <c r="S94" s="2899"/>
    </row>
    <row r="95" spans="2:20" ht="12.75" customHeight="1" x14ac:dyDescent="0.25">
      <c r="B95" s="259"/>
      <c r="C95" s="639"/>
      <c r="D95" s="297"/>
      <c r="E95" s="658"/>
      <c r="F95" s="615"/>
      <c r="G95" s="658"/>
      <c r="H95" s="615"/>
      <c r="I95" s="55"/>
      <c r="J95" s="658"/>
      <c r="K95" s="615"/>
      <c r="L95" s="658"/>
      <c r="M95" s="615"/>
      <c r="N95" s="658"/>
      <c r="O95" s="615"/>
      <c r="P95" s="617"/>
      <c r="Q95" s="263"/>
      <c r="S95" s="2899"/>
    </row>
    <row r="96" spans="2:20" ht="27" customHeight="1" x14ac:dyDescent="0.25">
      <c r="B96" s="259"/>
      <c r="C96" s="385"/>
      <c r="D96" s="675" t="s">
        <v>77</v>
      </c>
      <c r="E96" s="457" t="s">
        <v>280</v>
      </c>
      <c r="F96" s="85"/>
      <c r="G96" s="85"/>
      <c r="H96" s="85"/>
      <c r="I96" s="85"/>
      <c r="J96" s="2939" t="s">
        <v>1468</v>
      </c>
      <c r="K96" s="2939"/>
      <c r="L96" s="2985"/>
      <c r="M96" s="2828"/>
      <c r="N96" s="2860"/>
      <c r="O96" s="2829"/>
      <c r="P96" s="272"/>
      <c r="Q96" s="263"/>
      <c r="S96" s="2899"/>
      <c r="T96" s="302"/>
    </row>
    <row r="97" spans="2:21" ht="17.25" customHeight="1" x14ac:dyDescent="0.25">
      <c r="B97" s="259"/>
      <c r="C97" s="385"/>
      <c r="D97" s="381"/>
      <c r="E97" s="384"/>
      <c r="F97" s="85"/>
      <c r="G97" s="85"/>
      <c r="H97" s="85"/>
      <c r="I97" s="85"/>
      <c r="J97" s="85"/>
      <c r="K97" s="85"/>
      <c r="L97" s="85"/>
      <c r="M97" s="85"/>
      <c r="N97" s="85"/>
      <c r="O97" s="451"/>
      <c r="P97" s="272"/>
      <c r="Q97" s="263"/>
      <c r="S97" s="2899"/>
      <c r="T97" s="302"/>
    </row>
    <row r="98" spans="2:21" ht="18" customHeight="1" x14ac:dyDescent="0.25">
      <c r="B98" s="494" t="str">
        <f>IF(OR(O81=1,O81=2),"",IF(OR(ISBLANK(G98),ISBLANK(J98),ISBLANK(K98),ISBLANK(L98),ISBLANK(M98),ISBLANK(N98))=FALSE,"","u"))</f>
        <v>u</v>
      </c>
      <c r="C98" s="385"/>
      <c r="D98" s="297"/>
      <c r="F98" s="298" t="s">
        <v>283</v>
      </c>
      <c r="G98" s="574"/>
      <c r="H98" s="2939" t="s">
        <v>282</v>
      </c>
      <c r="I98" s="2939"/>
      <c r="J98" s="578"/>
      <c r="K98" s="578"/>
      <c r="L98" s="578"/>
      <c r="M98" s="578"/>
      <c r="N98" s="578"/>
      <c r="O98" s="730">
        <f>1-J98-K98-L98-M98-N98</f>
        <v>1</v>
      </c>
      <c r="P98" s="617"/>
      <c r="Q98" s="263"/>
      <c r="S98" s="2899"/>
    </row>
    <row r="99" spans="2:21" ht="6.75" customHeight="1" x14ac:dyDescent="0.25">
      <c r="B99" s="259"/>
      <c r="C99" s="385"/>
      <c r="D99" s="297"/>
      <c r="E99" s="85"/>
      <c r="F99" s="85"/>
      <c r="G99" s="85"/>
      <c r="H99" s="2939"/>
      <c r="I99" s="2939"/>
      <c r="J99" s="85"/>
      <c r="K99" s="85"/>
      <c r="L99" s="85"/>
      <c r="M99" s="85"/>
      <c r="N99" s="85"/>
      <c r="O99" s="85"/>
      <c r="P99" s="272"/>
      <c r="Q99" s="263"/>
      <c r="S99" s="2899"/>
    </row>
    <row r="100" spans="2:21" ht="17.25" customHeight="1" x14ac:dyDescent="0.25">
      <c r="B100" s="494" t="str">
        <f>IF(OR(O81=1,O81=2),"",IF(ISBLANK(G100)=FALSE,"","u"))</f>
        <v>u</v>
      </c>
      <c r="C100" s="385"/>
      <c r="D100" s="297"/>
      <c r="E100" s="658"/>
      <c r="F100" s="299" t="s">
        <v>71</v>
      </c>
      <c r="G100" s="575"/>
      <c r="H100" s="271"/>
      <c r="I100" s="271"/>
      <c r="J100" s="300" t="s">
        <v>72</v>
      </c>
      <c r="K100" s="300" t="s">
        <v>73</v>
      </c>
      <c r="L100" s="300" t="s">
        <v>74</v>
      </c>
      <c r="M100" s="300" t="s">
        <v>75</v>
      </c>
      <c r="N100" s="87" t="s">
        <v>76</v>
      </c>
      <c r="O100" s="300" t="s">
        <v>35</v>
      </c>
      <c r="P100" s="617"/>
      <c r="Q100" s="263"/>
      <c r="S100" s="2899"/>
    </row>
    <row r="101" spans="2:21" ht="9" customHeight="1" x14ac:dyDescent="0.25">
      <c r="B101" s="494"/>
      <c r="C101" s="385"/>
      <c r="D101" s="297"/>
      <c r="E101" s="658"/>
      <c r="F101" s="299"/>
      <c r="G101" s="685"/>
      <c r="H101" s="271"/>
      <c r="I101" s="271"/>
      <c r="J101" s="300"/>
      <c r="K101" s="300"/>
      <c r="L101" s="300"/>
      <c r="M101" s="300"/>
      <c r="N101" s="87"/>
      <c r="O101" s="87"/>
      <c r="P101" s="617"/>
      <c r="Q101" s="263"/>
      <c r="S101" s="2899"/>
    </row>
    <row r="102" spans="2:21" ht="27" customHeight="1" x14ac:dyDescent="0.25">
      <c r="B102" s="494"/>
      <c r="C102" s="385"/>
      <c r="D102" s="297"/>
      <c r="E102" s="658"/>
      <c r="F102" s="299"/>
      <c r="G102" s="501"/>
      <c r="H102" s="2939" t="s">
        <v>130</v>
      </c>
      <c r="I102" s="2939"/>
      <c r="J102" s="2828"/>
      <c r="K102" s="2860"/>
      <c r="L102" s="2860"/>
      <c r="M102" s="2860"/>
      <c r="N102" s="2860"/>
      <c r="O102" s="2829"/>
      <c r="P102" s="617"/>
      <c r="Q102" s="263"/>
      <c r="S102" s="2899"/>
    </row>
    <row r="103" spans="2:21" ht="15" customHeight="1" x14ac:dyDescent="0.25">
      <c r="B103" s="259"/>
      <c r="C103" s="677"/>
      <c r="D103" s="297"/>
      <c r="E103" s="658"/>
      <c r="F103" s="615"/>
      <c r="G103" s="658"/>
      <c r="H103" s="615"/>
      <c r="I103" s="55"/>
      <c r="J103" s="658"/>
      <c r="K103" s="615"/>
      <c r="L103" s="658"/>
      <c r="M103" s="615"/>
      <c r="N103" s="658"/>
      <c r="O103" s="615"/>
      <c r="P103" s="617"/>
      <c r="Q103" s="263"/>
      <c r="S103" s="2899"/>
    </row>
    <row r="104" spans="2:21" ht="12.75" customHeight="1" x14ac:dyDescent="0.25">
      <c r="B104" s="259"/>
      <c r="C104" s="677"/>
      <c r="D104" s="387"/>
      <c r="E104" s="366"/>
      <c r="F104" s="367"/>
      <c r="G104" s="366"/>
      <c r="H104" s="367"/>
      <c r="I104" s="374"/>
      <c r="J104" s="366"/>
      <c r="K104" s="367"/>
      <c r="L104" s="366"/>
      <c r="M104" s="367"/>
      <c r="N104" s="366"/>
      <c r="O104" s="367"/>
      <c r="P104" s="617"/>
      <c r="Q104" s="263"/>
      <c r="S104" s="2899"/>
    </row>
    <row r="105" spans="2:21" ht="27" customHeight="1" x14ac:dyDescent="0.25">
      <c r="B105" s="259"/>
      <c r="C105" s="452"/>
      <c r="D105" s="645" t="s">
        <v>284</v>
      </c>
      <c r="E105" s="646" t="s">
        <v>1858</v>
      </c>
      <c r="F105" s="510"/>
      <c r="G105" s="510"/>
      <c r="H105" s="510"/>
      <c r="I105" s="510"/>
      <c r="J105" s="2939" t="s">
        <v>1468</v>
      </c>
      <c r="K105" s="2939"/>
      <c r="L105" s="2985"/>
      <c r="M105" s="2828"/>
      <c r="N105" s="2860"/>
      <c r="O105" s="2829"/>
      <c r="P105" s="617"/>
      <c r="Q105" s="263"/>
      <c r="S105" s="2899"/>
      <c r="U105" s="28" t="s">
        <v>124</v>
      </c>
    </row>
    <row r="106" spans="2:21" ht="27" customHeight="1" x14ac:dyDescent="0.25">
      <c r="B106" s="259"/>
      <c r="C106" s="452"/>
      <c r="D106" s="463"/>
      <c r="E106" s="2986" t="s">
        <v>1620</v>
      </c>
      <c r="F106" s="2986"/>
      <c r="G106" s="2986"/>
      <c r="H106" s="2986"/>
      <c r="I106" s="2986"/>
      <c r="J106" s="2986"/>
      <c r="K106" s="2986"/>
      <c r="L106" s="2986"/>
      <c r="M106" s="2986"/>
      <c r="N106" s="2986"/>
      <c r="O106" s="2986"/>
      <c r="P106" s="617"/>
      <c r="Q106" s="263"/>
      <c r="S106" s="2899"/>
    </row>
    <row r="107" spans="2:21" ht="13.5" customHeight="1" x14ac:dyDescent="0.25">
      <c r="B107" s="259"/>
      <c r="C107" s="452"/>
      <c r="D107" s="459"/>
      <c r="E107" s="461"/>
      <c r="F107" s="461"/>
      <c r="G107" s="461"/>
      <c r="H107" s="461"/>
      <c r="I107" s="461"/>
      <c r="J107" s="461"/>
      <c r="K107" s="461"/>
      <c r="L107" s="461"/>
      <c r="M107" s="461"/>
      <c r="N107" s="461"/>
      <c r="O107" s="461"/>
      <c r="P107" s="617"/>
      <c r="Q107" s="263"/>
      <c r="S107" s="2899"/>
    </row>
    <row r="108" spans="2:21" ht="18" customHeight="1" x14ac:dyDescent="0.25">
      <c r="B108" s="259"/>
      <c r="C108" s="452"/>
      <c r="D108" s="459"/>
      <c r="E108" s="460"/>
      <c r="F108" s="298" t="s">
        <v>70</v>
      </c>
      <c r="G108" s="576"/>
      <c r="H108" s="3017" t="s">
        <v>287</v>
      </c>
      <c r="I108" s="3018"/>
      <c r="J108" s="2863"/>
      <c r="K108" s="2864"/>
      <c r="L108" s="2864"/>
      <c r="M108" s="2864"/>
      <c r="N108" s="2864"/>
      <c r="O108" s="2865"/>
      <c r="P108" s="617"/>
      <c r="Q108" s="263"/>
      <c r="S108" s="2899"/>
    </row>
    <row r="109" spans="2:21" ht="9.75" customHeight="1" x14ac:dyDescent="0.25">
      <c r="B109" s="259"/>
      <c r="C109" s="677"/>
      <c r="D109" s="296"/>
      <c r="E109" s="386"/>
      <c r="F109" s="386"/>
      <c r="G109" s="386"/>
      <c r="H109" s="464"/>
      <c r="I109" s="464"/>
      <c r="J109" s="386"/>
      <c r="K109" s="386"/>
      <c r="L109" s="386"/>
      <c r="M109" s="386"/>
      <c r="N109" s="386"/>
      <c r="O109" s="386"/>
      <c r="P109" s="617"/>
      <c r="Q109" s="263"/>
      <c r="S109" s="2899"/>
    </row>
    <row r="110" spans="2:21" ht="18" customHeight="1" x14ac:dyDescent="0.25">
      <c r="B110" s="259"/>
      <c r="C110" s="452"/>
      <c r="D110" s="459"/>
      <c r="E110" s="460"/>
      <c r="F110" s="298" t="s">
        <v>283</v>
      </c>
      <c r="G110" s="576"/>
      <c r="H110" s="3017" t="s">
        <v>287</v>
      </c>
      <c r="I110" s="3018"/>
      <c r="J110" s="2863"/>
      <c r="K110" s="2864"/>
      <c r="L110" s="2864"/>
      <c r="M110" s="2864"/>
      <c r="N110" s="2864"/>
      <c r="O110" s="2865"/>
      <c r="P110" s="617"/>
      <c r="Q110" s="263"/>
      <c r="S110" s="2899"/>
    </row>
    <row r="111" spans="2:21" ht="9.75" customHeight="1" x14ac:dyDescent="0.25">
      <c r="B111" s="259"/>
      <c r="C111" s="677"/>
      <c r="D111" s="296"/>
      <c r="E111" s="386"/>
      <c r="F111" s="386"/>
      <c r="G111" s="386"/>
      <c r="H111" s="386"/>
      <c r="I111" s="386"/>
      <c r="J111" s="386"/>
      <c r="K111" s="386"/>
      <c r="L111" s="386"/>
      <c r="M111" s="386"/>
      <c r="N111" s="386"/>
      <c r="O111" s="386"/>
      <c r="P111" s="617"/>
      <c r="Q111" s="263"/>
      <c r="S111" s="2899"/>
    </row>
    <row r="112" spans="2:21" ht="17.25" customHeight="1" x14ac:dyDescent="0.25">
      <c r="B112" s="259"/>
      <c r="C112" s="677"/>
      <c r="D112" s="296"/>
      <c r="E112" s="658"/>
      <c r="F112" s="462" t="s">
        <v>71</v>
      </c>
      <c r="G112" s="577"/>
      <c r="H112" s="615"/>
      <c r="I112" s="389"/>
      <c r="P112" s="617"/>
      <c r="Q112" s="263"/>
      <c r="S112" s="2899"/>
    </row>
    <row r="113" spans="2:19" ht="9" customHeight="1" x14ac:dyDescent="0.25">
      <c r="B113" s="494"/>
      <c r="C113" s="385"/>
      <c r="D113" s="297"/>
      <c r="E113" s="658"/>
      <c r="F113" s="299"/>
      <c r="G113" s="685"/>
      <c r="H113" s="271"/>
      <c r="I113" s="271"/>
      <c r="J113" s="300"/>
      <c r="K113" s="300"/>
      <c r="L113" s="300"/>
      <c r="M113" s="300"/>
      <c r="N113" s="87"/>
      <c r="O113" s="87"/>
      <c r="P113" s="617"/>
      <c r="Q113" s="263"/>
      <c r="S113" s="2899"/>
    </row>
    <row r="114" spans="2:19" ht="27" customHeight="1" x14ac:dyDescent="0.25">
      <c r="B114" s="494"/>
      <c r="C114" s="385"/>
      <c r="D114" s="297"/>
      <c r="E114" s="658"/>
      <c r="F114" s="299"/>
      <c r="G114" s="501"/>
      <c r="H114" s="2939" t="s">
        <v>130</v>
      </c>
      <c r="I114" s="2939"/>
      <c r="J114" s="2828"/>
      <c r="K114" s="2860"/>
      <c r="L114" s="2860"/>
      <c r="M114" s="2860"/>
      <c r="N114" s="2860"/>
      <c r="O114" s="2829"/>
      <c r="P114" s="617"/>
      <c r="Q114" s="263"/>
      <c r="S114" s="2899"/>
    </row>
    <row r="115" spans="2:19" ht="15" customHeight="1" x14ac:dyDescent="0.25">
      <c r="B115" s="259"/>
      <c r="C115" s="677"/>
      <c r="D115" s="297"/>
      <c r="E115" s="658"/>
      <c r="F115" s="615"/>
      <c r="G115" s="658"/>
      <c r="H115" s="615"/>
      <c r="I115" s="55"/>
      <c r="J115" s="658"/>
      <c r="K115" s="615"/>
      <c r="L115" s="658"/>
      <c r="M115" s="615"/>
      <c r="N115" s="658"/>
      <c r="O115" s="615"/>
      <c r="P115" s="617"/>
      <c r="Q115" s="263"/>
      <c r="S115" s="2899"/>
    </row>
    <row r="116" spans="2:19" ht="14.25" customHeight="1" x14ac:dyDescent="0.25">
      <c r="B116" s="259"/>
      <c r="C116" s="390"/>
      <c r="D116" s="280"/>
      <c r="E116" s="390"/>
      <c r="F116" s="390"/>
      <c r="G116" s="390"/>
      <c r="H116" s="390"/>
      <c r="I116" s="390"/>
      <c r="J116" s="390"/>
      <c r="K116" s="390"/>
      <c r="L116" s="390"/>
      <c r="M116" s="390"/>
      <c r="N116" s="390"/>
      <c r="O116" s="390"/>
      <c r="P116" s="390"/>
      <c r="Q116" s="263"/>
      <c r="S116" s="2899"/>
    </row>
    <row r="117" spans="2:19" ht="13.5" customHeight="1" x14ac:dyDescent="0.25">
      <c r="B117" s="259"/>
      <c r="C117" s="264"/>
      <c r="D117" s="303"/>
      <c r="E117" s="266"/>
      <c r="F117" s="266"/>
      <c r="G117" s="266"/>
      <c r="H117" s="266"/>
      <c r="I117" s="266"/>
      <c r="J117" s="266"/>
      <c r="K117" s="266"/>
      <c r="L117" s="266"/>
      <c r="M117" s="266"/>
      <c r="N117" s="266"/>
      <c r="O117" s="266"/>
      <c r="P117" s="267"/>
      <c r="Q117" s="263"/>
      <c r="S117" s="2899"/>
    </row>
    <row r="118" spans="2:19" ht="3.75" customHeight="1" x14ac:dyDescent="0.25">
      <c r="B118" s="259"/>
      <c r="C118" s="2984" t="s">
        <v>78</v>
      </c>
      <c r="P118" s="272"/>
      <c r="Q118" s="263"/>
      <c r="S118" s="2899"/>
    </row>
    <row r="119" spans="2:19" ht="9" customHeight="1" x14ac:dyDescent="0.25">
      <c r="B119" s="259"/>
      <c r="C119" s="2984"/>
      <c r="D119" s="2987" t="s">
        <v>1785</v>
      </c>
      <c r="E119" s="2987"/>
      <c r="F119" s="2987"/>
      <c r="G119" s="2987"/>
      <c r="P119" s="272"/>
      <c r="Q119" s="263"/>
      <c r="S119" s="2899"/>
    </row>
    <row r="120" spans="2:19" ht="18" customHeight="1" x14ac:dyDescent="0.25">
      <c r="B120" s="494" t="str">
        <f>IF(ISBLANK(H120)=FALSE,"","u")</f>
        <v>u</v>
      </c>
      <c r="C120" s="2984"/>
      <c r="D120" s="2987"/>
      <c r="E120" s="2987"/>
      <c r="F120" s="2987"/>
      <c r="G120" s="2987"/>
      <c r="H120" s="2988"/>
      <c r="I120" s="2989"/>
      <c r="J120" s="2989"/>
      <c r="K120" s="2989"/>
      <c r="L120" s="2989"/>
      <c r="M120" s="2990"/>
      <c r="O120" s="1048" t="str">
        <f>IF(ISNA(VLOOKUP('FORMULAIRE PGA Eau potable'!H120,'MENU DÉROULANT'!F28:H32,3,FALSE)),"",VLOOKUP('FORMULAIRE PGA Eau potable'!H120,'MENU DÉROULANT'!F28:H32,3,FALSE))</f>
        <v/>
      </c>
      <c r="P120" s="272"/>
      <c r="Q120" s="263"/>
      <c r="S120" s="2899"/>
    </row>
    <row r="121" spans="2:19" ht="30.75" customHeight="1" x14ac:dyDescent="0.25">
      <c r="B121" s="259"/>
      <c r="C121" s="2984"/>
      <c r="D121" s="659"/>
      <c r="E121" s="659"/>
      <c r="F121" s="659"/>
      <c r="G121" s="659"/>
      <c r="H121" s="2991" t="str">
        <f>IF(H120='MENU DÉROULANT'!F28,"Notez que toutes les sections concernant ce sous-service ne seront donc pas remplies et qu'il n'y aura donc pas de visuel dans le sommaire pour ce sous-service. Une note apparaitra toutefois à ce sujet sur le sommaire.","")</f>
        <v/>
      </c>
      <c r="I121" s="2991"/>
      <c r="J121" s="2991"/>
      <c r="K121" s="2991"/>
      <c r="L121" s="2991"/>
      <c r="M121" s="2991"/>
      <c r="P121" s="272"/>
      <c r="Q121" s="263"/>
      <c r="S121" s="2899"/>
    </row>
    <row r="122" spans="2:19" ht="9.75" customHeight="1" x14ac:dyDescent="0.25">
      <c r="B122" s="259"/>
      <c r="C122" s="2984"/>
      <c r="P122" s="272"/>
      <c r="Q122" s="263"/>
      <c r="S122" s="2899"/>
    </row>
    <row r="123" spans="2:19" ht="27" customHeight="1" x14ac:dyDescent="0.25">
      <c r="B123" s="259"/>
      <c r="C123" s="2984"/>
      <c r="F123" s="2939" t="s">
        <v>130</v>
      </c>
      <c r="G123" s="2939"/>
      <c r="H123" s="2828"/>
      <c r="I123" s="2860"/>
      <c r="J123" s="2860"/>
      <c r="K123" s="2860"/>
      <c r="L123" s="2860"/>
      <c r="M123" s="2829"/>
      <c r="P123" s="272"/>
      <c r="Q123" s="263"/>
      <c r="S123" s="2899"/>
    </row>
    <row r="124" spans="2:19" ht="15" customHeight="1" x14ac:dyDescent="0.25">
      <c r="B124" s="259"/>
      <c r="C124" s="2984"/>
      <c r="D124" s="517"/>
      <c r="E124" s="517"/>
      <c r="F124" s="517"/>
      <c r="G124" s="517"/>
      <c r="H124" s="517"/>
      <c r="I124" s="517"/>
      <c r="J124" s="517"/>
      <c r="K124" s="517"/>
      <c r="L124" s="517"/>
      <c r="M124" s="517"/>
      <c r="N124" s="517"/>
      <c r="O124" s="517"/>
      <c r="P124" s="272"/>
      <c r="Q124" s="263"/>
      <c r="S124" s="2899"/>
    </row>
    <row r="125" spans="2:19" ht="12.75" customHeight="1" x14ac:dyDescent="0.25">
      <c r="B125" s="259"/>
      <c r="C125" s="385"/>
      <c r="P125" s="272"/>
      <c r="Q125" s="263"/>
      <c r="S125" s="2899"/>
    </row>
    <row r="126" spans="2:19" ht="27" customHeight="1" x14ac:dyDescent="0.25">
      <c r="B126" s="259"/>
      <c r="C126" s="385"/>
      <c r="D126" s="675" t="s">
        <v>69</v>
      </c>
      <c r="E126" s="457" t="s">
        <v>288</v>
      </c>
      <c r="F126" s="85"/>
      <c r="G126" s="85"/>
      <c r="H126" s="85"/>
      <c r="I126" s="85"/>
      <c r="J126" s="2939" t="s">
        <v>1468</v>
      </c>
      <c r="K126" s="2939"/>
      <c r="L126" s="2985"/>
      <c r="M126" s="2828"/>
      <c r="N126" s="2860"/>
      <c r="O126" s="2829"/>
      <c r="P126" s="272"/>
      <c r="Q126" s="263"/>
      <c r="R126" s="422"/>
      <c r="S126" s="2899"/>
    </row>
    <row r="127" spans="2:19" ht="17.25" customHeight="1" x14ac:dyDescent="0.25">
      <c r="B127" s="259"/>
      <c r="C127" s="385"/>
      <c r="D127" s="382"/>
      <c r="E127" s="383"/>
      <c r="F127" s="85"/>
      <c r="G127" s="85"/>
      <c r="H127" s="85"/>
      <c r="I127" s="85"/>
      <c r="J127" s="85"/>
      <c r="K127" s="85"/>
      <c r="L127" s="85"/>
      <c r="M127" s="85"/>
      <c r="N127" s="85"/>
      <c r="O127" s="451"/>
      <c r="P127" s="272"/>
      <c r="Q127" s="263"/>
      <c r="S127" s="2899"/>
    </row>
    <row r="128" spans="2:19" ht="18" customHeight="1" x14ac:dyDescent="0.25">
      <c r="B128" s="494" t="str">
        <f>IF(OR(O120=1,O120=3),"",IF(OR(ISBLANK(G128),ISBLANK(J128),ISBLANK(K128),ISBLANK(L128),ISBLANK(M128),ISBLANK(N128))=FALSE,"","u"))</f>
        <v>u</v>
      </c>
      <c r="C128" s="385"/>
      <c r="D128" s="297"/>
      <c r="F128" s="298" t="s">
        <v>70</v>
      </c>
      <c r="G128" s="574"/>
      <c r="H128" s="2939" t="s">
        <v>282</v>
      </c>
      <c r="I128" s="2939"/>
      <c r="J128" s="578"/>
      <c r="K128" s="578"/>
      <c r="L128" s="578"/>
      <c r="M128" s="578"/>
      <c r="N128" s="578"/>
      <c r="O128" s="730">
        <f>1-J128-K128-L128-M128-N128</f>
        <v>1</v>
      </c>
      <c r="P128" s="617"/>
      <c r="Q128" s="263"/>
      <c r="S128" s="2899"/>
    </row>
    <row r="129" spans="2:20" ht="6.75" customHeight="1" x14ac:dyDescent="0.25">
      <c r="B129" s="259"/>
      <c r="C129" s="385"/>
      <c r="D129" s="297"/>
      <c r="E129" s="85"/>
      <c r="F129" s="85"/>
      <c r="G129" s="85"/>
      <c r="H129" s="2939"/>
      <c r="I129" s="2939"/>
      <c r="J129" s="85"/>
      <c r="K129" s="85"/>
      <c r="L129" s="85"/>
      <c r="M129" s="85"/>
      <c r="N129" s="85"/>
      <c r="O129" s="85"/>
      <c r="P129" s="272"/>
      <c r="Q129" s="263"/>
      <c r="S129" s="2899"/>
    </row>
    <row r="130" spans="2:20" ht="17.25" customHeight="1" x14ac:dyDescent="0.25">
      <c r="B130" s="494" t="str">
        <f>IF(OR(O120=1,O120=3),"",IF(ISBLANK(G130)=FALSE,"","u"))</f>
        <v>u</v>
      </c>
      <c r="C130" s="385"/>
      <c r="D130" s="297"/>
      <c r="E130" s="658"/>
      <c r="F130" s="299" t="s">
        <v>71</v>
      </c>
      <c r="G130" s="575"/>
      <c r="H130" s="271"/>
      <c r="I130" s="271"/>
      <c r="J130" s="300" t="s">
        <v>72</v>
      </c>
      <c r="K130" s="300" t="s">
        <v>73</v>
      </c>
      <c r="L130" s="300" t="s">
        <v>74</v>
      </c>
      <c r="M130" s="300" t="s">
        <v>75</v>
      </c>
      <c r="N130" s="87" t="s">
        <v>76</v>
      </c>
      <c r="O130" s="300" t="s">
        <v>35</v>
      </c>
      <c r="P130" s="617"/>
      <c r="Q130" s="263"/>
      <c r="S130" s="2899"/>
    </row>
    <row r="131" spans="2:20" ht="9" customHeight="1" x14ac:dyDescent="0.25">
      <c r="B131" s="494"/>
      <c r="C131" s="385"/>
      <c r="D131" s="297"/>
      <c r="E131" s="658"/>
      <c r="F131" s="299"/>
      <c r="G131" s="685"/>
      <c r="H131" s="271"/>
      <c r="I131" s="271"/>
      <c r="J131" s="300"/>
      <c r="K131" s="300"/>
      <c r="L131" s="300"/>
      <c r="M131" s="300"/>
      <c r="N131" s="87"/>
      <c r="O131" s="87"/>
      <c r="P131" s="617"/>
      <c r="Q131" s="263"/>
      <c r="S131" s="2899"/>
    </row>
    <row r="132" spans="2:20" ht="27" customHeight="1" x14ac:dyDescent="0.25">
      <c r="B132" s="494"/>
      <c r="C132" s="385"/>
      <c r="D132" s="297"/>
      <c r="E132" s="658"/>
      <c r="F132" s="299"/>
      <c r="G132" s="501"/>
      <c r="H132" s="2939" t="s">
        <v>130</v>
      </c>
      <c r="I132" s="2939"/>
      <c r="J132" s="2828"/>
      <c r="K132" s="2860"/>
      <c r="L132" s="2860"/>
      <c r="M132" s="2860"/>
      <c r="N132" s="2860"/>
      <c r="O132" s="2829"/>
      <c r="P132" s="617"/>
      <c r="Q132" s="263"/>
      <c r="S132" s="2899"/>
    </row>
    <row r="133" spans="2:20" ht="15" customHeight="1" x14ac:dyDescent="0.25">
      <c r="B133" s="259"/>
      <c r="C133" s="385"/>
      <c r="D133" s="301"/>
      <c r="E133" s="278"/>
      <c r="F133" s="289"/>
      <c r="G133" s="278"/>
      <c r="H133" s="289"/>
      <c r="I133" s="277"/>
      <c r="J133" s="278"/>
      <c r="K133" s="289"/>
      <c r="L133" s="278"/>
      <c r="M133" s="289"/>
      <c r="N133" s="278"/>
      <c r="O133" s="289"/>
      <c r="P133" s="617"/>
      <c r="Q133" s="263"/>
      <c r="S133" s="2899"/>
    </row>
    <row r="134" spans="2:20" ht="12.75" customHeight="1" x14ac:dyDescent="0.25">
      <c r="B134" s="259"/>
      <c r="C134" s="639"/>
      <c r="D134" s="297"/>
      <c r="E134" s="658"/>
      <c r="F134" s="615"/>
      <c r="G134" s="658"/>
      <c r="H134" s="615"/>
      <c r="I134" s="55"/>
      <c r="J134" s="658"/>
      <c r="K134" s="615"/>
      <c r="L134" s="658"/>
      <c r="M134" s="615"/>
      <c r="N134" s="658"/>
      <c r="O134" s="615"/>
      <c r="P134" s="617"/>
      <c r="Q134" s="263"/>
      <c r="S134" s="2899"/>
    </row>
    <row r="135" spans="2:20" ht="27" customHeight="1" x14ac:dyDescent="0.25">
      <c r="B135" s="259"/>
      <c r="C135" s="104"/>
      <c r="D135" s="675" t="s">
        <v>77</v>
      </c>
      <c r="E135" s="457" t="s">
        <v>1563</v>
      </c>
      <c r="F135" s="85"/>
      <c r="G135" s="85"/>
      <c r="H135" s="85"/>
      <c r="I135" s="85"/>
      <c r="J135" s="2939" t="s">
        <v>1468</v>
      </c>
      <c r="K135" s="2939"/>
      <c r="L135" s="2985"/>
      <c r="M135" s="2828"/>
      <c r="N135" s="2860"/>
      <c r="O135" s="2829"/>
      <c r="P135" s="272"/>
      <c r="Q135" s="263"/>
      <c r="S135" s="2899"/>
      <c r="T135" s="302"/>
    </row>
    <row r="136" spans="2:20" ht="17.25" customHeight="1" x14ac:dyDescent="0.25">
      <c r="B136" s="259"/>
      <c r="C136" s="104"/>
      <c r="D136" s="381"/>
      <c r="E136" s="384"/>
      <c r="F136" s="85"/>
      <c r="G136" s="85"/>
      <c r="H136" s="85"/>
      <c r="I136" s="85"/>
      <c r="J136" s="85"/>
      <c r="K136" s="85"/>
      <c r="L136" s="85"/>
      <c r="M136" s="85"/>
      <c r="N136" s="85"/>
      <c r="O136" s="451"/>
      <c r="P136" s="272"/>
      <c r="Q136" s="263"/>
      <c r="S136" s="2899"/>
      <c r="T136" s="302"/>
    </row>
    <row r="137" spans="2:20" ht="18" customHeight="1" x14ac:dyDescent="0.25">
      <c r="B137" s="494" t="str">
        <f>IF(OR(O120=1,O120=2),"",IF(OR(ISBLANK(G137),ISBLANK(J137),ISBLANK(K137),ISBLANK(L137),ISBLANK(M137),ISBLANK(N137))=FALSE,"","u"))</f>
        <v>u</v>
      </c>
      <c r="C137" s="104"/>
      <c r="D137" s="297"/>
      <c r="F137" s="298" t="s">
        <v>283</v>
      </c>
      <c r="G137" s="574"/>
      <c r="H137" s="2939" t="s">
        <v>282</v>
      </c>
      <c r="I137" s="2939"/>
      <c r="J137" s="578"/>
      <c r="K137" s="578"/>
      <c r="L137" s="578"/>
      <c r="M137" s="578"/>
      <c r="N137" s="578"/>
      <c r="O137" s="730">
        <f>1-J137-K137-L137-M137-N137</f>
        <v>1</v>
      </c>
      <c r="P137" s="617"/>
      <c r="Q137" s="263"/>
      <c r="S137" s="2899"/>
    </row>
    <row r="138" spans="2:20" ht="6.75" customHeight="1" x14ac:dyDescent="0.25">
      <c r="B138" s="259"/>
      <c r="C138" s="104"/>
      <c r="D138" s="297"/>
      <c r="E138" s="85"/>
      <c r="F138" s="85"/>
      <c r="G138" s="85"/>
      <c r="H138" s="2939"/>
      <c r="I138" s="2939"/>
      <c r="J138" s="85"/>
      <c r="K138" s="85"/>
      <c r="L138" s="85"/>
      <c r="M138" s="85"/>
      <c r="N138" s="85"/>
      <c r="O138" s="85"/>
      <c r="P138" s="272"/>
      <c r="Q138" s="263"/>
      <c r="S138" s="2899"/>
    </row>
    <row r="139" spans="2:20" ht="17.25" customHeight="1" x14ac:dyDescent="0.25">
      <c r="B139" s="494" t="str">
        <f>IF(OR(O120=1,O120=2),"",IF(ISBLANK(G139)=FALSE,"","u"))</f>
        <v>u</v>
      </c>
      <c r="C139" s="104"/>
      <c r="D139" s="297"/>
      <c r="E139" s="658"/>
      <c r="F139" s="299" t="s">
        <v>71</v>
      </c>
      <c r="G139" s="575"/>
      <c r="H139" s="271"/>
      <c r="I139" s="271"/>
      <c r="J139" s="300" t="s">
        <v>72</v>
      </c>
      <c r="K139" s="300" t="s">
        <v>73</v>
      </c>
      <c r="L139" s="300" t="s">
        <v>74</v>
      </c>
      <c r="M139" s="300" t="s">
        <v>75</v>
      </c>
      <c r="N139" s="87" t="s">
        <v>76</v>
      </c>
      <c r="O139" s="300" t="s">
        <v>35</v>
      </c>
      <c r="P139" s="617"/>
      <c r="Q139" s="263"/>
      <c r="S139" s="2899"/>
    </row>
    <row r="140" spans="2:20" ht="9" customHeight="1" x14ac:dyDescent="0.25">
      <c r="B140" s="494"/>
      <c r="C140" s="385"/>
      <c r="D140" s="297"/>
      <c r="E140" s="658"/>
      <c r="F140" s="299"/>
      <c r="G140" s="685"/>
      <c r="H140" s="271"/>
      <c r="I140" s="271"/>
      <c r="J140" s="300"/>
      <c r="K140" s="300"/>
      <c r="L140" s="300"/>
      <c r="M140" s="300"/>
      <c r="N140" s="87"/>
      <c r="O140" s="87"/>
      <c r="P140" s="617"/>
      <c r="Q140" s="263"/>
      <c r="S140" s="2899"/>
    </row>
    <row r="141" spans="2:20" ht="27" customHeight="1" x14ac:dyDescent="0.25">
      <c r="B141" s="494"/>
      <c r="C141" s="385"/>
      <c r="D141" s="297"/>
      <c r="E141" s="658"/>
      <c r="F141" s="299"/>
      <c r="G141" s="501"/>
      <c r="H141" s="2939" t="s">
        <v>130</v>
      </c>
      <c r="I141" s="2939"/>
      <c r="J141" s="2828"/>
      <c r="K141" s="2860"/>
      <c r="L141" s="2860"/>
      <c r="M141" s="2860"/>
      <c r="N141" s="2860"/>
      <c r="O141" s="2829"/>
      <c r="P141" s="617"/>
      <c r="Q141" s="263"/>
      <c r="S141" s="2899"/>
    </row>
    <row r="142" spans="2:20" ht="15" customHeight="1" x14ac:dyDescent="0.25">
      <c r="B142" s="259"/>
      <c r="C142" s="385"/>
      <c r="D142" s="301"/>
      <c r="E142" s="278"/>
      <c r="F142" s="289"/>
      <c r="G142" s="278"/>
      <c r="H142" s="289"/>
      <c r="I142" s="277"/>
      <c r="J142" s="278"/>
      <c r="K142" s="289"/>
      <c r="L142" s="278"/>
      <c r="M142" s="289"/>
      <c r="N142" s="278"/>
      <c r="O142" s="289"/>
      <c r="P142" s="617"/>
      <c r="Q142" s="263"/>
      <c r="S142" s="2899"/>
    </row>
    <row r="143" spans="2:20" ht="12.75" customHeight="1" x14ac:dyDescent="0.25">
      <c r="B143" s="259"/>
      <c r="C143" s="639"/>
      <c r="D143" s="297"/>
      <c r="E143" s="658"/>
      <c r="F143" s="615"/>
      <c r="G143" s="658"/>
      <c r="H143" s="615"/>
      <c r="I143" s="55"/>
      <c r="J143" s="658"/>
      <c r="K143" s="615"/>
      <c r="L143" s="658"/>
      <c r="M143" s="615"/>
      <c r="N143" s="658"/>
      <c r="O143" s="615"/>
      <c r="P143" s="617"/>
      <c r="Q143" s="263"/>
      <c r="S143" s="2899"/>
    </row>
    <row r="144" spans="2:20" ht="27" customHeight="1" x14ac:dyDescent="0.25">
      <c r="B144" s="259"/>
      <c r="C144" s="104"/>
      <c r="D144" s="645" t="s">
        <v>284</v>
      </c>
      <c r="E144" s="646" t="s">
        <v>1858</v>
      </c>
      <c r="F144" s="510"/>
      <c r="G144" s="510"/>
      <c r="H144" s="510"/>
      <c r="I144" s="510"/>
      <c r="J144" s="2939" t="s">
        <v>1468</v>
      </c>
      <c r="K144" s="2939"/>
      <c r="L144" s="2985"/>
      <c r="M144" s="2828"/>
      <c r="N144" s="2860"/>
      <c r="O144" s="2829"/>
      <c r="P144" s="617"/>
      <c r="Q144" s="263"/>
      <c r="S144" s="2899"/>
    </row>
    <row r="145" spans="2:19" ht="27" customHeight="1" x14ac:dyDescent="0.25">
      <c r="B145" s="259"/>
      <c r="C145" s="104"/>
      <c r="D145" s="463"/>
      <c r="E145" s="2986" t="s">
        <v>1619</v>
      </c>
      <c r="F145" s="2986"/>
      <c r="G145" s="2986"/>
      <c r="H145" s="2986"/>
      <c r="I145" s="2986"/>
      <c r="J145" s="2986"/>
      <c r="K145" s="2986"/>
      <c r="L145" s="2986"/>
      <c r="M145" s="2986"/>
      <c r="N145" s="2986"/>
      <c r="O145" s="2986"/>
      <c r="P145" s="617"/>
      <c r="Q145" s="263"/>
      <c r="S145" s="2899"/>
    </row>
    <row r="146" spans="2:19" ht="13.5" customHeight="1" x14ac:dyDescent="0.25">
      <c r="B146" s="259"/>
      <c r="C146" s="104"/>
      <c r="D146" s="459"/>
      <c r="E146" s="461"/>
      <c r="F146" s="461"/>
      <c r="G146" s="461"/>
      <c r="H146" s="461"/>
      <c r="I146" s="461"/>
      <c r="J146" s="461"/>
      <c r="K146" s="461"/>
      <c r="L146" s="461"/>
      <c r="M146" s="461"/>
      <c r="N146" s="461"/>
      <c r="O146" s="461"/>
      <c r="P146" s="617"/>
      <c r="Q146" s="263"/>
      <c r="S146" s="2899"/>
    </row>
    <row r="147" spans="2:19" ht="18" customHeight="1" x14ac:dyDescent="0.25">
      <c r="B147" s="259"/>
      <c r="C147" s="104"/>
      <c r="D147" s="459"/>
      <c r="E147" s="460"/>
      <c r="F147" s="298" t="s">
        <v>70</v>
      </c>
      <c r="G147" s="576"/>
      <c r="H147" s="3017" t="s">
        <v>287</v>
      </c>
      <c r="I147" s="3018"/>
      <c r="J147" s="2863"/>
      <c r="K147" s="2864"/>
      <c r="L147" s="2864"/>
      <c r="M147" s="2864"/>
      <c r="N147" s="2864"/>
      <c r="O147" s="2865"/>
      <c r="P147" s="617"/>
      <c r="Q147" s="263"/>
      <c r="S147" s="2899"/>
    </row>
    <row r="148" spans="2:19" ht="9.75" customHeight="1" x14ac:dyDescent="0.25">
      <c r="B148" s="259"/>
      <c r="C148" s="104"/>
      <c r="D148" s="296"/>
      <c r="E148" s="386"/>
      <c r="F148" s="386"/>
      <c r="G148" s="386"/>
      <c r="H148" s="464"/>
      <c r="I148" s="464"/>
      <c r="J148" s="386"/>
      <c r="K148" s="386"/>
      <c r="L148" s="386"/>
      <c r="M148" s="386"/>
      <c r="N148" s="386"/>
      <c r="O148" s="386"/>
      <c r="P148" s="617"/>
      <c r="Q148" s="263"/>
      <c r="S148" s="2899"/>
    </row>
    <row r="149" spans="2:19" ht="18" customHeight="1" x14ac:dyDescent="0.25">
      <c r="B149" s="259"/>
      <c r="C149" s="104"/>
      <c r="D149" s="459"/>
      <c r="E149" s="460"/>
      <c r="F149" s="298" t="s">
        <v>283</v>
      </c>
      <c r="G149" s="576"/>
      <c r="H149" s="3017" t="s">
        <v>287</v>
      </c>
      <c r="I149" s="3018"/>
      <c r="J149" s="2863"/>
      <c r="K149" s="2864"/>
      <c r="L149" s="2864"/>
      <c r="M149" s="2864"/>
      <c r="N149" s="2864"/>
      <c r="O149" s="2865"/>
      <c r="P149" s="617"/>
      <c r="Q149" s="263"/>
      <c r="S149" s="2899"/>
    </row>
    <row r="150" spans="2:19" ht="9.75" customHeight="1" x14ac:dyDescent="0.25">
      <c r="B150" s="259"/>
      <c r="C150" s="677"/>
      <c r="D150" s="296"/>
      <c r="E150" s="386"/>
      <c r="F150" s="386"/>
      <c r="G150" s="386"/>
      <c r="H150" s="386"/>
      <c r="I150" s="386"/>
      <c r="J150" s="386"/>
      <c r="K150" s="386"/>
      <c r="L150" s="386"/>
      <c r="M150" s="386"/>
      <c r="N150" s="386"/>
      <c r="O150" s="386"/>
      <c r="P150" s="617"/>
      <c r="Q150" s="263"/>
      <c r="S150" s="2899"/>
    </row>
    <row r="151" spans="2:19" ht="17.25" customHeight="1" x14ac:dyDescent="0.25">
      <c r="B151" s="259"/>
      <c r="C151" s="677"/>
      <c r="D151" s="296"/>
      <c r="E151" s="658"/>
      <c r="F151" s="462" t="s">
        <v>71</v>
      </c>
      <c r="G151" s="577"/>
      <c r="H151" s="615"/>
      <c r="I151" s="389"/>
      <c r="P151" s="617"/>
      <c r="Q151" s="263"/>
      <c r="S151" s="2899"/>
    </row>
    <row r="152" spans="2:19" ht="9" customHeight="1" x14ac:dyDescent="0.25">
      <c r="B152" s="494"/>
      <c r="C152" s="385"/>
      <c r="D152" s="297"/>
      <c r="E152" s="658"/>
      <c r="F152" s="299"/>
      <c r="G152" s="685"/>
      <c r="H152" s="271"/>
      <c r="I152" s="271"/>
      <c r="J152" s="300"/>
      <c r="K152" s="300"/>
      <c r="L152" s="300"/>
      <c r="M152" s="300"/>
      <c r="N152" s="87"/>
      <c r="O152" s="87"/>
      <c r="P152" s="617"/>
      <c r="Q152" s="263"/>
      <c r="S152" s="2899"/>
    </row>
    <row r="153" spans="2:19" ht="27" customHeight="1" x14ac:dyDescent="0.25">
      <c r="B153" s="494"/>
      <c r="C153" s="385"/>
      <c r="D153" s="297"/>
      <c r="E153" s="658"/>
      <c r="F153" s="299"/>
      <c r="G153" s="501"/>
      <c r="H153" s="2939" t="s">
        <v>130</v>
      </c>
      <c r="I153" s="2939"/>
      <c r="J153" s="2828"/>
      <c r="K153" s="2860"/>
      <c r="L153" s="2860"/>
      <c r="M153" s="2860"/>
      <c r="N153" s="2860"/>
      <c r="O153" s="2829"/>
      <c r="P153" s="617"/>
      <c r="Q153" s="263"/>
      <c r="S153" s="2899"/>
    </row>
    <row r="154" spans="2:19" ht="15" customHeight="1" x14ac:dyDescent="0.25">
      <c r="B154" s="259"/>
      <c r="C154" s="677"/>
      <c r="D154" s="297"/>
      <c r="E154" s="658"/>
      <c r="F154" s="615"/>
      <c r="G154" s="658"/>
      <c r="H154" s="615"/>
      <c r="I154" s="55"/>
      <c r="J154" s="658"/>
      <c r="K154" s="615"/>
      <c r="L154" s="658"/>
      <c r="M154" s="615"/>
      <c r="N154" s="658"/>
      <c r="O154" s="615"/>
      <c r="P154" s="617"/>
      <c r="Q154" s="263"/>
      <c r="S154" s="2899"/>
    </row>
    <row r="155" spans="2:19" ht="12" customHeight="1" x14ac:dyDescent="0.25">
      <c r="B155" s="259"/>
      <c r="C155" s="390"/>
      <c r="D155" s="280"/>
      <c r="E155" s="390"/>
      <c r="F155" s="390"/>
      <c r="G155" s="390"/>
      <c r="H155" s="390"/>
      <c r="I155" s="390"/>
      <c r="J155" s="390"/>
      <c r="K155" s="390"/>
      <c r="L155" s="390"/>
      <c r="M155" s="390"/>
      <c r="N155" s="390"/>
      <c r="O155" s="390"/>
      <c r="P155" s="390"/>
      <c r="Q155" s="263"/>
      <c r="S155" s="2899"/>
    </row>
    <row r="156" spans="2:19" ht="15" customHeight="1" x14ac:dyDescent="0.25">
      <c r="B156" s="259"/>
      <c r="C156" s="677"/>
      <c r="D156" s="387"/>
      <c r="E156" s="366"/>
      <c r="F156" s="367"/>
      <c r="G156" s="366"/>
      <c r="H156" s="367"/>
      <c r="I156" s="374"/>
      <c r="J156" s="366"/>
      <c r="K156" s="367"/>
      <c r="L156" s="366"/>
      <c r="M156" s="367"/>
      <c r="N156" s="366"/>
      <c r="O156" s="367"/>
      <c r="P156" s="617"/>
      <c r="Q156" s="263"/>
      <c r="S156" s="2899"/>
    </row>
    <row r="157" spans="2:19" ht="18" customHeight="1" x14ac:dyDescent="0.3">
      <c r="B157" s="494" t="str">
        <f>IF(ISBLANK(G157)=FALSE,"","u")</f>
        <v>u</v>
      </c>
      <c r="C157" s="513" t="s">
        <v>220</v>
      </c>
      <c r="D157" s="511" t="s">
        <v>1471</v>
      </c>
      <c r="E157" s="78"/>
      <c r="F157" s="78"/>
      <c r="G157" s="573"/>
      <c r="H157" s="512" t="s">
        <v>289</v>
      </c>
      <c r="L157" s="78"/>
      <c r="M157" s="78"/>
      <c r="N157" s="78"/>
      <c r="O157" s="78"/>
      <c r="P157" s="617"/>
      <c r="Q157" s="263"/>
      <c r="S157" s="2899"/>
    </row>
    <row r="158" spans="2:19" ht="9.75" customHeight="1" x14ac:dyDescent="0.25">
      <c r="B158" s="259"/>
      <c r="C158" s="458"/>
      <c r="D158" s="459"/>
      <c r="E158" s="465"/>
      <c r="F158" s="78"/>
      <c r="G158" s="78"/>
      <c r="H158" s="78"/>
      <c r="I158" s="78"/>
      <c r="J158" s="78"/>
      <c r="K158" s="78"/>
      <c r="L158" s="78"/>
      <c r="M158" s="78"/>
      <c r="N158" s="78"/>
      <c r="O158" s="78"/>
      <c r="P158" s="617"/>
      <c r="Q158" s="263"/>
      <c r="S158" s="2899"/>
    </row>
    <row r="159" spans="2:19" ht="27" customHeight="1" x14ac:dyDescent="0.25">
      <c r="B159" s="259"/>
      <c r="C159" s="388"/>
      <c r="D159" s="519" t="s">
        <v>1473</v>
      </c>
      <c r="E159" s="519"/>
      <c r="F159" s="519" t="s">
        <v>293</v>
      </c>
      <c r="G159" s="519" t="s">
        <v>1472</v>
      </c>
      <c r="H159" s="519"/>
      <c r="I159" s="3011" t="s">
        <v>1859</v>
      </c>
      <c r="J159" s="3011"/>
      <c r="K159" s="78" t="s">
        <v>1475</v>
      </c>
      <c r="L159" s="518"/>
      <c r="M159" s="518" t="s">
        <v>1474</v>
      </c>
      <c r="N159" s="78"/>
      <c r="O159" s="78"/>
      <c r="P159" s="617"/>
      <c r="Q159" s="263"/>
      <c r="S159" s="2899"/>
    </row>
    <row r="160" spans="2:19" ht="18" customHeight="1" x14ac:dyDescent="0.25">
      <c r="B160" s="259"/>
      <c r="C160" s="388"/>
      <c r="D160" s="3024" t="s">
        <v>12</v>
      </c>
      <c r="E160" s="3025"/>
      <c r="F160" s="541" t="s">
        <v>269</v>
      </c>
      <c r="G160" s="2992"/>
      <c r="H160" s="2993"/>
      <c r="I160" s="3001"/>
      <c r="J160" s="3002"/>
      <c r="K160" s="3009"/>
      <c r="L160" s="3010"/>
      <c r="M160" s="2992"/>
      <c r="N160" s="3000"/>
      <c r="O160" s="2993"/>
      <c r="P160" s="617"/>
      <c r="Q160" s="263"/>
      <c r="S160" s="2899"/>
    </row>
    <row r="161" spans="1:19" ht="18" customHeight="1" x14ac:dyDescent="0.25">
      <c r="B161" s="259"/>
      <c r="C161" s="388"/>
      <c r="D161" s="3026"/>
      <c r="E161" s="3027"/>
      <c r="F161" s="542" t="s">
        <v>270</v>
      </c>
      <c r="G161" s="2996"/>
      <c r="H161" s="2997"/>
      <c r="I161" s="3022"/>
      <c r="J161" s="3023"/>
      <c r="K161" s="3005"/>
      <c r="L161" s="3006"/>
      <c r="M161" s="2996"/>
      <c r="N161" s="3015"/>
      <c r="O161" s="2997"/>
      <c r="P161" s="617"/>
      <c r="Q161" s="263"/>
      <c r="S161" s="2899"/>
    </row>
    <row r="162" spans="1:19" ht="18" customHeight="1" x14ac:dyDescent="0.25">
      <c r="B162" s="259"/>
      <c r="C162" s="388"/>
      <c r="D162" s="3028"/>
      <c r="E162" s="3029"/>
      <c r="F162" s="543" t="s">
        <v>1498</v>
      </c>
      <c r="G162" s="2998"/>
      <c r="H162" s="2999"/>
      <c r="I162" s="3003"/>
      <c r="J162" s="3004"/>
      <c r="K162" s="3030"/>
      <c r="L162" s="3031"/>
      <c r="M162" s="2998"/>
      <c r="N162" s="3014"/>
      <c r="O162" s="2999"/>
      <c r="P162" s="617"/>
      <c r="Q162" s="263"/>
      <c r="S162" s="2899"/>
    </row>
    <row r="163" spans="1:19" ht="18" customHeight="1" x14ac:dyDescent="0.25">
      <c r="B163" s="259"/>
      <c r="C163" s="388"/>
      <c r="D163" s="3024" t="s">
        <v>0</v>
      </c>
      <c r="E163" s="3025"/>
      <c r="F163" s="541" t="s">
        <v>269</v>
      </c>
      <c r="G163" s="2992"/>
      <c r="H163" s="2993"/>
      <c r="I163" s="3001"/>
      <c r="J163" s="3002"/>
      <c r="K163" s="3007"/>
      <c r="L163" s="3008"/>
      <c r="M163" s="2992"/>
      <c r="N163" s="3000"/>
      <c r="O163" s="2993"/>
      <c r="P163" s="617"/>
      <c r="Q163" s="263"/>
      <c r="S163" s="2899"/>
    </row>
    <row r="164" spans="1:19" ht="18" customHeight="1" x14ac:dyDescent="0.25">
      <c r="B164" s="259"/>
      <c r="C164" s="388"/>
      <c r="D164" s="3026"/>
      <c r="E164" s="3027"/>
      <c r="F164" s="542" t="s">
        <v>270</v>
      </c>
      <c r="G164" s="2996"/>
      <c r="H164" s="2997"/>
      <c r="I164" s="3022"/>
      <c r="J164" s="3023"/>
      <c r="K164" s="3005"/>
      <c r="L164" s="3006"/>
      <c r="M164" s="2996"/>
      <c r="N164" s="3015"/>
      <c r="O164" s="2997"/>
      <c r="P164" s="617"/>
      <c r="Q164" s="263"/>
      <c r="S164" s="2899"/>
    </row>
    <row r="165" spans="1:19" ht="18" customHeight="1" x14ac:dyDescent="0.25">
      <c r="B165" s="259"/>
      <c r="C165" s="388"/>
      <c r="D165" s="3028"/>
      <c r="E165" s="3029"/>
      <c r="F165" s="543" t="s">
        <v>1498</v>
      </c>
      <c r="G165" s="2998"/>
      <c r="H165" s="2999"/>
      <c r="I165" s="3003"/>
      <c r="J165" s="3004"/>
      <c r="K165" s="3049"/>
      <c r="L165" s="3050"/>
      <c r="M165" s="2998"/>
      <c r="N165" s="3014"/>
      <c r="O165" s="2999"/>
      <c r="P165" s="617"/>
      <c r="Q165" s="263"/>
      <c r="S165" s="2899"/>
    </row>
    <row r="166" spans="1:19" ht="14.25" customHeight="1" x14ac:dyDescent="0.25">
      <c r="B166" s="259"/>
      <c r="C166" s="514"/>
      <c r="D166" s="515"/>
      <c r="E166" s="516"/>
      <c r="F166" s="517"/>
      <c r="G166" s="518"/>
      <c r="H166" s="518"/>
      <c r="I166" s="518"/>
      <c r="J166" s="518"/>
      <c r="K166" s="518"/>
      <c r="L166" s="518"/>
      <c r="M166" s="518"/>
      <c r="N166" s="518"/>
      <c r="O166" s="518"/>
      <c r="P166" s="279"/>
      <c r="Q166" s="263"/>
      <c r="S166" s="2899"/>
    </row>
    <row r="167" spans="1:19" ht="18.75" customHeight="1" x14ac:dyDescent="0.25">
      <c r="B167" s="259"/>
      <c r="C167" s="372"/>
      <c r="D167" s="262"/>
      <c r="E167" s="262"/>
      <c r="F167" s="262"/>
      <c r="G167" s="262"/>
      <c r="H167" s="262"/>
      <c r="I167" s="262"/>
      <c r="J167" s="262"/>
      <c r="K167" s="262"/>
      <c r="L167" s="262"/>
      <c r="M167" s="262"/>
      <c r="N167" s="262"/>
      <c r="O167" s="262"/>
      <c r="P167" s="262"/>
      <c r="Q167" s="263"/>
      <c r="S167" s="2899"/>
    </row>
    <row r="168" spans="1:19" ht="17.25" customHeight="1" x14ac:dyDescent="0.25">
      <c r="B168" s="259"/>
      <c r="C168" s="681" t="s">
        <v>188</v>
      </c>
      <c r="D168" s="262"/>
      <c r="E168" s="262"/>
      <c r="F168" s="262"/>
      <c r="G168" s="262"/>
      <c r="H168" s="262"/>
      <c r="I168" s="262"/>
      <c r="J168" s="262"/>
      <c r="K168" s="262"/>
      <c r="L168" s="262"/>
      <c r="M168" s="262"/>
      <c r="N168" s="262"/>
      <c r="O168" s="262"/>
      <c r="P168" s="262"/>
      <c r="Q168" s="263"/>
      <c r="S168" s="2899"/>
    </row>
    <row r="169" spans="1:19" ht="18" customHeight="1" x14ac:dyDescent="0.25">
      <c r="B169" s="259"/>
      <c r="C169" s="166"/>
      <c r="D169" s="663"/>
      <c r="E169" s="2921" t="s">
        <v>185</v>
      </c>
      <c r="F169" s="2921"/>
      <c r="G169" s="2921"/>
      <c r="H169" s="2922"/>
      <c r="I169" s="359" t="str">
        <f>IF((OR(ISBLANK(F605),ISBLANK(F606),ISBLANK(F607),ISBLANK(F608),ISBLANK(F609),ISBLANK(F610),ISBLANK(K605),ISBLANK(K606),ISBLANK(K607),ISBLANK(K608),ISBLANK(K609),ISBLANK(K610))=FALSE),"Complété","À compléter")</f>
        <v>À compléter</v>
      </c>
      <c r="J169" s="2923" t="s">
        <v>186</v>
      </c>
      <c r="K169" s="2923"/>
      <c r="L169" s="2923"/>
      <c r="M169" s="2923"/>
      <c r="N169" s="2923"/>
      <c r="O169" s="2923"/>
      <c r="P169" s="2923"/>
      <c r="Q169" s="263"/>
      <c r="S169" s="2899"/>
    </row>
    <row r="170" spans="1:19" ht="6.75" customHeight="1" x14ac:dyDescent="0.25">
      <c r="B170" s="259"/>
      <c r="C170" s="262"/>
      <c r="D170" s="663"/>
      <c r="E170" s="663"/>
      <c r="F170" s="663"/>
      <c r="G170" s="663"/>
      <c r="H170" s="663"/>
      <c r="I170" s="262"/>
      <c r="J170" s="361"/>
      <c r="K170" s="361"/>
      <c r="L170" s="361"/>
      <c r="M170" s="361"/>
      <c r="N170" s="361"/>
      <c r="O170" s="361"/>
      <c r="P170" s="361"/>
      <c r="Q170" s="263"/>
      <c r="S170" s="2899"/>
    </row>
    <row r="171" spans="1:19" ht="18" customHeight="1" x14ac:dyDescent="0.25">
      <c r="B171" s="259"/>
      <c r="C171" s="262"/>
      <c r="D171" s="2921" t="s">
        <v>1594</v>
      </c>
      <c r="E171" s="2921"/>
      <c r="F171" s="2921"/>
      <c r="G171" s="2921"/>
      <c r="H171" s="2922"/>
      <c r="I171" s="359" t="str">
        <f>IF((OR(ISBLANK(F671),ISBLANK(F672),ISBLANK(K671),ISBLANK(K672))=FALSE),"Complété","À compléter")</f>
        <v>À compléter</v>
      </c>
      <c r="J171" s="2923" t="s">
        <v>187</v>
      </c>
      <c r="K171" s="2923"/>
      <c r="L171" s="2923"/>
      <c r="M171" s="2923"/>
      <c r="N171" s="2923"/>
      <c r="O171" s="2923"/>
      <c r="P171" s="2923"/>
      <c r="Q171" s="263"/>
      <c r="S171" s="2899"/>
    </row>
    <row r="172" spans="1:19" ht="23.25" customHeight="1" x14ac:dyDescent="0.25">
      <c r="B172" s="259"/>
      <c r="C172" s="262"/>
      <c r="D172" s="467"/>
      <c r="E172" s="467"/>
      <c r="F172" s="467"/>
      <c r="G172" s="467"/>
      <c r="H172" s="467"/>
      <c r="I172" s="469"/>
      <c r="J172" s="662"/>
      <c r="K172" s="662"/>
      <c r="L172" s="662"/>
      <c r="M172" s="662"/>
      <c r="N172" s="662"/>
      <c r="O172" s="662"/>
      <c r="P172" s="662"/>
      <c r="Q172" s="263"/>
      <c r="S172" s="2899"/>
    </row>
    <row r="173" spans="1:19" ht="18" customHeight="1" x14ac:dyDescent="0.25">
      <c r="B173" s="259"/>
      <c r="C173" s="680" t="s">
        <v>1573</v>
      </c>
      <c r="D173" s="467"/>
      <c r="E173" s="467"/>
      <c r="F173" s="467"/>
      <c r="G173" s="166"/>
      <c r="H173" s="2914" t="s">
        <v>1486</v>
      </c>
      <c r="I173" s="2914"/>
      <c r="J173" s="166"/>
      <c r="K173" s="166"/>
      <c r="L173" s="662"/>
      <c r="M173" s="662"/>
      <c r="N173" s="662"/>
      <c r="O173" s="662"/>
      <c r="P173" s="662"/>
      <c r="Q173" s="263"/>
      <c r="S173" s="2899"/>
    </row>
    <row r="174" spans="1:19" ht="14.25" customHeight="1" thickBot="1" x14ac:dyDescent="0.3">
      <c r="B174" s="304"/>
      <c r="C174" s="305"/>
      <c r="D174" s="305"/>
      <c r="E174" s="305"/>
      <c r="F174" s="305"/>
      <c r="G174" s="305"/>
      <c r="H174" s="305"/>
      <c r="I174" s="305"/>
      <c r="J174" s="305"/>
      <c r="K174" s="305"/>
      <c r="L174" s="305"/>
      <c r="M174" s="305"/>
      <c r="N174" s="305"/>
      <c r="O174" s="305"/>
      <c r="P174" s="305"/>
      <c r="Q174" s="306"/>
      <c r="S174" s="2904"/>
    </row>
    <row r="175" spans="1:19" ht="15.75" thickBot="1" x14ac:dyDescent="0.3">
      <c r="B175" s="699"/>
      <c r="S175" s="630"/>
    </row>
    <row r="176" spans="1:19" ht="22.5" customHeight="1" thickBot="1" x14ac:dyDescent="0.3">
      <c r="A176" s="1225"/>
      <c r="B176" s="243" t="s">
        <v>1589</v>
      </c>
      <c r="C176" s="243"/>
      <c r="D176" s="243"/>
      <c r="E176" s="243"/>
      <c r="F176" s="243"/>
      <c r="G176" s="243"/>
      <c r="H176" s="243"/>
      <c r="I176" s="243"/>
      <c r="J176" s="243"/>
      <c r="K176" s="243"/>
      <c r="L176" s="244"/>
      <c r="M176" s="244"/>
      <c r="N176" s="244"/>
      <c r="O176" s="3265" t="s">
        <v>1641</v>
      </c>
      <c r="P176" s="3265"/>
      <c r="Q176" s="3265"/>
      <c r="S176" s="628" t="s">
        <v>1537</v>
      </c>
    </row>
    <row r="177" spans="2:19" ht="9.75" customHeight="1" thickBot="1" x14ac:dyDescent="0.3">
      <c r="S177" s="629"/>
    </row>
    <row r="178" spans="2:19" ht="13.5" customHeight="1" x14ac:dyDescent="0.25">
      <c r="B178" s="247"/>
      <c r="C178" s="248"/>
      <c r="D178" s="248"/>
      <c r="E178" s="249"/>
      <c r="F178" s="250"/>
      <c r="G178" s="250"/>
      <c r="H178" s="250"/>
      <c r="I178" s="250"/>
      <c r="J178" s="250"/>
      <c r="K178" s="250"/>
      <c r="L178" s="250"/>
      <c r="M178" s="250"/>
      <c r="N178" s="250"/>
      <c r="O178" s="250"/>
      <c r="P178" s="250"/>
      <c r="Q178" s="251"/>
      <c r="S178" s="2900"/>
    </row>
    <row r="179" spans="2:19" ht="18" customHeight="1" x14ac:dyDescent="0.25">
      <c r="B179" s="252"/>
      <c r="C179" s="253" t="s">
        <v>36</v>
      </c>
      <c r="D179" s="253"/>
      <c r="E179" s="254"/>
      <c r="F179" s="307"/>
      <c r="G179" s="166"/>
      <c r="H179" s="166"/>
      <c r="I179" s="166"/>
      <c r="J179" s="166"/>
      <c r="K179" s="166"/>
      <c r="L179" s="166"/>
      <c r="M179" s="166"/>
      <c r="N179" s="255" t="s">
        <v>59</v>
      </c>
      <c r="O179" s="359" t="str">
        <f>IF(OR(ISBLANK(H186))=FALSE,"Complété","À compléter")</f>
        <v>À compléter</v>
      </c>
      <c r="P179" s="166"/>
      <c r="Q179" s="256"/>
      <c r="S179" s="2899"/>
    </row>
    <row r="180" spans="2:19" ht="6" customHeight="1" x14ac:dyDescent="0.25">
      <c r="B180" s="257"/>
      <c r="C180" s="258"/>
      <c r="D180" s="258"/>
      <c r="E180" s="258"/>
      <c r="F180" s="166"/>
      <c r="G180" s="166"/>
      <c r="H180" s="166"/>
      <c r="I180" s="166"/>
      <c r="J180" s="166"/>
      <c r="K180" s="166"/>
      <c r="L180" s="166"/>
      <c r="M180" s="166"/>
      <c r="N180" s="166"/>
      <c r="O180" s="166"/>
      <c r="P180" s="166"/>
      <c r="Q180" s="256"/>
      <c r="S180" s="2899"/>
    </row>
    <row r="181" spans="2:19" ht="17.25" customHeight="1" x14ac:dyDescent="0.25">
      <c r="B181" s="257"/>
      <c r="C181" s="3020" t="s">
        <v>1687</v>
      </c>
      <c r="D181" s="3020"/>
      <c r="E181" s="3020"/>
      <c r="F181" s="3020"/>
      <c r="G181" s="3020"/>
      <c r="H181" s="3020"/>
      <c r="I181" s="3020"/>
      <c r="J181" s="3020"/>
      <c r="K181" s="3020"/>
      <c r="L181" s="3020"/>
      <c r="M181" s="3020"/>
      <c r="N181" s="166"/>
      <c r="O181" s="166"/>
      <c r="P181" s="166"/>
      <c r="Q181" s="256"/>
      <c r="S181" s="2899"/>
    </row>
    <row r="182" spans="2:19" ht="15" customHeight="1" x14ac:dyDescent="0.25">
      <c r="B182" s="257"/>
      <c r="C182" s="258"/>
      <c r="D182" s="258"/>
      <c r="E182" s="258"/>
      <c r="F182" s="166"/>
      <c r="G182" s="166"/>
      <c r="H182" s="166"/>
      <c r="I182" s="166"/>
      <c r="J182" s="166"/>
      <c r="K182" s="166"/>
      <c r="L182" s="166"/>
      <c r="M182" s="166"/>
      <c r="N182" s="166"/>
      <c r="O182" s="166"/>
      <c r="P182" s="166"/>
      <c r="Q182" s="256"/>
      <c r="S182" s="2899"/>
    </row>
    <row r="183" spans="2:19" ht="18.75" customHeight="1" x14ac:dyDescent="0.25">
      <c r="B183" s="259"/>
      <c r="C183" s="654" t="s">
        <v>192</v>
      </c>
      <c r="D183" s="261"/>
      <c r="E183" s="262"/>
      <c r="F183" s="262"/>
      <c r="G183" s="262"/>
      <c r="H183" s="262"/>
      <c r="I183" s="262"/>
      <c r="J183" s="262"/>
      <c r="K183" s="262"/>
      <c r="L183" s="262"/>
      <c r="M183" s="262"/>
      <c r="N183" s="262"/>
      <c r="O183" s="262"/>
      <c r="P183" s="262"/>
      <c r="Q183" s="263"/>
      <c r="S183" s="2899"/>
    </row>
    <row r="184" spans="2:19" ht="6" customHeight="1" x14ac:dyDescent="0.25">
      <c r="B184" s="259"/>
      <c r="C184" s="379"/>
      <c r="D184" s="261"/>
      <c r="E184" s="262"/>
      <c r="F184" s="262"/>
      <c r="G184" s="262"/>
      <c r="H184" s="262"/>
      <c r="I184" s="262"/>
      <c r="J184" s="262"/>
      <c r="K184" s="262"/>
      <c r="L184" s="262"/>
      <c r="M184" s="262"/>
      <c r="N184" s="262"/>
      <c r="O184" s="262"/>
      <c r="P184" s="262"/>
      <c r="Q184" s="263"/>
      <c r="S184" s="2899"/>
    </row>
    <row r="185" spans="2:19" ht="14.25" customHeight="1" x14ac:dyDescent="0.25">
      <c r="B185" s="259"/>
      <c r="C185" s="648"/>
      <c r="D185" s="265"/>
      <c r="E185" s="266"/>
      <c r="F185" s="266"/>
      <c r="G185" s="266"/>
      <c r="H185" s="266"/>
      <c r="I185" s="266"/>
      <c r="J185" s="266"/>
      <c r="K185" s="266"/>
      <c r="L185" s="266"/>
      <c r="M185" s="266"/>
      <c r="N185" s="266"/>
      <c r="O185" s="266"/>
      <c r="P185" s="267"/>
      <c r="Q185" s="263"/>
      <c r="S185" s="2899"/>
    </row>
    <row r="186" spans="2:19" ht="15.75" customHeight="1" x14ac:dyDescent="0.25">
      <c r="B186" s="494" t="str">
        <f>IF(ISBLANK(H186)=FALSE,"","u")</f>
        <v>u</v>
      </c>
      <c r="C186" s="2929" t="s">
        <v>1602</v>
      </c>
      <c r="D186" s="2930"/>
      <c r="E186" s="2930"/>
      <c r="F186" s="2930"/>
      <c r="G186" s="2930"/>
      <c r="H186" s="2947"/>
      <c r="I186" s="2948"/>
      <c r="J186" s="2948"/>
      <c r="K186" s="2949"/>
      <c r="L186" s="1155" t="str">
        <f>IF(OR(ISBLANK(H186),H186='MENU DÉROULANT'!C70),"","Vous pouvez donc passer à la section suivante du PGA.")</f>
        <v/>
      </c>
      <c r="M186" s="1051"/>
      <c r="N186" s="1051"/>
      <c r="O186" s="1051"/>
      <c r="P186" s="272"/>
      <c r="Q186" s="263"/>
      <c r="S186" s="2899"/>
    </row>
    <row r="187" spans="2:19" ht="15.75" customHeight="1" x14ac:dyDescent="0.25">
      <c r="B187" s="494" t="s">
        <v>124</v>
      </c>
      <c r="C187" s="2929"/>
      <c r="D187" s="2930"/>
      <c r="E187" s="2930"/>
      <c r="F187" s="2930"/>
      <c r="G187" s="2930"/>
      <c r="H187" s="2950"/>
      <c r="I187" s="2951"/>
      <c r="J187" s="2951"/>
      <c r="K187" s="2952"/>
      <c r="L187" s="2912" t="str">
        <f>IF(OR(ISBLANK(H186),H186='MENU DÉROULANT'!C70),"","Notez toutefois que dans ce cas, aucun visuel n'apparaitra dans le sommaire concernant les niveaux de service.")</f>
        <v/>
      </c>
      <c r="M187" s="2912"/>
      <c r="N187" s="2912"/>
      <c r="O187" s="2912"/>
      <c r="P187" s="686"/>
      <c r="Q187" s="375"/>
      <c r="S187" s="2899"/>
    </row>
    <row r="188" spans="2:19" ht="16.5" customHeight="1" x14ac:dyDescent="0.25">
      <c r="B188" s="259"/>
      <c r="C188" s="649"/>
      <c r="D188" s="647"/>
      <c r="E188" s="85"/>
      <c r="F188" s="85"/>
      <c r="G188" s="85"/>
      <c r="H188" s="85"/>
      <c r="I188" s="85"/>
      <c r="J188" s="85"/>
      <c r="K188" s="85"/>
      <c r="L188" s="2913"/>
      <c r="M188" s="2913"/>
      <c r="N188" s="2913"/>
      <c r="O188" s="2913"/>
      <c r="P188" s="618"/>
      <c r="Q188" s="375"/>
      <c r="S188" s="2899"/>
    </row>
    <row r="189" spans="2:19" ht="31.5" customHeight="1" x14ac:dyDescent="0.25">
      <c r="B189" s="494"/>
      <c r="C189" s="385"/>
      <c r="D189" s="297"/>
      <c r="E189" s="658"/>
      <c r="F189" s="2939" t="s">
        <v>130</v>
      </c>
      <c r="G189" s="2939"/>
      <c r="H189" s="3046"/>
      <c r="I189" s="3047"/>
      <c r="J189" s="3047"/>
      <c r="K189" s="3047"/>
      <c r="L189" s="3047"/>
      <c r="M189" s="3047"/>
      <c r="N189" s="3047"/>
      <c r="O189" s="3048"/>
      <c r="P189" s="617"/>
      <c r="Q189" s="263"/>
      <c r="S189" s="2899"/>
    </row>
    <row r="190" spans="2:19" ht="15" customHeight="1" x14ac:dyDescent="0.25">
      <c r="B190" s="259"/>
      <c r="C190" s="650"/>
      <c r="D190" s="651"/>
      <c r="E190" s="312"/>
      <c r="F190" s="312"/>
      <c r="G190" s="312"/>
      <c r="H190" s="312"/>
      <c r="I190" s="312"/>
      <c r="J190" s="312"/>
      <c r="K190" s="312"/>
      <c r="L190" s="312"/>
      <c r="M190" s="652"/>
      <c r="N190" s="652"/>
      <c r="O190" s="652"/>
      <c r="P190" s="653"/>
      <c r="Q190" s="375"/>
      <c r="S190" s="2899"/>
    </row>
    <row r="191" spans="2:19" ht="18.75" customHeight="1" x14ac:dyDescent="0.25">
      <c r="B191" s="259"/>
      <c r="C191" s="261"/>
      <c r="D191" s="261"/>
      <c r="E191" s="262"/>
      <c r="F191" s="262"/>
      <c r="G191" s="262"/>
      <c r="H191" s="262"/>
      <c r="I191" s="262"/>
      <c r="J191" s="262"/>
      <c r="K191" s="262"/>
      <c r="L191" s="262"/>
      <c r="M191" s="262"/>
      <c r="N191" s="262"/>
      <c r="O191" s="262"/>
      <c r="P191" s="262"/>
      <c r="Q191" s="263"/>
      <c r="S191" s="2899"/>
    </row>
    <row r="192" spans="2:19" ht="22.5" customHeight="1" x14ac:dyDescent="0.25">
      <c r="B192" s="259"/>
      <c r="C192" s="2959" t="s">
        <v>1548</v>
      </c>
      <c r="D192" s="2960"/>
      <c r="E192" s="2960"/>
      <c r="F192" s="2960"/>
      <c r="G192" s="316"/>
      <c r="H192" s="316"/>
      <c r="I192" s="316"/>
      <c r="J192" s="316"/>
      <c r="K192" s="316"/>
      <c r="L192" s="316"/>
      <c r="M192" s="316"/>
      <c r="N192" s="316"/>
      <c r="O192" s="991"/>
      <c r="P192" s="317"/>
      <c r="Q192" s="263"/>
      <c r="S192" s="2899"/>
    </row>
    <row r="193" spans="2:19" ht="3" customHeight="1" x14ac:dyDescent="0.25">
      <c r="B193" s="259"/>
      <c r="C193" s="262"/>
      <c r="D193" s="262"/>
      <c r="E193" s="262"/>
      <c r="F193" s="262"/>
      <c r="G193" s="262"/>
      <c r="H193" s="262"/>
      <c r="I193" s="262"/>
      <c r="J193" s="262"/>
      <c r="K193" s="262"/>
      <c r="L193" s="262"/>
      <c r="M193" s="262"/>
      <c r="N193" s="262"/>
      <c r="O193" s="262"/>
      <c r="P193" s="262"/>
      <c r="Q193" s="263"/>
      <c r="S193" s="2899"/>
    </row>
    <row r="194" spans="2:19" ht="11.25" customHeight="1" x14ac:dyDescent="0.25">
      <c r="B194" s="259"/>
      <c r="C194" s="264"/>
      <c r="D194" s="265"/>
      <c r="E194" s="266"/>
      <c r="F194" s="266"/>
      <c r="G194" s="266"/>
      <c r="H194" s="266"/>
      <c r="I194" s="266"/>
      <c r="J194" s="266"/>
      <c r="K194" s="266"/>
      <c r="L194" s="266"/>
      <c r="M194" s="266"/>
      <c r="N194" s="266"/>
      <c r="O194" s="266"/>
      <c r="P194" s="267"/>
      <c r="Q194" s="263"/>
      <c r="S194" s="2899"/>
    </row>
    <row r="195" spans="2:19" ht="33.75" customHeight="1" x14ac:dyDescent="0.25">
      <c r="B195" s="259"/>
      <c r="C195" s="3233" t="s">
        <v>1550</v>
      </c>
      <c r="D195" s="3234"/>
      <c r="E195" s="3234"/>
      <c r="F195" s="3234"/>
      <c r="G195" s="3234"/>
      <c r="H195" s="3234"/>
      <c r="I195" s="3234"/>
      <c r="J195" s="3234"/>
      <c r="K195" s="3234"/>
      <c r="L195" s="3234"/>
      <c r="M195" s="3234"/>
      <c r="N195" s="3234"/>
      <c r="O195" s="3234"/>
      <c r="P195" s="3235"/>
      <c r="Q195" s="263"/>
      <c r="S195" s="2899"/>
    </row>
    <row r="196" spans="2:19" ht="24.75" customHeight="1" x14ac:dyDescent="0.25">
      <c r="B196" s="259"/>
      <c r="C196" s="2963" t="s">
        <v>1860</v>
      </c>
      <c r="D196" s="2964"/>
      <c r="E196" s="2964"/>
      <c r="F196" s="2964"/>
      <c r="G196" s="2964"/>
      <c r="H196" s="2964"/>
      <c r="I196" s="2964"/>
      <c r="J196" s="2964"/>
      <c r="K196" s="2964"/>
      <c r="L196" s="2964"/>
      <c r="M196" s="2964"/>
      <c r="N196" s="2964"/>
      <c r="O196" s="2964"/>
      <c r="P196" s="2965"/>
      <c r="Q196" s="263"/>
      <c r="S196" s="2899"/>
    </row>
    <row r="197" spans="2:19" ht="10.5" customHeight="1" x14ac:dyDescent="0.25">
      <c r="B197" s="259"/>
      <c r="C197" s="362"/>
      <c r="D197" s="321"/>
      <c r="E197" s="85"/>
      <c r="F197" s="85"/>
      <c r="G197" s="85"/>
      <c r="H197" s="85"/>
      <c r="I197" s="55"/>
      <c r="J197" s="85"/>
      <c r="K197" s="85"/>
      <c r="L197" s="85"/>
      <c r="M197" s="85"/>
      <c r="N197" s="85"/>
      <c r="O197" s="85"/>
      <c r="P197" s="272"/>
      <c r="Q197" s="263"/>
      <c r="S197" s="2899"/>
    </row>
    <row r="198" spans="2:19" s="72" customFormat="1" ht="26.25" customHeight="1" thickBot="1" x14ac:dyDescent="0.3">
      <c r="B198" s="259"/>
      <c r="C198" s="368"/>
      <c r="D198" s="2973" t="s">
        <v>1460</v>
      </c>
      <c r="E198" s="2973"/>
      <c r="F198" s="2973" t="s">
        <v>1457</v>
      </c>
      <c r="G198" s="2973"/>
      <c r="H198" s="2973" t="s">
        <v>1459</v>
      </c>
      <c r="I198" s="2973"/>
      <c r="J198" s="2973" t="s">
        <v>1458</v>
      </c>
      <c r="K198" s="2973"/>
      <c r="L198" s="507" t="s">
        <v>1596</v>
      </c>
      <c r="M198" s="544"/>
      <c r="N198" s="370"/>
      <c r="O198" s="357"/>
      <c r="P198" s="272"/>
      <c r="Q198" s="263"/>
      <c r="S198" s="2899"/>
    </row>
    <row r="199" spans="2:19" ht="26.25" customHeight="1" thickTop="1" x14ac:dyDescent="0.25">
      <c r="B199" s="494" t="str">
        <f>IF(OR(ISBLANK(D199),ISBLANK(F199),ISBLANK(H199),ISBLANK(J199))=FALSE,"","w")</f>
        <v>w</v>
      </c>
      <c r="C199" s="508">
        <v>1</v>
      </c>
      <c r="D199" s="2905"/>
      <c r="E199" s="2906"/>
      <c r="F199" s="2905"/>
      <c r="G199" s="2906"/>
      <c r="H199" s="2905"/>
      <c r="I199" s="2906"/>
      <c r="J199" s="2905"/>
      <c r="K199" s="2906"/>
      <c r="L199" s="2976"/>
      <c r="M199" s="2977"/>
      <c r="N199" s="2977"/>
      <c r="O199" s="2978"/>
      <c r="P199" s="272"/>
      <c r="Q199" s="263"/>
      <c r="S199" s="2899"/>
    </row>
    <row r="200" spans="2:19" ht="26.25" customHeight="1" x14ac:dyDescent="0.25">
      <c r="B200" s="494" t="str">
        <f t="shared" ref="B200:B201" si="0">IF(OR(ISBLANK(D200),ISBLANK(F200),ISBLANK(H200),ISBLANK(J200))=FALSE,"","w")</f>
        <v>w</v>
      </c>
      <c r="C200" s="508">
        <v>2</v>
      </c>
      <c r="D200" s="2905"/>
      <c r="E200" s="2906"/>
      <c r="F200" s="2905"/>
      <c r="G200" s="2906"/>
      <c r="H200" s="2905"/>
      <c r="I200" s="2906"/>
      <c r="J200" s="2905"/>
      <c r="K200" s="2906"/>
      <c r="L200" s="2933"/>
      <c r="M200" s="2934"/>
      <c r="N200" s="2934"/>
      <c r="O200" s="2935"/>
      <c r="P200" s="272"/>
      <c r="Q200" s="263"/>
      <c r="S200" s="2899"/>
    </row>
    <row r="201" spans="2:19" ht="26.25" customHeight="1" x14ac:dyDescent="0.25">
      <c r="B201" s="494" t="str">
        <f t="shared" si="0"/>
        <v>w</v>
      </c>
      <c r="C201" s="508">
        <v>3</v>
      </c>
      <c r="D201" s="2905"/>
      <c r="E201" s="2906"/>
      <c r="F201" s="2905"/>
      <c r="G201" s="2906"/>
      <c r="H201" s="2905"/>
      <c r="I201" s="2906"/>
      <c r="J201" s="2905"/>
      <c r="K201" s="2906"/>
      <c r="L201" s="2933"/>
      <c r="M201" s="2934"/>
      <c r="N201" s="2934"/>
      <c r="O201" s="2935"/>
      <c r="P201" s="272"/>
      <c r="Q201" s="263"/>
      <c r="S201" s="2899"/>
    </row>
    <row r="202" spans="2:19" ht="26.25" customHeight="1" x14ac:dyDescent="0.25">
      <c r="B202" s="259"/>
      <c r="C202" s="508">
        <v>4</v>
      </c>
      <c r="D202" s="2953"/>
      <c r="E202" s="2954"/>
      <c r="F202" s="2953"/>
      <c r="G202" s="2954"/>
      <c r="H202" s="2953"/>
      <c r="I202" s="2954"/>
      <c r="J202" s="2953"/>
      <c r="K202" s="2954"/>
      <c r="L202" s="2933"/>
      <c r="M202" s="2934"/>
      <c r="N202" s="2934"/>
      <c r="O202" s="2935"/>
      <c r="P202" s="272"/>
      <c r="Q202" s="263"/>
      <c r="S202" s="2899"/>
    </row>
    <row r="203" spans="2:19" ht="26.25" customHeight="1" x14ac:dyDescent="0.25">
      <c r="B203" s="259"/>
      <c r="C203" s="508">
        <v>5</v>
      </c>
      <c r="D203" s="2982"/>
      <c r="E203" s="2983"/>
      <c r="F203" s="2982"/>
      <c r="G203" s="2983"/>
      <c r="H203" s="2982"/>
      <c r="I203" s="2983"/>
      <c r="J203" s="2982"/>
      <c r="K203" s="2983"/>
      <c r="L203" s="2982"/>
      <c r="M203" s="3218"/>
      <c r="N203" s="3218"/>
      <c r="O203" s="2983"/>
      <c r="P203" s="617"/>
      <c r="Q203" s="263"/>
      <c r="S203" s="2899"/>
    </row>
    <row r="204" spans="2:19" ht="17.25" customHeight="1" x14ac:dyDescent="0.25">
      <c r="B204" s="259"/>
      <c r="C204" s="364"/>
      <c r="D204" s="365"/>
      <c r="E204" s="658"/>
      <c r="F204" s="367"/>
      <c r="G204" s="366"/>
      <c r="H204" s="615"/>
      <c r="I204" s="55"/>
      <c r="J204" s="658"/>
      <c r="K204" s="615"/>
      <c r="L204" s="658"/>
      <c r="M204" s="615"/>
      <c r="N204" s="658"/>
      <c r="O204" s="615"/>
      <c r="P204" s="617"/>
      <c r="Q204" s="263"/>
      <c r="S204" s="2899"/>
    </row>
    <row r="205" spans="2:19" ht="50.25" customHeight="1" x14ac:dyDescent="0.25">
      <c r="B205" s="259"/>
      <c r="C205" s="2941" t="s">
        <v>1597</v>
      </c>
      <c r="D205" s="2942"/>
      <c r="E205" s="2943"/>
      <c r="F205" s="2944"/>
      <c r="G205" s="2945"/>
      <c r="H205" s="2945"/>
      <c r="I205" s="2945"/>
      <c r="J205" s="2945"/>
      <c r="K205" s="2945"/>
      <c r="L205" s="2945"/>
      <c r="M205" s="2945"/>
      <c r="N205" s="2945"/>
      <c r="O205" s="2946"/>
      <c r="P205" s="617"/>
      <c r="Q205" s="263"/>
      <c r="S205" s="2899"/>
    </row>
    <row r="206" spans="2:19" ht="15.75" customHeight="1" x14ac:dyDescent="0.25">
      <c r="B206" s="259"/>
      <c r="C206" s="677"/>
      <c r="D206" s="321"/>
      <c r="E206" s="658"/>
      <c r="F206" s="615"/>
      <c r="G206" s="658"/>
      <c r="H206" s="615"/>
      <c r="I206" s="55"/>
      <c r="J206" s="658"/>
      <c r="K206" s="615"/>
      <c r="L206" s="658"/>
      <c r="M206" s="615"/>
      <c r="N206" s="658"/>
      <c r="O206" s="615"/>
      <c r="P206" s="617"/>
      <c r="Q206" s="263"/>
      <c r="S206" s="2899"/>
    </row>
    <row r="207" spans="2:19" ht="18" customHeight="1" x14ac:dyDescent="0.25">
      <c r="B207" s="259"/>
      <c r="C207" s="773" t="s">
        <v>1861</v>
      </c>
      <c r="D207" s="774"/>
      <c r="E207" s="775"/>
      <c r="F207" s="776"/>
      <c r="G207" s="776"/>
      <c r="H207" s="777"/>
      <c r="I207" s="778"/>
      <c r="J207" s="775"/>
      <c r="K207" s="775"/>
      <c r="L207" s="775"/>
      <c r="M207" s="776"/>
      <c r="N207" s="776"/>
      <c r="O207" s="779"/>
      <c r="P207" s="617"/>
      <c r="Q207" s="263"/>
      <c r="S207" s="2899"/>
    </row>
    <row r="208" spans="2:19" ht="18" customHeight="1" x14ac:dyDescent="0.25">
      <c r="B208" s="259"/>
      <c r="C208" s="781" t="s">
        <v>1617</v>
      </c>
      <c r="D208" s="774"/>
      <c r="E208" s="775"/>
      <c r="F208" s="776"/>
      <c r="G208" s="776"/>
      <c r="H208" s="777"/>
      <c r="I208" s="778"/>
      <c r="J208" s="627"/>
      <c r="K208" s="782"/>
      <c r="L208" s="775"/>
      <c r="M208" s="776"/>
      <c r="N208" s="776"/>
      <c r="O208" s="779"/>
      <c r="P208" s="617"/>
      <c r="Q208" s="263"/>
      <c r="S208" s="2899"/>
    </row>
    <row r="209" spans="2:19" ht="16.5" customHeight="1" x14ac:dyDescent="0.25">
      <c r="B209" s="259"/>
      <c r="C209" s="783"/>
      <c r="D209" s="774"/>
      <c r="E209" s="775"/>
      <c r="F209" s="776"/>
      <c r="G209" s="776"/>
      <c r="H209" s="777"/>
      <c r="I209" s="778"/>
      <c r="J209" s="784" t="s">
        <v>1618</v>
      </c>
      <c r="K209" s="627"/>
      <c r="L209" s="775"/>
      <c r="M209" s="776"/>
      <c r="N209" s="776"/>
      <c r="O209" s="779"/>
      <c r="P209" s="617"/>
      <c r="Q209" s="263"/>
      <c r="S209" s="2899"/>
    </row>
    <row r="210" spans="2:19" ht="18" customHeight="1" x14ac:dyDescent="0.25">
      <c r="B210" s="259"/>
      <c r="C210" s="614"/>
      <c r="D210" s="283"/>
      <c r="E210" s="312"/>
      <c r="F210" s="312"/>
      <c r="G210" s="312"/>
      <c r="H210" s="312"/>
      <c r="I210" s="277"/>
      <c r="J210" s="312"/>
      <c r="K210" s="312"/>
      <c r="L210" s="312"/>
      <c r="M210" s="312"/>
      <c r="N210" s="312"/>
      <c r="O210" s="312"/>
      <c r="P210" s="313"/>
      <c r="Q210" s="263"/>
      <c r="S210" s="2899"/>
    </row>
    <row r="211" spans="2:19" ht="20.25" customHeight="1" x14ac:dyDescent="0.25">
      <c r="B211" s="259"/>
      <c r="C211" s="261"/>
      <c r="D211" s="261"/>
      <c r="E211" s="262"/>
      <c r="F211" s="262"/>
      <c r="G211" s="262"/>
      <c r="H211" s="262"/>
      <c r="I211" s="262"/>
      <c r="J211" s="262"/>
      <c r="K211" s="262"/>
      <c r="L211" s="262"/>
      <c r="M211" s="262"/>
      <c r="N211" s="262"/>
      <c r="O211" s="262"/>
      <c r="P211" s="262"/>
      <c r="Q211" s="263"/>
      <c r="S211" s="2899"/>
    </row>
    <row r="212" spans="2:19" ht="22.5" customHeight="1" x14ac:dyDescent="0.25">
      <c r="B212" s="259"/>
      <c r="C212" s="2959" t="s">
        <v>1549</v>
      </c>
      <c r="D212" s="2960"/>
      <c r="E212" s="2960"/>
      <c r="F212" s="2960"/>
      <c r="G212" s="316"/>
      <c r="H212" s="316"/>
      <c r="I212" s="316"/>
      <c r="J212" s="316"/>
      <c r="K212" s="316"/>
      <c r="L212" s="316"/>
      <c r="M212" s="316"/>
      <c r="N212" s="316"/>
      <c r="O212" s="991"/>
      <c r="P212" s="317"/>
      <c r="Q212" s="263"/>
      <c r="S212" s="2899"/>
    </row>
    <row r="213" spans="2:19" ht="3" customHeight="1" x14ac:dyDescent="0.25">
      <c r="B213" s="259"/>
      <c r="C213" s="262"/>
      <c r="D213" s="262"/>
      <c r="E213" s="262"/>
      <c r="F213" s="262"/>
      <c r="G213" s="262"/>
      <c r="H213" s="262"/>
      <c r="I213" s="262"/>
      <c r="J213" s="262"/>
      <c r="K213" s="262"/>
      <c r="L213" s="262"/>
      <c r="M213" s="262"/>
      <c r="N213" s="262"/>
      <c r="O213" s="262"/>
      <c r="P213" s="262"/>
      <c r="Q213" s="263"/>
      <c r="S213" s="2899"/>
    </row>
    <row r="214" spans="2:19" ht="16.5" customHeight="1" x14ac:dyDescent="0.25">
      <c r="B214" s="259"/>
      <c r="C214" s="264"/>
      <c r="D214" s="265"/>
      <c r="E214" s="266"/>
      <c r="F214" s="266"/>
      <c r="G214" s="266"/>
      <c r="H214" s="266"/>
      <c r="I214" s="266"/>
      <c r="J214" s="266"/>
      <c r="K214" s="266"/>
      <c r="L214" s="266"/>
      <c r="M214" s="266"/>
      <c r="N214" s="266"/>
      <c r="O214" s="266"/>
      <c r="P214" s="267"/>
      <c r="Q214" s="263"/>
      <c r="S214" s="2899"/>
    </row>
    <row r="215" spans="2:19" ht="24.75" customHeight="1" x14ac:dyDescent="0.25">
      <c r="B215" s="259"/>
      <c r="C215" s="2963" t="s">
        <v>1863</v>
      </c>
      <c r="D215" s="2974"/>
      <c r="E215" s="2974"/>
      <c r="F215" s="2974"/>
      <c r="G215" s="2974"/>
      <c r="H215" s="2974"/>
      <c r="I215" s="2974"/>
      <c r="J215" s="2974"/>
      <c r="K215" s="2974"/>
      <c r="L215" s="2974"/>
      <c r="M215" s="2974"/>
      <c r="N215" s="2974"/>
      <c r="O215" s="2974"/>
      <c r="P215" s="2975"/>
      <c r="Q215" s="263"/>
      <c r="S215" s="2899"/>
    </row>
    <row r="216" spans="2:19" ht="41.25" customHeight="1" x14ac:dyDescent="0.25">
      <c r="B216" s="259"/>
      <c r="C216" s="3219" t="s">
        <v>1864</v>
      </c>
      <c r="D216" s="3220"/>
      <c r="E216" s="3220"/>
      <c r="F216" s="3220"/>
      <c r="G216" s="3220"/>
      <c r="H216" s="3220"/>
      <c r="I216" s="3220"/>
      <c r="J216" s="3220"/>
      <c r="K216" s="3220"/>
      <c r="L216" s="3220"/>
      <c r="M216" s="3220"/>
      <c r="N216" s="3220"/>
      <c r="O216" s="3220"/>
      <c r="P216" s="3221"/>
      <c r="Q216" s="263"/>
      <c r="S216" s="2899"/>
    </row>
    <row r="217" spans="2:19" ht="23.25" customHeight="1" x14ac:dyDescent="0.25">
      <c r="B217" s="259"/>
      <c r="C217" s="623" t="s">
        <v>1547</v>
      </c>
      <c r="D217" s="505"/>
      <c r="E217" s="505"/>
      <c r="F217" s="505"/>
      <c r="G217" s="505"/>
      <c r="H217" s="505"/>
      <c r="I217" s="505"/>
      <c r="J217" s="505"/>
      <c r="K217" s="505"/>
      <c r="L217" s="505"/>
      <c r="M217" s="505"/>
      <c r="N217" s="505"/>
      <c r="O217" s="505"/>
      <c r="P217" s="506"/>
      <c r="Q217" s="263"/>
      <c r="S217" s="2899"/>
    </row>
    <row r="218" spans="2:19" ht="10.5" customHeight="1" x14ac:dyDescent="0.25">
      <c r="B218" s="259"/>
      <c r="C218" s="677"/>
      <c r="D218" s="321"/>
      <c r="E218" s="658"/>
      <c r="F218" s="615"/>
      <c r="G218" s="658"/>
      <c r="H218" s="615"/>
      <c r="I218" s="55"/>
      <c r="J218" s="658"/>
      <c r="K218" s="615"/>
      <c r="L218" s="658"/>
      <c r="M218" s="615"/>
      <c r="N218" s="658"/>
      <c r="O218" s="615"/>
      <c r="P218" s="617"/>
      <c r="Q218" s="263"/>
      <c r="S218" s="2899"/>
    </row>
    <row r="219" spans="2:19" s="72" customFormat="1" ht="36" customHeight="1" thickBot="1" x14ac:dyDescent="0.3">
      <c r="B219" s="259"/>
      <c r="C219" s="368"/>
      <c r="D219" s="2973" t="s">
        <v>1440</v>
      </c>
      <c r="E219" s="2973"/>
      <c r="F219" s="502" t="s">
        <v>1442</v>
      </c>
      <c r="G219" s="502" t="s">
        <v>1443</v>
      </c>
      <c r="H219" s="669" t="s">
        <v>1439</v>
      </c>
      <c r="I219" s="2966" t="s">
        <v>1441</v>
      </c>
      <c r="J219" s="2967"/>
      <c r="K219" s="669" t="s">
        <v>227</v>
      </c>
      <c r="L219" s="664" t="s">
        <v>228</v>
      </c>
      <c r="M219" s="2966" t="s">
        <v>219</v>
      </c>
      <c r="N219" s="2967"/>
      <c r="O219" s="2968"/>
      <c r="P219" s="272"/>
      <c r="Q219" s="263"/>
      <c r="S219" s="2899"/>
    </row>
    <row r="220" spans="2:19" ht="35.25" customHeight="1" thickTop="1" x14ac:dyDescent="0.25">
      <c r="B220" s="494" t="str">
        <f>IF(OR(ISBLANK(D220),ISBLANK(F220),ISBLANK(G220),ISBLANK(H220),ISBLANK(I220))=FALSE,"","w")</f>
        <v>w</v>
      </c>
      <c r="C220" s="508">
        <v>1</v>
      </c>
      <c r="D220" s="2971"/>
      <c r="E220" s="2972"/>
      <c r="F220" s="635"/>
      <c r="G220" s="671"/>
      <c r="H220" s="670"/>
      <c r="I220" s="2969"/>
      <c r="J220" s="2970"/>
      <c r="K220" s="674"/>
      <c r="L220" s="674"/>
      <c r="M220" s="3236"/>
      <c r="N220" s="3237"/>
      <c r="O220" s="3238"/>
      <c r="P220" s="272"/>
      <c r="Q220" s="263"/>
      <c r="S220" s="2899"/>
    </row>
    <row r="221" spans="2:19" ht="35.25" customHeight="1" x14ac:dyDescent="0.25">
      <c r="B221" s="494" t="str">
        <f>IF(OR(ISBLANK(D221),ISBLANK(F221),ISBLANK(G221),ISBLANK(H221),ISBLANK(I221))=FALSE,"","w")</f>
        <v>w</v>
      </c>
      <c r="C221" s="508">
        <v>2</v>
      </c>
      <c r="D221" s="2971"/>
      <c r="E221" s="2972"/>
      <c r="F221" s="636"/>
      <c r="G221" s="673"/>
      <c r="H221" s="672"/>
      <c r="I221" s="2955"/>
      <c r="J221" s="2956"/>
      <c r="K221" s="666"/>
      <c r="L221" s="666"/>
      <c r="M221" s="2907"/>
      <c r="N221" s="2908"/>
      <c r="O221" s="2909"/>
      <c r="P221" s="272"/>
      <c r="Q221" s="263"/>
      <c r="S221" s="2899"/>
    </row>
    <row r="222" spans="2:19" ht="35.25" customHeight="1" x14ac:dyDescent="0.25">
      <c r="B222" s="494" t="str">
        <f>IF(OR(ISBLANK(D222),ISBLANK(F222),ISBLANK(G222),ISBLANK(H222),ISBLANK(I222))=FALSE,"","w")</f>
        <v>w</v>
      </c>
      <c r="C222" s="508">
        <v>3</v>
      </c>
      <c r="D222" s="2971"/>
      <c r="E222" s="2972"/>
      <c r="F222" s="636"/>
      <c r="G222" s="673"/>
      <c r="H222" s="672"/>
      <c r="I222" s="2955"/>
      <c r="J222" s="2956"/>
      <c r="K222" s="666"/>
      <c r="L222" s="666"/>
      <c r="M222" s="2907"/>
      <c r="N222" s="2908"/>
      <c r="O222" s="2909"/>
      <c r="P222" s="272"/>
      <c r="Q222" s="263"/>
      <c r="S222" s="2899"/>
    </row>
    <row r="223" spans="2:19" ht="35.25" customHeight="1" x14ac:dyDescent="0.25">
      <c r="B223" s="259"/>
      <c r="C223" s="508">
        <v>4</v>
      </c>
      <c r="D223" s="2931"/>
      <c r="E223" s="2932"/>
      <c r="F223" s="637"/>
      <c r="G223" s="666"/>
      <c r="H223" s="665"/>
      <c r="I223" s="2907"/>
      <c r="J223" s="2909"/>
      <c r="K223" s="666"/>
      <c r="L223" s="666"/>
      <c r="M223" s="2907"/>
      <c r="N223" s="2908"/>
      <c r="O223" s="2909"/>
      <c r="P223" s="272"/>
      <c r="Q223" s="263"/>
      <c r="S223" s="2899"/>
    </row>
    <row r="224" spans="2:19" ht="35.25" customHeight="1" x14ac:dyDescent="0.25">
      <c r="B224" s="259"/>
      <c r="C224" s="508">
        <v>5</v>
      </c>
      <c r="D224" s="2931"/>
      <c r="E224" s="2932"/>
      <c r="F224" s="637"/>
      <c r="G224" s="666"/>
      <c r="H224" s="665"/>
      <c r="I224" s="2907"/>
      <c r="J224" s="2909"/>
      <c r="K224" s="666"/>
      <c r="L224" s="666"/>
      <c r="M224" s="2907"/>
      <c r="N224" s="2908"/>
      <c r="O224" s="2909"/>
      <c r="P224" s="272"/>
      <c r="Q224" s="263"/>
      <c r="S224" s="2899"/>
    </row>
    <row r="225" spans="2:20" ht="35.25" customHeight="1" x14ac:dyDescent="0.25">
      <c r="B225" s="259"/>
      <c r="C225" s="508">
        <v>6</v>
      </c>
      <c r="D225" s="2931"/>
      <c r="E225" s="2932"/>
      <c r="F225" s="637"/>
      <c r="G225" s="666"/>
      <c r="H225" s="665"/>
      <c r="I225" s="2907"/>
      <c r="J225" s="2909"/>
      <c r="K225" s="666"/>
      <c r="L225" s="666"/>
      <c r="M225" s="2907"/>
      <c r="N225" s="2908"/>
      <c r="O225" s="2909"/>
      <c r="P225" s="272"/>
      <c r="Q225" s="263"/>
      <c r="S225" s="2899"/>
    </row>
    <row r="226" spans="2:20" ht="35.25" customHeight="1" x14ac:dyDescent="0.25">
      <c r="B226" s="259"/>
      <c r="C226" s="508">
        <v>7</v>
      </c>
      <c r="D226" s="2931"/>
      <c r="E226" s="2932"/>
      <c r="F226" s="637"/>
      <c r="G226" s="666"/>
      <c r="H226" s="665"/>
      <c r="I226" s="2907"/>
      <c r="J226" s="2909"/>
      <c r="K226" s="666"/>
      <c r="L226" s="666"/>
      <c r="M226" s="2907"/>
      <c r="N226" s="2908"/>
      <c r="O226" s="2909"/>
      <c r="P226" s="272"/>
      <c r="Q226" s="263"/>
      <c r="S226" s="2899"/>
    </row>
    <row r="227" spans="2:20" ht="35.25" customHeight="1" x14ac:dyDescent="0.25">
      <c r="B227" s="259"/>
      <c r="C227" s="508">
        <v>8</v>
      </c>
      <c r="D227" s="2931"/>
      <c r="E227" s="2932"/>
      <c r="F227" s="637"/>
      <c r="G227" s="666"/>
      <c r="H227" s="665"/>
      <c r="I227" s="2907"/>
      <c r="J227" s="2909"/>
      <c r="K227" s="666"/>
      <c r="L227" s="666"/>
      <c r="M227" s="2907"/>
      <c r="N227" s="2908"/>
      <c r="O227" s="2909"/>
      <c r="P227" s="272"/>
      <c r="Q227" s="263"/>
      <c r="S227" s="2899"/>
    </row>
    <row r="228" spans="2:20" ht="35.25" customHeight="1" x14ac:dyDescent="0.25">
      <c r="B228" s="259"/>
      <c r="C228" s="508">
        <v>9</v>
      </c>
      <c r="D228" s="2931"/>
      <c r="E228" s="2932"/>
      <c r="F228" s="637"/>
      <c r="G228" s="666"/>
      <c r="H228" s="665"/>
      <c r="I228" s="2907"/>
      <c r="J228" s="2909"/>
      <c r="K228" s="666"/>
      <c r="L228" s="666"/>
      <c r="M228" s="2907"/>
      <c r="N228" s="2908"/>
      <c r="O228" s="2909"/>
      <c r="P228" s="617"/>
      <c r="Q228" s="263"/>
      <c r="S228" s="2899"/>
    </row>
    <row r="229" spans="2:20" ht="35.25" customHeight="1" x14ac:dyDescent="0.25">
      <c r="B229" s="259"/>
      <c r="C229" s="508">
        <v>10</v>
      </c>
      <c r="D229" s="3216"/>
      <c r="E229" s="3217"/>
      <c r="F229" s="638"/>
      <c r="G229" s="661"/>
      <c r="H229" s="660"/>
      <c r="I229" s="2957"/>
      <c r="J229" s="2958"/>
      <c r="K229" s="661"/>
      <c r="L229" s="661"/>
      <c r="M229" s="3216"/>
      <c r="N229" s="3239"/>
      <c r="O229" s="3217"/>
      <c r="P229" s="617"/>
      <c r="Q229" s="263"/>
      <c r="S229" s="2899"/>
      <c r="T229" s="380"/>
    </row>
    <row r="230" spans="2:20" ht="17.25" customHeight="1" x14ac:dyDescent="0.25">
      <c r="B230" s="259"/>
      <c r="C230" s="677"/>
      <c r="D230" s="321"/>
      <c r="E230" s="658"/>
      <c r="F230" s="615"/>
      <c r="G230" s="658"/>
      <c r="H230" s="615"/>
      <c r="I230" s="55"/>
      <c r="J230" s="658"/>
      <c r="K230" s="615"/>
      <c r="L230" s="658"/>
      <c r="M230" s="615"/>
      <c r="N230" s="658"/>
      <c r="O230" s="615"/>
      <c r="P230" s="617"/>
      <c r="Q230" s="263"/>
      <c r="S230" s="2899"/>
    </row>
    <row r="231" spans="2:20" ht="50.25" customHeight="1" x14ac:dyDescent="0.25">
      <c r="B231" s="259"/>
      <c r="C231" s="2941" t="s">
        <v>1598</v>
      </c>
      <c r="D231" s="2942"/>
      <c r="E231" s="2943"/>
      <c r="F231" s="2944"/>
      <c r="G231" s="2945"/>
      <c r="H231" s="2945"/>
      <c r="I231" s="2945"/>
      <c r="J231" s="2945"/>
      <c r="K231" s="2945"/>
      <c r="L231" s="2945"/>
      <c r="M231" s="2945"/>
      <c r="N231" s="2945"/>
      <c r="O231" s="2946"/>
      <c r="P231" s="617"/>
      <c r="Q231" s="263"/>
      <c r="S231" s="2899"/>
    </row>
    <row r="232" spans="2:20" ht="18.75" customHeight="1" x14ac:dyDescent="0.25">
      <c r="B232" s="259"/>
      <c r="C232" s="677"/>
      <c r="D232" s="321"/>
      <c r="E232" s="658"/>
      <c r="F232" s="615"/>
      <c r="G232" s="658"/>
      <c r="H232" s="615"/>
      <c r="I232" s="55"/>
      <c r="J232" s="658"/>
      <c r="K232" s="615"/>
      <c r="L232" s="658"/>
      <c r="M232" s="615"/>
      <c r="N232" s="658"/>
      <c r="O232" s="615"/>
      <c r="P232" s="617"/>
      <c r="Q232" s="263"/>
      <c r="S232" s="2899"/>
    </row>
    <row r="233" spans="2:20" ht="18" customHeight="1" x14ac:dyDescent="0.25">
      <c r="B233" s="259"/>
      <c r="C233" s="773" t="s">
        <v>1861</v>
      </c>
      <c r="D233" s="774"/>
      <c r="E233" s="775"/>
      <c r="F233" s="776"/>
      <c r="G233" s="776"/>
      <c r="H233" s="777"/>
      <c r="I233" s="778"/>
      <c r="J233" s="775"/>
      <c r="K233" s="775"/>
      <c r="L233" s="775"/>
      <c r="M233" s="776"/>
      <c r="N233" s="776"/>
      <c r="O233" s="779"/>
      <c r="P233" s="617"/>
      <c r="Q233" s="263"/>
      <c r="S233" s="2899"/>
    </row>
    <row r="234" spans="2:20" ht="18" customHeight="1" x14ac:dyDescent="0.25">
      <c r="B234" s="259"/>
      <c r="C234" s="781" t="s">
        <v>1617</v>
      </c>
      <c r="D234" s="774"/>
      <c r="E234" s="775"/>
      <c r="F234" s="776"/>
      <c r="G234" s="776"/>
      <c r="H234" s="777"/>
      <c r="I234" s="778"/>
      <c r="J234" s="627"/>
      <c r="K234" s="782"/>
      <c r="L234" s="775"/>
      <c r="M234" s="776"/>
      <c r="N234" s="776"/>
      <c r="O234" s="779"/>
      <c r="P234" s="617"/>
      <c r="Q234" s="263"/>
      <c r="S234" s="2899"/>
    </row>
    <row r="235" spans="2:20" ht="16.5" customHeight="1" x14ac:dyDescent="0.25">
      <c r="B235" s="259"/>
      <c r="C235" s="783"/>
      <c r="D235" s="774"/>
      <c r="E235" s="775"/>
      <c r="F235" s="776"/>
      <c r="G235" s="776"/>
      <c r="H235" s="777"/>
      <c r="I235" s="778"/>
      <c r="J235" s="784" t="s">
        <v>1618</v>
      </c>
      <c r="K235" s="627"/>
      <c r="L235" s="775"/>
      <c r="M235" s="776"/>
      <c r="N235" s="776"/>
      <c r="O235" s="779"/>
      <c r="P235" s="617"/>
      <c r="Q235" s="263"/>
      <c r="S235" s="2899"/>
    </row>
    <row r="236" spans="2:20" ht="18" customHeight="1" x14ac:dyDescent="0.25">
      <c r="B236" s="259"/>
      <c r="C236" s="781" t="s">
        <v>1556</v>
      </c>
      <c r="D236" s="774"/>
      <c r="E236" s="775"/>
      <c r="F236" s="775"/>
      <c r="G236" s="775"/>
      <c r="H236" s="775"/>
      <c r="I236" s="778"/>
      <c r="J236" s="775"/>
      <c r="K236" s="775"/>
      <c r="L236" s="775"/>
      <c r="M236" s="775"/>
      <c r="N236" s="775"/>
      <c r="O236" s="775"/>
      <c r="P236" s="272"/>
      <c r="Q236" s="263"/>
      <c r="S236" s="2899"/>
    </row>
    <row r="237" spans="2:20" ht="18" customHeight="1" x14ac:dyDescent="0.25">
      <c r="B237" s="259"/>
      <c r="C237" s="781" t="s">
        <v>1865</v>
      </c>
      <c r="D237" s="774"/>
      <c r="E237" s="775"/>
      <c r="F237" s="775"/>
      <c r="G237" s="775"/>
      <c r="H237" s="775"/>
      <c r="I237" s="778"/>
      <c r="J237" s="775"/>
      <c r="K237" s="775"/>
      <c r="L237" s="775"/>
      <c r="M237" s="775"/>
      <c r="N237" s="775"/>
      <c r="O237" s="775"/>
      <c r="P237" s="272"/>
      <c r="Q237" s="263"/>
      <c r="S237" s="2899"/>
    </row>
    <row r="238" spans="2:20" ht="18" customHeight="1" x14ac:dyDescent="0.25">
      <c r="B238" s="259"/>
      <c r="C238" s="614"/>
      <c r="D238" s="283"/>
      <c r="E238" s="312"/>
      <c r="F238" s="312"/>
      <c r="G238" s="312"/>
      <c r="H238" s="312"/>
      <c r="I238" s="277"/>
      <c r="J238" s="312"/>
      <c r="K238" s="312"/>
      <c r="L238" s="312"/>
      <c r="M238" s="312"/>
      <c r="N238" s="312"/>
      <c r="O238" s="312"/>
      <c r="P238" s="313"/>
      <c r="Q238" s="263"/>
      <c r="S238" s="2899"/>
    </row>
    <row r="239" spans="2:20" ht="18" customHeight="1" x14ac:dyDescent="0.25">
      <c r="B239" s="259"/>
      <c r="C239" s="372"/>
      <c r="D239" s="262"/>
      <c r="E239" s="262"/>
      <c r="F239" s="262"/>
      <c r="G239" s="262"/>
      <c r="H239" s="262"/>
      <c r="I239" s="262"/>
      <c r="J239" s="262"/>
      <c r="K239" s="262"/>
      <c r="L239" s="262"/>
      <c r="M239" s="262"/>
      <c r="N239" s="262"/>
      <c r="O239" s="262"/>
      <c r="P239" s="262"/>
      <c r="Q239" s="263"/>
      <c r="S239" s="2899"/>
    </row>
    <row r="240" spans="2:20" ht="17.25" customHeight="1" x14ac:dyDescent="0.25">
      <c r="B240" s="259"/>
      <c r="C240" s="681" t="s">
        <v>188</v>
      </c>
      <c r="D240" s="262"/>
      <c r="E240" s="262"/>
      <c r="F240" s="262"/>
      <c r="G240" s="262"/>
      <c r="H240" s="262"/>
      <c r="I240" s="262"/>
      <c r="J240" s="262"/>
      <c r="K240" s="262"/>
      <c r="L240" s="262"/>
      <c r="M240" s="262"/>
      <c r="N240" s="262"/>
      <c r="O240" s="262"/>
      <c r="P240" s="262"/>
      <c r="Q240" s="263"/>
      <c r="S240" s="2899"/>
    </row>
    <row r="241" spans="1:19" ht="18" customHeight="1" x14ac:dyDescent="0.25">
      <c r="B241" s="259"/>
      <c r="C241" s="166"/>
      <c r="D241" s="663"/>
      <c r="E241" s="2921" t="s">
        <v>185</v>
      </c>
      <c r="F241" s="2921"/>
      <c r="G241" s="2921"/>
      <c r="H241" s="2922"/>
      <c r="I241" s="359" t="str">
        <f>IF((OR(ISBLANK(F613),ISBLANK(F614),ISBLANK(K613),ISBLANK(K614))=FALSE),"Complété","À compléter")</f>
        <v>À compléter</v>
      </c>
      <c r="J241" s="2923" t="s">
        <v>186</v>
      </c>
      <c r="K241" s="2923"/>
      <c r="L241" s="2923"/>
      <c r="M241" s="2923"/>
      <c r="N241" s="2923"/>
      <c r="O241" s="2923"/>
      <c r="P241" s="2923"/>
      <c r="Q241" s="263"/>
      <c r="S241" s="2899"/>
    </row>
    <row r="242" spans="1:19" ht="6.75" customHeight="1" x14ac:dyDescent="0.25">
      <c r="B242" s="259"/>
      <c r="C242" s="262"/>
      <c r="D242" s="663"/>
      <c r="E242" s="663"/>
      <c r="F242" s="663"/>
      <c r="G242" s="663"/>
      <c r="H242" s="663"/>
      <c r="I242" s="262"/>
      <c r="J242" s="361"/>
      <c r="K242" s="361"/>
      <c r="L242" s="361"/>
      <c r="M242" s="361"/>
      <c r="N242" s="361"/>
      <c r="O242" s="361"/>
      <c r="P242" s="361"/>
      <c r="Q242" s="263"/>
      <c r="S242" s="2899"/>
    </row>
    <row r="243" spans="1:19" ht="18" customHeight="1" x14ac:dyDescent="0.25">
      <c r="B243" s="259"/>
      <c r="C243" s="262"/>
      <c r="D243" s="2921" t="s">
        <v>1594</v>
      </c>
      <c r="E243" s="2921"/>
      <c r="F243" s="2921"/>
      <c r="G243" s="2921"/>
      <c r="H243" s="2922"/>
      <c r="I243" s="359" t="str">
        <f>IF((OR(ISBLANK(F675),ISBLANK(F676),ISBLANK(#REF!),ISBLANK(K675),ISBLANK(K676),ISBLANK(#REF!))=FALSE),"Complété","À compléter")</f>
        <v>À compléter</v>
      </c>
      <c r="J243" s="2923" t="s">
        <v>187</v>
      </c>
      <c r="K243" s="2923"/>
      <c r="L243" s="2923"/>
      <c r="M243" s="2923"/>
      <c r="N243" s="2923"/>
      <c r="O243" s="2923"/>
      <c r="P243" s="2923"/>
      <c r="Q243" s="263"/>
      <c r="S243" s="2899"/>
    </row>
    <row r="244" spans="1:19" ht="27.75" customHeight="1" x14ac:dyDescent="0.25">
      <c r="B244" s="259"/>
      <c r="C244" s="262"/>
      <c r="D244" s="467"/>
      <c r="E244" s="467"/>
      <c r="F244" s="467"/>
      <c r="G244" s="467"/>
      <c r="H244" s="467"/>
      <c r="I244" s="469"/>
      <c r="J244" s="662"/>
      <c r="K244" s="662"/>
      <c r="L244" s="662"/>
      <c r="M244" s="662"/>
      <c r="N244" s="662"/>
      <c r="O244" s="662"/>
      <c r="P244" s="662"/>
      <c r="Q244" s="263"/>
      <c r="S244" s="2899"/>
    </row>
    <row r="245" spans="1:19" ht="18" customHeight="1" x14ac:dyDescent="0.25">
      <c r="B245" s="259"/>
      <c r="C245" s="680" t="s">
        <v>1573</v>
      </c>
      <c r="D245" s="467"/>
      <c r="E245" s="467"/>
      <c r="F245" s="467"/>
      <c r="G245" s="166"/>
      <c r="H245" s="2914" t="s">
        <v>1487</v>
      </c>
      <c r="I245" s="2914"/>
      <c r="J245" s="166"/>
      <c r="K245" s="166"/>
      <c r="L245" s="662"/>
      <c r="M245" s="662"/>
      <c r="N245" s="662"/>
      <c r="O245" s="662"/>
      <c r="P245" s="662"/>
      <c r="Q245" s="263"/>
      <c r="S245" s="2899"/>
    </row>
    <row r="246" spans="1:19" ht="13.5" customHeight="1" thickBot="1" x14ac:dyDescent="0.3">
      <c r="B246" s="284"/>
      <c r="C246" s="285"/>
      <c r="D246" s="285"/>
      <c r="E246" s="285"/>
      <c r="F246" s="285"/>
      <c r="G246" s="285"/>
      <c r="H246" s="285"/>
      <c r="I246" s="285"/>
      <c r="J246" s="285"/>
      <c r="K246" s="285"/>
      <c r="L246" s="285"/>
      <c r="M246" s="285"/>
      <c r="N246" s="285"/>
      <c r="O246" s="285"/>
      <c r="P246" s="285"/>
      <c r="Q246" s="286"/>
      <c r="S246" s="2904"/>
    </row>
    <row r="247" spans="1:19" ht="15.75" thickBot="1" x14ac:dyDescent="0.3">
      <c r="B247" s="699"/>
      <c r="S247" s="627"/>
    </row>
    <row r="248" spans="1:19" ht="22.5" customHeight="1" thickBot="1" x14ac:dyDescent="0.3">
      <c r="A248" s="1225"/>
      <c r="B248" s="243" t="s">
        <v>2337</v>
      </c>
      <c r="C248" s="243"/>
      <c r="D248" s="243"/>
      <c r="E248" s="243"/>
      <c r="F248" s="243"/>
      <c r="G248" s="243"/>
      <c r="H248" s="243"/>
      <c r="I248" s="243"/>
      <c r="J248" s="243"/>
      <c r="K248" s="243"/>
      <c r="L248" s="244"/>
      <c r="M248" s="244"/>
      <c r="N248" s="244"/>
      <c r="O248" s="3265" t="s">
        <v>1641</v>
      </c>
      <c r="P248" s="3265"/>
      <c r="Q248" s="3265"/>
      <c r="S248" s="628" t="s">
        <v>1537</v>
      </c>
    </row>
    <row r="249" spans="1:19" ht="9.75" customHeight="1" thickBot="1" x14ac:dyDescent="0.3">
      <c r="S249" s="629"/>
    </row>
    <row r="250" spans="1:19" ht="8.25" customHeight="1" x14ac:dyDescent="0.25">
      <c r="B250" s="247"/>
      <c r="C250" s="248"/>
      <c r="D250" s="248"/>
      <c r="E250" s="249"/>
      <c r="F250" s="250"/>
      <c r="G250" s="250"/>
      <c r="H250" s="250"/>
      <c r="I250" s="250"/>
      <c r="J250" s="250"/>
      <c r="K250" s="250"/>
      <c r="L250" s="250"/>
      <c r="M250" s="250"/>
      <c r="N250" s="250"/>
      <c r="O250" s="250"/>
      <c r="P250" s="250"/>
      <c r="Q250" s="251"/>
      <c r="S250" s="2900"/>
    </row>
    <row r="251" spans="1:19" ht="18" customHeight="1" x14ac:dyDescent="0.25">
      <c r="B251" s="252"/>
      <c r="C251" s="253" t="s">
        <v>34</v>
      </c>
      <c r="D251" s="253"/>
      <c r="E251" s="254"/>
      <c r="F251" s="166"/>
      <c r="G251" s="166"/>
      <c r="H251" s="166"/>
      <c r="I251" s="166"/>
      <c r="J251" s="166"/>
      <c r="K251" s="166"/>
      <c r="L251" s="166"/>
      <c r="M251" s="166"/>
      <c r="N251" s="255" t="s">
        <v>59</v>
      </c>
      <c r="O251" s="359" t="str">
        <f>IF(OR(ISBLANK(H258))=FALSE,"Complété","À compléter")</f>
        <v>À compléter</v>
      </c>
      <c r="P251" s="166"/>
      <c r="Q251" s="256"/>
      <c r="S251" s="2899"/>
    </row>
    <row r="252" spans="1:19" ht="6.75" customHeight="1" x14ac:dyDescent="0.25">
      <c r="B252" s="257"/>
      <c r="C252" s="258"/>
      <c r="D252" s="258"/>
      <c r="E252" s="258"/>
      <c r="F252" s="166"/>
      <c r="G252" s="166"/>
      <c r="H252" s="166"/>
      <c r="I252" s="166"/>
      <c r="J252" s="166"/>
      <c r="K252" s="166"/>
      <c r="L252" s="166"/>
      <c r="M252" s="166"/>
      <c r="N252" s="166"/>
      <c r="O252" s="166"/>
      <c r="P252" s="166"/>
      <c r="Q252" s="256"/>
      <c r="S252" s="2899"/>
    </row>
    <row r="253" spans="1:19" ht="17.25" customHeight="1" x14ac:dyDescent="0.25">
      <c r="B253" s="257"/>
      <c r="C253" s="3020" t="s">
        <v>1590</v>
      </c>
      <c r="D253" s="3020"/>
      <c r="E253" s="3020"/>
      <c r="F253" s="3020"/>
      <c r="G253" s="3020"/>
      <c r="H253" s="3020"/>
      <c r="I253" s="3020"/>
      <c r="J253" s="3020"/>
      <c r="K253" s="3020"/>
      <c r="L253" s="3020"/>
      <c r="M253" s="3020"/>
      <c r="N253" s="166"/>
      <c r="O253" s="166"/>
      <c r="P253" s="166"/>
      <c r="Q253" s="256"/>
      <c r="S253" s="2899"/>
    </row>
    <row r="254" spans="1:19" ht="15" customHeight="1" x14ac:dyDescent="0.25">
      <c r="B254" s="257"/>
      <c r="C254" s="258"/>
      <c r="D254" s="258"/>
      <c r="E254" s="258"/>
      <c r="F254" s="166"/>
      <c r="G254" s="166"/>
      <c r="H254" s="166"/>
      <c r="I254" s="166"/>
      <c r="J254" s="166"/>
      <c r="K254" s="166"/>
      <c r="L254" s="166"/>
      <c r="M254" s="166"/>
      <c r="N254" s="166"/>
      <c r="O254" s="166"/>
      <c r="P254" s="166"/>
      <c r="Q254" s="256"/>
      <c r="S254" s="2899"/>
    </row>
    <row r="255" spans="1:19" ht="18.75" customHeight="1" x14ac:dyDescent="0.25">
      <c r="B255" s="259"/>
      <c r="C255" s="654" t="s">
        <v>214</v>
      </c>
      <c r="D255" s="261"/>
      <c r="E255" s="262"/>
      <c r="F255" s="262"/>
      <c r="G255" s="262"/>
      <c r="H255" s="262"/>
      <c r="I255" s="262"/>
      <c r="J255" s="262"/>
      <c r="K255" s="262"/>
      <c r="L255" s="262"/>
      <c r="M255" s="262"/>
      <c r="N255" s="262"/>
      <c r="O255" s="262"/>
      <c r="P255" s="262"/>
      <c r="Q255" s="263"/>
      <c r="S255" s="2899"/>
    </row>
    <row r="256" spans="1:19" ht="6" customHeight="1" x14ac:dyDescent="0.25">
      <c r="B256" s="259"/>
      <c r="C256" s="379"/>
      <c r="D256" s="261"/>
      <c r="E256" s="262"/>
      <c r="F256" s="262"/>
      <c r="G256" s="262"/>
      <c r="H256" s="262"/>
      <c r="I256" s="262"/>
      <c r="J256" s="262"/>
      <c r="K256" s="262"/>
      <c r="L256" s="262"/>
      <c r="M256" s="262"/>
      <c r="N256" s="262"/>
      <c r="O256" s="262"/>
      <c r="P256" s="262"/>
      <c r="Q256" s="263"/>
      <c r="S256" s="2899"/>
    </row>
    <row r="257" spans="2:19" ht="14.25" customHeight="1" x14ac:dyDescent="0.25">
      <c r="B257" s="259"/>
      <c r="C257" s="648"/>
      <c r="D257" s="265"/>
      <c r="E257" s="266"/>
      <c r="F257" s="266"/>
      <c r="G257" s="266"/>
      <c r="H257" s="266"/>
      <c r="I257" s="266"/>
      <c r="J257" s="266"/>
      <c r="K257" s="266"/>
      <c r="L257" s="266"/>
      <c r="M257" s="266"/>
      <c r="N257" s="266"/>
      <c r="O257" s="266"/>
      <c r="P257" s="267"/>
      <c r="Q257" s="263"/>
      <c r="S257" s="2899"/>
    </row>
    <row r="258" spans="2:19" ht="15.75" customHeight="1" x14ac:dyDescent="0.25">
      <c r="B258" s="494" t="str">
        <f>IF(ISBLANK(H258)=FALSE,"","u")</f>
        <v>u</v>
      </c>
      <c r="C258" s="2929" t="s">
        <v>1604</v>
      </c>
      <c r="D258" s="2930"/>
      <c r="E258" s="2930"/>
      <c r="F258" s="2930"/>
      <c r="G258" s="2930"/>
      <c r="H258" s="2947"/>
      <c r="I258" s="2948"/>
      <c r="J258" s="2948"/>
      <c r="K258" s="2949"/>
      <c r="L258" s="2910" t="str">
        <f>IF(OR(ISBLANK(H258),H258='MENU DÉROULANT'!C83),"","Vous pouvez donc passer à la section suivante du PGA.")</f>
        <v/>
      </c>
      <c r="M258" s="2911"/>
      <c r="N258" s="2911"/>
      <c r="O258" s="2911"/>
      <c r="P258" s="272"/>
      <c r="Q258" s="263"/>
      <c r="S258" s="2899"/>
    </row>
    <row r="259" spans="2:19" ht="15.75" customHeight="1" x14ac:dyDescent="0.25">
      <c r="B259" s="494" t="s">
        <v>124</v>
      </c>
      <c r="C259" s="2929"/>
      <c r="D259" s="2930"/>
      <c r="E259" s="2930"/>
      <c r="F259" s="2930"/>
      <c r="G259" s="2930"/>
      <c r="H259" s="2950"/>
      <c r="I259" s="2951"/>
      <c r="J259" s="2951"/>
      <c r="K259" s="2952"/>
      <c r="L259" s="2912" t="str">
        <f>IF(OR(ISBLANK(H258),H258='MENU DÉROULANT'!C83),"","Notez toutefois que dans ce cas, aucun visuel n'apparaitra dans le sommaire concernant la gestion des risques.")</f>
        <v/>
      </c>
      <c r="M259" s="2912"/>
      <c r="N259" s="2912"/>
      <c r="O259" s="2912"/>
      <c r="P259" s="686"/>
      <c r="Q259" s="375"/>
      <c r="S259" s="2899"/>
    </row>
    <row r="260" spans="2:19" ht="16.5" customHeight="1" x14ac:dyDescent="0.25">
      <c r="B260" s="259"/>
      <c r="C260" s="649"/>
      <c r="D260" s="647"/>
      <c r="E260" s="85"/>
      <c r="F260" s="85"/>
      <c r="G260" s="85"/>
      <c r="H260" s="85"/>
      <c r="I260" s="85"/>
      <c r="J260" s="85"/>
      <c r="K260" s="85"/>
      <c r="L260" s="2913"/>
      <c r="M260" s="2913"/>
      <c r="N260" s="2913"/>
      <c r="O260" s="2913"/>
      <c r="P260" s="618"/>
      <c r="Q260" s="375"/>
      <c r="S260" s="2899"/>
    </row>
    <row r="261" spans="2:19" ht="31.5" customHeight="1" x14ac:dyDescent="0.25">
      <c r="B261" s="494"/>
      <c r="C261" s="385"/>
      <c r="D261" s="297"/>
      <c r="E261" s="658"/>
      <c r="F261" s="2939" t="s">
        <v>130</v>
      </c>
      <c r="G261" s="2939"/>
      <c r="H261" s="2828"/>
      <c r="I261" s="2860"/>
      <c r="J261" s="2860"/>
      <c r="K261" s="2860"/>
      <c r="L261" s="2860"/>
      <c r="M261" s="2860"/>
      <c r="N261" s="2860"/>
      <c r="O261" s="2829"/>
      <c r="P261" s="617"/>
      <c r="Q261" s="263"/>
      <c r="S261" s="2899"/>
    </row>
    <row r="262" spans="2:19" ht="15" customHeight="1" x14ac:dyDescent="0.25">
      <c r="B262" s="259"/>
      <c r="C262" s="650"/>
      <c r="D262" s="651"/>
      <c r="E262" s="312"/>
      <c r="F262" s="312"/>
      <c r="G262" s="312"/>
      <c r="H262" s="312"/>
      <c r="I262" s="312"/>
      <c r="J262" s="312"/>
      <c r="K262" s="312"/>
      <c r="L262" s="312"/>
      <c r="M262" s="652"/>
      <c r="N262" s="652"/>
      <c r="O262" s="652"/>
      <c r="P262" s="653"/>
      <c r="Q262" s="375"/>
      <c r="S262" s="2899"/>
    </row>
    <row r="263" spans="2:19" ht="18.75" customHeight="1" x14ac:dyDescent="0.25">
      <c r="B263" s="259"/>
      <c r="C263" s="261"/>
      <c r="D263" s="261"/>
      <c r="E263" s="262"/>
      <c r="F263" s="262"/>
      <c r="G263" s="262"/>
      <c r="H263" s="262"/>
      <c r="I263" s="262"/>
      <c r="J263" s="262"/>
      <c r="K263" s="262"/>
      <c r="L263" s="262"/>
      <c r="M263" s="262"/>
      <c r="N263" s="262"/>
      <c r="O263" s="262"/>
      <c r="P263" s="262"/>
      <c r="Q263" s="263"/>
      <c r="S263" s="2899"/>
    </row>
    <row r="264" spans="2:19" ht="12.75" customHeight="1" x14ac:dyDescent="0.25">
      <c r="B264" s="259"/>
      <c r="C264" s="264"/>
      <c r="D264" s="265"/>
      <c r="E264" s="266"/>
      <c r="F264" s="266"/>
      <c r="G264" s="266"/>
      <c r="H264" s="266"/>
      <c r="I264" s="266"/>
      <c r="J264" s="266"/>
      <c r="K264" s="266"/>
      <c r="L264" s="266"/>
      <c r="M264" s="266"/>
      <c r="N264" s="266"/>
      <c r="O264" s="266"/>
      <c r="P264" s="267"/>
      <c r="Q264" s="263"/>
      <c r="S264" s="2899"/>
    </row>
    <row r="265" spans="2:19" ht="24" customHeight="1" x14ac:dyDescent="0.25">
      <c r="B265" s="259"/>
      <c r="C265" s="655" t="s">
        <v>1833</v>
      </c>
      <c r="D265" s="321"/>
      <c r="E265" s="85"/>
      <c r="F265" s="363"/>
      <c r="G265" s="363"/>
      <c r="H265" s="615"/>
      <c r="I265" s="55"/>
      <c r="J265" s="85"/>
      <c r="K265" s="85"/>
      <c r="L265" s="85"/>
      <c r="M265" s="363"/>
      <c r="N265" s="363"/>
      <c r="O265" s="992"/>
      <c r="P265" s="617"/>
      <c r="Q265" s="263"/>
      <c r="S265" s="2899"/>
    </row>
    <row r="266" spans="2:19" ht="15.75" customHeight="1" x14ac:dyDescent="0.25">
      <c r="B266" s="259"/>
      <c r="C266" s="656" t="s">
        <v>1866</v>
      </c>
      <c r="D266" s="321"/>
      <c r="E266" s="85"/>
      <c r="F266" s="363"/>
      <c r="G266" s="363"/>
      <c r="H266" s="615"/>
      <c r="I266" s="55"/>
      <c r="J266" s="85"/>
      <c r="K266" s="85"/>
      <c r="L266" s="85"/>
      <c r="M266" s="363"/>
      <c r="N266" s="363"/>
      <c r="O266" s="658"/>
      <c r="P266" s="617"/>
      <c r="Q266" s="263"/>
      <c r="S266" s="2899"/>
    </row>
    <row r="267" spans="2:19" ht="18.75" customHeight="1" x14ac:dyDescent="0.25">
      <c r="B267" s="259"/>
      <c r="C267" s="362"/>
      <c r="D267" s="321"/>
      <c r="E267" s="85"/>
      <c r="F267" s="85"/>
      <c r="G267" s="85"/>
      <c r="H267" s="85"/>
      <c r="I267" s="55"/>
      <c r="J267" s="85"/>
      <c r="K267" s="85"/>
      <c r="L267" s="85"/>
      <c r="M267" s="85"/>
      <c r="N267" s="85"/>
      <c r="O267" s="85"/>
      <c r="P267" s="272"/>
      <c r="Q267" s="263"/>
      <c r="S267" s="2899"/>
    </row>
    <row r="268" spans="2:19" s="72" customFormat="1" ht="21.75" customHeight="1" thickBot="1" x14ac:dyDescent="0.3">
      <c r="B268" s="259"/>
      <c r="C268" s="368"/>
      <c r="D268" s="2940" t="s">
        <v>1832</v>
      </c>
      <c r="E268" s="2940"/>
      <c r="F268" s="2936" t="s">
        <v>207</v>
      </c>
      <c r="G268" s="2937"/>
      <c r="H268" s="2938"/>
      <c r="I268" s="632" t="s">
        <v>206</v>
      </c>
      <c r="J268" s="633"/>
      <c r="K268" s="633"/>
      <c r="L268" s="633"/>
      <c r="M268" s="633"/>
      <c r="N268" s="633"/>
      <c r="O268" s="357"/>
      <c r="P268" s="272"/>
      <c r="Q268" s="263"/>
      <c r="S268" s="2899"/>
    </row>
    <row r="269" spans="2:19" ht="26.25" customHeight="1" thickTop="1" x14ac:dyDescent="0.25">
      <c r="B269" s="494" t="str">
        <f>IF(ISBLANK(F269)=FALSE,"","w")</f>
        <v>w</v>
      </c>
      <c r="C269" s="369"/>
      <c r="D269" s="2924" t="s">
        <v>199</v>
      </c>
      <c r="E269" s="2925"/>
      <c r="F269" s="2918"/>
      <c r="G269" s="2919"/>
      <c r="H269" s="2920"/>
      <c r="I269" s="2926"/>
      <c r="J269" s="2927"/>
      <c r="K269" s="2927"/>
      <c r="L269" s="2927"/>
      <c r="M269" s="2927"/>
      <c r="N269" s="2927"/>
      <c r="O269" s="2928"/>
      <c r="P269" s="272"/>
      <c r="Q269" s="263"/>
      <c r="S269" s="2899"/>
    </row>
    <row r="270" spans="2:19" ht="26.25" customHeight="1" x14ac:dyDescent="0.25">
      <c r="B270" s="494" t="str">
        <f>IF(ISBLANK(F270)=FALSE,"","w")</f>
        <v>w</v>
      </c>
      <c r="C270" s="369"/>
      <c r="D270" s="2924" t="s">
        <v>197</v>
      </c>
      <c r="E270" s="2925"/>
      <c r="F270" s="2915"/>
      <c r="G270" s="2916"/>
      <c r="H270" s="2917"/>
      <c r="I270" s="2979"/>
      <c r="J270" s="2980"/>
      <c r="K270" s="2980"/>
      <c r="L270" s="2980"/>
      <c r="M270" s="2980"/>
      <c r="N270" s="2980"/>
      <c r="O270" s="2981"/>
      <c r="P270" s="272"/>
      <c r="Q270" s="263"/>
      <c r="S270" s="2899"/>
    </row>
    <row r="271" spans="2:19" ht="26.25" customHeight="1" x14ac:dyDescent="0.25">
      <c r="B271" s="494" t="str">
        <f>IF(ISBLANK(F271)=FALSE,"","w")</f>
        <v>w</v>
      </c>
      <c r="C271" s="369"/>
      <c r="D271" s="2961" t="s">
        <v>198</v>
      </c>
      <c r="E271" s="2962"/>
      <c r="F271" s="2915"/>
      <c r="G271" s="2916"/>
      <c r="H271" s="2917"/>
      <c r="I271" s="2979"/>
      <c r="J271" s="2980"/>
      <c r="K271" s="2980"/>
      <c r="L271" s="2980"/>
      <c r="M271" s="2980"/>
      <c r="N271" s="2980"/>
      <c r="O271" s="2981"/>
      <c r="P271" s="272"/>
      <c r="Q271" s="263"/>
      <c r="S271" s="2899"/>
    </row>
    <row r="272" spans="2:19" ht="26.25" customHeight="1" x14ac:dyDescent="0.25">
      <c r="B272" s="494" t="str">
        <f>IF(ISBLANK(F272)=FALSE,"","w")</f>
        <v>w</v>
      </c>
      <c r="C272" s="369"/>
      <c r="D272" s="2961" t="s">
        <v>201</v>
      </c>
      <c r="E272" s="2962"/>
      <c r="F272" s="2915"/>
      <c r="G272" s="2916"/>
      <c r="H272" s="2917"/>
      <c r="I272" s="2979"/>
      <c r="J272" s="2980"/>
      <c r="K272" s="2980"/>
      <c r="L272" s="2980"/>
      <c r="M272" s="2980"/>
      <c r="N272" s="2980"/>
      <c r="O272" s="2981"/>
      <c r="P272" s="272"/>
      <c r="Q272" s="263"/>
      <c r="S272" s="2899"/>
    </row>
    <row r="273" spans="2:19" ht="26.25" customHeight="1" x14ac:dyDescent="0.25">
      <c r="B273" s="494" t="str">
        <f>IF(ISBLANK(F273)=FALSE,"","w")</f>
        <v>w</v>
      </c>
      <c r="C273" s="369"/>
      <c r="D273" s="2961" t="s">
        <v>200</v>
      </c>
      <c r="E273" s="2962"/>
      <c r="F273" s="2915"/>
      <c r="G273" s="2916"/>
      <c r="H273" s="2917"/>
      <c r="I273" s="2979"/>
      <c r="J273" s="2980"/>
      <c r="K273" s="2980"/>
      <c r="L273" s="2980"/>
      <c r="M273" s="2980"/>
      <c r="N273" s="2980"/>
      <c r="O273" s="2981"/>
      <c r="P273" s="272"/>
      <c r="Q273" s="263"/>
      <c r="S273" s="2899"/>
    </row>
    <row r="274" spans="2:19" ht="26.25" customHeight="1" x14ac:dyDescent="0.25">
      <c r="B274" s="259"/>
      <c r="C274" s="369"/>
      <c r="D274" s="407" t="s">
        <v>224</v>
      </c>
      <c r="E274" s="729"/>
      <c r="F274" s="3211"/>
      <c r="G274" s="3212"/>
      <c r="H274" s="3213"/>
      <c r="I274" s="3208"/>
      <c r="J274" s="3209"/>
      <c r="K274" s="3209"/>
      <c r="L274" s="3209"/>
      <c r="M274" s="3209"/>
      <c r="N274" s="3209"/>
      <c r="O274" s="3210"/>
      <c r="P274" s="617"/>
      <c r="Q274" s="263"/>
      <c r="S274" s="2899"/>
    </row>
    <row r="275" spans="2:19" ht="22.5" customHeight="1" x14ac:dyDescent="0.25">
      <c r="B275" s="259"/>
      <c r="C275" s="364"/>
      <c r="D275" s="365"/>
      <c r="E275" s="366"/>
      <c r="F275" s="367"/>
      <c r="G275" s="366"/>
      <c r="H275" s="615"/>
      <c r="I275" s="55"/>
      <c r="J275" s="658"/>
      <c r="K275" s="615"/>
      <c r="L275" s="658"/>
      <c r="M275" s="615"/>
      <c r="N275" s="658"/>
      <c r="O275" s="615"/>
      <c r="P275" s="617"/>
      <c r="Q275" s="263"/>
      <c r="S275" s="2899"/>
    </row>
    <row r="276" spans="2:19" ht="20.25" customHeight="1" x14ac:dyDescent="0.25">
      <c r="B276" s="259"/>
      <c r="C276" s="3041" t="s">
        <v>1599</v>
      </c>
      <c r="D276" s="3042"/>
      <c r="E276" s="3043"/>
      <c r="F276" s="3204"/>
      <c r="G276" s="3205"/>
      <c r="H276" s="3205"/>
      <c r="I276" s="3205"/>
      <c r="J276" s="3205"/>
      <c r="K276" s="3205"/>
      <c r="L276" s="3205"/>
      <c r="M276" s="3205"/>
      <c r="N276" s="3205"/>
      <c r="O276" s="3206"/>
      <c r="P276" s="617"/>
      <c r="Q276" s="263"/>
      <c r="S276" s="2899"/>
    </row>
    <row r="277" spans="2:19" ht="20.25" customHeight="1" x14ac:dyDescent="0.25">
      <c r="B277" s="259"/>
      <c r="C277" s="3041"/>
      <c r="D277" s="3042"/>
      <c r="E277" s="3043"/>
      <c r="F277" s="2957"/>
      <c r="G277" s="3207"/>
      <c r="H277" s="3207"/>
      <c r="I277" s="3207"/>
      <c r="J277" s="3207"/>
      <c r="K277" s="3207"/>
      <c r="L277" s="3207"/>
      <c r="M277" s="3207"/>
      <c r="N277" s="3207"/>
      <c r="O277" s="2958"/>
      <c r="P277" s="617"/>
      <c r="Q277" s="263"/>
      <c r="S277" s="2899"/>
    </row>
    <row r="278" spans="2:19" ht="13.5" customHeight="1" x14ac:dyDescent="0.25">
      <c r="B278" s="259"/>
      <c r="C278" s="677"/>
      <c r="D278" s="321"/>
      <c r="E278" s="658"/>
      <c r="F278" s="615"/>
      <c r="G278" s="658"/>
      <c r="H278" s="615"/>
      <c r="I278" s="55"/>
      <c r="J278" s="658"/>
      <c r="K278" s="615"/>
      <c r="L278" s="658"/>
      <c r="M278" s="615"/>
      <c r="N278" s="658"/>
      <c r="O278" s="615"/>
      <c r="P278" s="617"/>
      <c r="Q278" s="263"/>
      <c r="S278" s="2899"/>
    </row>
    <row r="279" spans="2:19" ht="18" customHeight="1" x14ac:dyDescent="0.25">
      <c r="B279" s="259"/>
      <c r="C279" s="773" t="s">
        <v>1862</v>
      </c>
      <c r="D279" s="774"/>
      <c r="E279" s="775"/>
      <c r="F279" s="776"/>
      <c r="G279" s="776"/>
      <c r="H279" s="777"/>
      <c r="I279" s="778"/>
      <c r="J279" s="775"/>
      <c r="K279" s="775"/>
      <c r="L279" s="775"/>
      <c r="M279" s="776"/>
      <c r="N279" s="776"/>
      <c r="O279" s="779"/>
      <c r="P279" s="617"/>
      <c r="Q279" s="263"/>
      <c r="S279" s="2899"/>
    </row>
    <row r="280" spans="2:19" ht="18" customHeight="1" x14ac:dyDescent="0.25">
      <c r="B280" s="259"/>
      <c r="C280" s="781" t="s">
        <v>1617</v>
      </c>
      <c r="D280" s="774"/>
      <c r="E280" s="775"/>
      <c r="F280" s="776"/>
      <c r="G280" s="776"/>
      <c r="H280" s="777"/>
      <c r="I280" s="778"/>
      <c r="J280" s="627"/>
      <c r="K280" s="782"/>
      <c r="L280" s="775"/>
      <c r="M280" s="776"/>
      <c r="N280" s="776"/>
      <c r="O280" s="779"/>
      <c r="P280" s="617"/>
      <c r="Q280" s="263"/>
      <c r="S280" s="2899"/>
    </row>
    <row r="281" spans="2:19" ht="16.5" customHeight="1" x14ac:dyDescent="0.25">
      <c r="B281" s="259"/>
      <c r="C281" s="783"/>
      <c r="D281" s="774"/>
      <c r="E281" s="775"/>
      <c r="F281" s="776"/>
      <c r="G281" s="776"/>
      <c r="H281" s="777"/>
      <c r="I281" s="778"/>
      <c r="J281" s="784" t="s">
        <v>1618</v>
      </c>
      <c r="K281" s="627"/>
      <c r="L281" s="775"/>
      <c r="M281" s="776"/>
      <c r="N281" s="776"/>
      <c r="O281" s="779"/>
      <c r="P281" s="617"/>
      <c r="Q281" s="263"/>
      <c r="S281" s="2899"/>
    </row>
    <row r="282" spans="2:19" ht="18" customHeight="1" x14ac:dyDescent="0.25">
      <c r="B282" s="259"/>
      <c r="C282" s="614"/>
      <c r="D282" s="283"/>
      <c r="E282" s="312"/>
      <c r="F282" s="312"/>
      <c r="G282" s="312"/>
      <c r="H282" s="312"/>
      <c r="I282" s="277"/>
      <c r="J282" s="312"/>
      <c r="K282" s="312"/>
      <c r="L282" s="312"/>
      <c r="M282" s="312"/>
      <c r="N282" s="312"/>
      <c r="O282" s="312"/>
      <c r="P282" s="313"/>
      <c r="Q282" s="263"/>
      <c r="S282" s="2899"/>
    </row>
    <row r="283" spans="2:19" ht="14.25" customHeight="1" x14ac:dyDescent="0.25">
      <c r="B283" s="259"/>
      <c r="C283" s="372"/>
      <c r="D283" s="262"/>
      <c r="E283" s="262"/>
      <c r="F283" s="262"/>
      <c r="G283" s="262"/>
      <c r="H283" s="262"/>
      <c r="I283" s="262"/>
      <c r="J283" s="262"/>
      <c r="K283" s="262"/>
      <c r="L283" s="262"/>
      <c r="M283" s="262"/>
      <c r="N283" s="262"/>
      <c r="O283" s="262"/>
      <c r="P283" s="262"/>
      <c r="Q283" s="263"/>
      <c r="S283" s="2899"/>
    </row>
    <row r="284" spans="2:19" ht="17.25" customHeight="1" x14ac:dyDescent="0.25">
      <c r="B284" s="259"/>
      <c r="C284" s="681" t="s">
        <v>188</v>
      </c>
      <c r="D284" s="262"/>
      <c r="E284" s="262"/>
      <c r="F284" s="262"/>
      <c r="G284" s="262"/>
      <c r="H284" s="262"/>
      <c r="I284" s="262"/>
      <c r="J284" s="262"/>
      <c r="K284" s="262"/>
      <c r="L284" s="262"/>
      <c r="M284" s="262"/>
      <c r="N284" s="262"/>
      <c r="O284" s="262"/>
      <c r="P284" s="262"/>
      <c r="Q284" s="263"/>
      <c r="S284" s="2899"/>
    </row>
    <row r="285" spans="2:19" ht="18" customHeight="1" x14ac:dyDescent="0.25">
      <c r="B285" s="259"/>
      <c r="C285" s="166"/>
      <c r="D285" s="663"/>
      <c r="E285" s="2921" t="s">
        <v>185</v>
      </c>
      <c r="F285" s="2921"/>
      <c r="G285" s="2921"/>
      <c r="H285" s="2922"/>
      <c r="I285" s="359" t="str">
        <f>IF((OR(ISBLANK(F617),ISBLANK(F618),ISBLANK(K617),ISBLANK(K618))=FALSE),"Complété","À compléter")</f>
        <v>À compléter</v>
      </c>
      <c r="J285" s="2923" t="s">
        <v>186</v>
      </c>
      <c r="K285" s="2923"/>
      <c r="L285" s="2923"/>
      <c r="M285" s="2923"/>
      <c r="N285" s="2923"/>
      <c r="O285" s="2923"/>
      <c r="P285" s="2923"/>
      <c r="Q285" s="263"/>
      <c r="S285" s="2899"/>
    </row>
    <row r="286" spans="2:19" ht="6.75" customHeight="1" x14ac:dyDescent="0.25">
      <c r="B286" s="259"/>
      <c r="C286" s="262"/>
      <c r="D286" s="663"/>
      <c r="E286" s="663"/>
      <c r="F286" s="663"/>
      <c r="G286" s="663"/>
      <c r="H286" s="663"/>
      <c r="I286" s="262"/>
      <c r="J286" s="361"/>
      <c r="K286" s="361"/>
      <c r="L286" s="361"/>
      <c r="M286" s="361"/>
      <c r="N286" s="361"/>
      <c r="O286" s="361"/>
      <c r="P286" s="361"/>
      <c r="Q286" s="263"/>
      <c r="S286" s="2899"/>
    </row>
    <row r="287" spans="2:19" ht="18" customHeight="1" x14ac:dyDescent="0.25">
      <c r="B287" s="259"/>
      <c r="C287" s="262"/>
      <c r="D287" s="2921" t="s">
        <v>1594</v>
      </c>
      <c r="E287" s="2921"/>
      <c r="F287" s="2921"/>
      <c r="G287" s="2921"/>
      <c r="H287" s="2922"/>
      <c r="I287" s="359" t="str">
        <f>IF((OR(ISBLANK(F679),ISBLANK(K679))=FALSE),"Complété","À compléter")</f>
        <v>À compléter</v>
      </c>
      <c r="J287" s="2923" t="s">
        <v>187</v>
      </c>
      <c r="K287" s="2923"/>
      <c r="L287" s="2923"/>
      <c r="M287" s="2923"/>
      <c r="N287" s="2923"/>
      <c r="O287" s="2923"/>
      <c r="P287" s="2923"/>
      <c r="Q287" s="263"/>
      <c r="S287" s="2899"/>
    </row>
    <row r="288" spans="2:19" ht="17.25" customHeight="1" x14ac:dyDescent="0.25">
      <c r="B288" s="259"/>
      <c r="C288" s="262"/>
      <c r="D288" s="467"/>
      <c r="E288" s="467"/>
      <c r="F288" s="467"/>
      <c r="G288" s="467"/>
      <c r="H288" s="467"/>
      <c r="I288" s="469"/>
      <c r="J288" s="662"/>
      <c r="K288" s="662"/>
      <c r="L288" s="662"/>
      <c r="M288" s="662"/>
      <c r="N288" s="662"/>
      <c r="O288" s="662"/>
      <c r="P288" s="662"/>
      <c r="Q288" s="263"/>
      <c r="S288" s="2899"/>
    </row>
    <row r="289" spans="1:19" ht="18" customHeight="1" x14ac:dyDescent="0.25">
      <c r="B289" s="259"/>
      <c r="C289" s="680" t="s">
        <v>1573</v>
      </c>
      <c r="D289" s="467"/>
      <c r="E289" s="467"/>
      <c r="F289" s="467"/>
      <c r="G289" s="166"/>
      <c r="H289" s="2914" t="s">
        <v>1521</v>
      </c>
      <c r="I289" s="2914"/>
      <c r="J289" s="166"/>
      <c r="K289" s="166"/>
      <c r="L289" s="662"/>
      <c r="M289" s="662"/>
      <c r="N289" s="662"/>
      <c r="O289" s="662"/>
      <c r="P289" s="662"/>
      <c r="Q289" s="263"/>
      <c r="S289" s="2899"/>
    </row>
    <row r="290" spans="1:19" ht="13.5" customHeight="1" thickBot="1" x14ac:dyDescent="0.3">
      <c r="B290" s="284"/>
      <c r="C290" s="285"/>
      <c r="D290" s="285"/>
      <c r="E290" s="285"/>
      <c r="F290" s="285"/>
      <c r="G290" s="285"/>
      <c r="H290" s="285"/>
      <c r="I290" s="285"/>
      <c r="J290" s="285"/>
      <c r="K290" s="285"/>
      <c r="L290" s="285"/>
      <c r="M290" s="285"/>
      <c r="N290" s="285"/>
      <c r="O290" s="285"/>
      <c r="P290" s="285"/>
      <c r="Q290" s="286"/>
      <c r="S290" s="2904"/>
    </row>
    <row r="291" spans="1:19" ht="15.75" thickBot="1" x14ac:dyDescent="0.3">
      <c r="B291" s="699"/>
      <c r="S291" s="627"/>
    </row>
    <row r="292" spans="1:19" ht="22.5" customHeight="1" thickBot="1" x14ac:dyDescent="0.3">
      <c r="A292" s="1225"/>
      <c r="B292" s="243" t="s">
        <v>2338</v>
      </c>
      <c r="C292" s="243"/>
      <c r="D292" s="243"/>
      <c r="E292" s="243"/>
      <c r="F292" s="243"/>
      <c r="G292" s="243"/>
      <c r="H292" s="243"/>
      <c r="I292" s="243"/>
      <c r="J292" s="243"/>
      <c r="K292" s="243"/>
      <c r="L292" s="244"/>
      <c r="M292" s="244"/>
      <c r="N292" s="244"/>
      <c r="O292" s="3265" t="s">
        <v>1641</v>
      </c>
      <c r="P292" s="3265"/>
      <c r="Q292" s="3265"/>
      <c r="S292" s="628" t="s">
        <v>1537</v>
      </c>
    </row>
    <row r="293" spans="1:19" ht="9.75" customHeight="1" thickBot="1" x14ac:dyDescent="0.3">
      <c r="S293" s="629"/>
    </row>
    <row r="294" spans="1:19" ht="8.25" customHeight="1" x14ac:dyDescent="0.25">
      <c r="B294" s="247"/>
      <c r="C294" s="248"/>
      <c r="D294" s="248"/>
      <c r="E294" s="249"/>
      <c r="F294" s="250"/>
      <c r="G294" s="250"/>
      <c r="H294" s="250"/>
      <c r="I294" s="250"/>
      <c r="J294" s="250"/>
      <c r="K294" s="250"/>
      <c r="L294" s="250"/>
      <c r="M294" s="250"/>
      <c r="N294" s="250"/>
      <c r="O294" s="250"/>
      <c r="P294" s="250"/>
      <c r="Q294" s="251"/>
      <c r="S294" s="2900"/>
    </row>
    <row r="295" spans="1:19" ht="18" customHeight="1" x14ac:dyDescent="0.25">
      <c r="B295" s="252"/>
      <c r="C295" s="253" t="s">
        <v>80</v>
      </c>
      <c r="D295" s="253"/>
      <c r="E295" s="254"/>
      <c r="F295" s="166"/>
      <c r="G295" s="166"/>
      <c r="H295" s="166"/>
      <c r="I295" s="166"/>
      <c r="J295" s="166"/>
      <c r="K295" s="166"/>
      <c r="L295" s="166"/>
      <c r="M295" s="166"/>
      <c r="N295" s="255" t="s">
        <v>59</v>
      </c>
      <c r="O295" s="359" t="str">
        <f>IF(OR(ISBLANK(H302))=FALSE,"Complété","À compléter")</f>
        <v>À compléter</v>
      </c>
      <c r="P295" s="166"/>
      <c r="Q295" s="256"/>
      <c r="S295" s="2899"/>
    </row>
    <row r="296" spans="1:19" ht="8.25" customHeight="1" x14ac:dyDescent="0.25">
      <c r="B296" s="257"/>
      <c r="C296" s="258"/>
      <c r="D296" s="258"/>
      <c r="E296" s="258"/>
      <c r="F296" s="166"/>
      <c r="G296" s="166"/>
      <c r="H296" s="166"/>
      <c r="I296" s="166"/>
      <c r="J296" s="166"/>
      <c r="K296" s="166"/>
      <c r="L296" s="166"/>
      <c r="M296" s="166"/>
      <c r="N296" s="166"/>
      <c r="O296" s="166"/>
      <c r="P296" s="166"/>
      <c r="Q296" s="256"/>
      <c r="S296" s="2899"/>
    </row>
    <row r="297" spans="1:19" ht="17.25" customHeight="1" x14ac:dyDescent="0.25">
      <c r="B297" s="257"/>
      <c r="C297" s="3020" t="s">
        <v>1590</v>
      </c>
      <c r="D297" s="3020"/>
      <c r="E297" s="3020"/>
      <c r="F297" s="3020"/>
      <c r="G297" s="3020"/>
      <c r="H297" s="3020"/>
      <c r="I297" s="3020"/>
      <c r="J297" s="3020"/>
      <c r="K297" s="3020"/>
      <c r="L297" s="3020"/>
      <c r="M297" s="3020"/>
      <c r="N297" s="166"/>
      <c r="O297" s="166"/>
      <c r="P297" s="166"/>
      <c r="Q297" s="256"/>
      <c r="S297" s="2899"/>
    </row>
    <row r="298" spans="1:19" ht="15" customHeight="1" x14ac:dyDescent="0.25">
      <c r="B298" s="257"/>
      <c r="C298" s="258"/>
      <c r="D298" s="258"/>
      <c r="E298" s="258"/>
      <c r="F298" s="166"/>
      <c r="G298" s="166"/>
      <c r="H298" s="166"/>
      <c r="I298" s="166"/>
      <c r="J298" s="166"/>
      <c r="K298" s="166"/>
      <c r="L298" s="166"/>
      <c r="M298" s="166"/>
      <c r="N298" s="166"/>
      <c r="O298" s="166"/>
      <c r="P298" s="166"/>
      <c r="Q298" s="256"/>
      <c r="S298" s="2899"/>
    </row>
    <row r="299" spans="1:19" ht="18.75" customHeight="1" x14ac:dyDescent="0.25">
      <c r="B299" s="259"/>
      <c r="C299" s="654" t="s">
        <v>1572</v>
      </c>
      <c r="D299" s="261"/>
      <c r="E299" s="262"/>
      <c r="F299" s="262"/>
      <c r="G299" s="262"/>
      <c r="H299" s="262"/>
      <c r="I299" s="262"/>
      <c r="J299" s="262"/>
      <c r="K299" s="262"/>
      <c r="L299" s="262"/>
      <c r="M299" s="262"/>
      <c r="N299" s="262"/>
      <c r="O299" s="262"/>
      <c r="P299" s="262"/>
      <c r="Q299" s="263"/>
      <c r="S299" s="2899"/>
    </row>
    <row r="300" spans="1:19" ht="6" customHeight="1" x14ac:dyDescent="0.25">
      <c r="B300" s="259"/>
      <c r="C300" s="379"/>
      <c r="D300" s="261"/>
      <c r="E300" s="262"/>
      <c r="F300" s="262"/>
      <c r="G300" s="262"/>
      <c r="H300" s="262"/>
      <c r="I300" s="262"/>
      <c r="J300" s="262"/>
      <c r="K300" s="262"/>
      <c r="L300" s="262"/>
      <c r="M300" s="262"/>
      <c r="N300" s="262"/>
      <c r="O300" s="262"/>
      <c r="P300" s="262"/>
      <c r="Q300" s="263"/>
      <c r="S300" s="2899"/>
    </row>
    <row r="301" spans="1:19" ht="14.25" customHeight="1" x14ac:dyDescent="0.25">
      <c r="B301" s="259"/>
      <c r="C301" s="648"/>
      <c r="D301" s="265"/>
      <c r="E301" s="266"/>
      <c r="F301" s="266"/>
      <c r="G301" s="266"/>
      <c r="H301" s="266"/>
      <c r="I301" s="266"/>
      <c r="J301" s="266"/>
      <c r="K301" s="266"/>
      <c r="L301" s="266"/>
      <c r="M301" s="266"/>
      <c r="N301" s="266"/>
      <c r="O301" s="266"/>
      <c r="P301" s="267"/>
      <c r="Q301" s="263"/>
      <c r="S301" s="2899"/>
    </row>
    <row r="302" spans="1:19" ht="15.75" customHeight="1" x14ac:dyDescent="0.25">
      <c r="B302" s="494" t="str">
        <f>IF(ISBLANK(H302)=FALSE,"","u")</f>
        <v>u</v>
      </c>
      <c r="C302" s="2929" t="s">
        <v>1603</v>
      </c>
      <c r="D302" s="2930"/>
      <c r="E302" s="2930"/>
      <c r="F302" s="2930"/>
      <c r="G302" s="2930"/>
      <c r="H302" s="2947"/>
      <c r="I302" s="2948"/>
      <c r="J302" s="2948"/>
      <c r="K302" s="2949"/>
      <c r="L302" s="2910" t="str">
        <f>IF(OR(ISBLANK(H302),H302='MENU DÉROULANT'!C94),"","Vous pouvez donc passer à la section suivante du PGA.")</f>
        <v/>
      </c>
      <c r="M302" s="2911"/>
      <c r="N302" s="2911"/>
      <c r="O302" s="2911"/>
      <c r="P302" s="272"/>
      <c r="Q302" s="263"/>
      <c r="S302" s="2899"/>
    </row>
    <row r="303" spans="1:19" ht="15.75" customHeight="1" x14ac:dyDescent="0.25">
      <c r="B303" s="494" t="s">
        <v>124</v>
      </c>
      <c r="C303" s="2929"/>
      <c r="D303" s="2930"/>
      <c r="E303" s="2930"/>
      <c r="F303" s="2930"/>
      <c r="G303" s="2930"/>
      <c r="H303" s="2950"/>
      <c r="I303" s="2951"/>
      <c r="J303" s="2951"/>
      <c r="K303" s="2952"/>
      <c r="L303" s="2912" t="str">
        <f>IF(OR(ISBLANK(H302),H302='MENU DÉROULANT'!C94),"","Notez toutefois que dans ce cas, aucun visuel n'apparaitra dans le sommaire concernant la gestion de la demande à venir.")</f>
        <v/>
      </c>
      <c r="M303" s="2912"/>
      <c r="N303" s="2912"/>
      <c r="O303" s="2912"/>
      <c r="P303" s="686"/>
      <c r="Q303" s="375"/>
      <c r="S303" s="2899"/>
    </row>
    <row r="304" spans="1:19" ht="16.5" customHeight="1" x14ac:dyDescent="0.25">
      <c r="B304" s="259"/>
      <c r="C304" s="649"/>
      <c r="D304" s="647"/>
      <c r="E304" s="85"/>
      <c r="F304" s="85"/>
      <c r="G304" s="85"/>
      <c r="H304" s="85"/>
      <c r="I304" s="85"/>
      <c r="J304" s="85"/>
      <c r="K304" s="85"/>
      <c r="L304" s="2913"/>
      <c r="M304" s="2913"/>
      <c r="N304" s="2913"/>
      <c r="O304" s="2913"/>
      <c r="P304" s="618"/>
      <c r="Q304" s="375"/>
      <c r="S304" s="2899"/>
    </row>
    <row r="305" spans="2:19" ht="31.5" customHeight="1" x14ac:dyDescent="0.25">
      <c r="B305" s="494"/>
      <c r="C305" s="385"/>
      <c r="D305" s="297"/>
      <c r="E305" s="658"/>
      <c r="F305" s="2939" t="s">
        <v>130</v>
      </c>
      <c r="G305" s="2939"/>
      <c r="H305" s="2828"/>
      <c r="I305" s="2860"/>
      <c r="J305" s="2860"/>
      <c r="K305" s="2860"/>
      <c r="L305" s="2860"/>
      <c r="M305" s="2860"/>
      <c r="N305" s="2860"/>
      <c r="O305" s="2829"/>
      <c r="P305" s="617"/>
      <c r="Q305" s="263"/>
      <c r="S305" s="2899"/>
    </row>
    <row r="306" spans="2:19" ht="15" customHeight="1" x14ac:dyDescent="0.25">
      <c r="B306" s="259"/>
      <c r="C306" s="650"/>
      <c r="D306" s="651"/>
      <c r="E306" s="312"/>
      <c r="F306" s="312"/>
      <c r="G306" s="312"/>
      <c r="H306" s="312"/>
      <c r="I306" s="312"/>
      <c r="J306" s="312"/>
      <c r="K306" s="312"/>
      <c r="L306" s="312"/>
      <c r="M306" s="652"/>
      <c r="N306" s="652"/>
      <c r="O306" s="652"/>
      <c r="P306" s="653"/>
      <c r="Q306" s="375"/>
      <c r="S306" s="2899"/>
    </row>
    <row r="307" spans="2:19" ht="18.75" customHeight="1" x14ac:dyDescent="0.25">
      <c r="B307" s="259"/>
      <c r="C307" s="261"/>
      <c r="D307" s="261"/>
      <c r="E307" s="262"/>
      <c r="F307" s="262"/>
      <c r="G307" s="262"/>
      <c r="H307" s="262"/>
      <c r="I307" s="262"/>
      <c r="J307" s="262"/>
      <c r="K307" s="262"/>
      <c r="L307" s="262"/>
      <c r="M307" s="262"/>
      <c r="N307" s="262"/>
      <c r="O307" s="262"/>
      <c r="P307" s="262"/>
      <c r="Q307" s="263"/>
      <c r="S307" s="2899"/>
    </row>
    <row r="308" spans="2:19" ht="10.5" customHeight="1" x14ac:dyDescent="0.25">
      <c r="B308" s="259"/>
      <c r="C308" s="264"/>
      <c r="D308" s="265"/>
      <c r="E308" s="266"/>
      <c r="F308" s="266"/>
      <c r="G308" s="266"/>
      <c r="H308" s="266"/>
      <c r="I308" s="266"/>
      <c r="J308" s="266"/>
      <c r="K308" s="266"/>
      <c r="L308" s="266"/>
      <c r="M308" s="266"/>
      <c r="N308" s="266"/>
      <c r="O308" s="266"/>
      <c r="P308" s="267"/>
      <c r="Q308" s="263"/>
      <c r="S308" s="2899"/>
    </row>
    <row r="309" spans="2:19" ht="21.75" customHeight="1" x14ac:dyDescent="0.25">
      <c r="B309" s="259"/>
      <c r="C309" s="657" t="s">
        <v>1835</v>
      </c>
      <c r="D309" s="321"/>
      <c r="E309" s="85"/>
      <c r="F309" s="363"/>
      <c r="G309" s="363"/>
      <c r="H309" s="615"/>
      <c r="I309" s="55"/>
      <c r="J309" s="85"/>
      <c r="K309" s="85"/>
      <c r="L309" s="85"/>
      <c r="M309" s="363"/>
      <c r="N309" s="363"/>
      <c r="O309" s="992"/>
      <c r="P309" s="617"/>
      <c r="Q309" s="263"/>
      <c r="S309" s="2899"/>
    </row>
    <row r="310" spans="2:19" ht="15.75" customHeight="1" x14ac:dyDescent="0.25">
      <c r="B310" s="259"/>
      <c r="C310" s="362"/>
      <c r="D310" s="321"/>
      <c r="E310" s="85"/>
      <c r="F310" s="85"/>
      <c r="G310" s="85"/>
      <c r="H310" s="85"/>
      <c r="I310" s="55"/>
      <c r="J310" s="85"/>
      <c r="K310" s="85"/>
      <c r="L310" s="85"/>
      <c r="M310" s="85"/>
      <c r="N310" s="85"/>
      <c r="O310" s="85"/>
      <c r="P310" s="272"/>
      <c r="Q310" s="263"/>
      <c r="S310" s="2899"/>
    </row>
    <row r="311" spans="2:19" s="72" customFormat="1" ht="21.75" customHeight="1" thickBot="1" x14ac:dyDescent="0.3">
      <c r="B311" s="259"/>
      <c r="C311" s="368"/>
      <c r="D311" s="2940" t="s">
        <v>1834</v>
      </c>
      <c r="E311" s="2940"/>
      <c r="F311" s="2936" t="s">
        <v>210</v>
      </c>
      <c r="G311" s="2937"/>
      <c r="H311" s="2938"/>
      <c r="I311" s="632" t="s">
        <v>211</v>
      </c>
      <c r="J311" s="634"/>
      <c r="K311" s="633"/>
      <c r="L311" s="633"/>
      <c r="M311" s="633"/>
      <c r="N311" s="633"/>
      <c r="O311" s="357"/>
      <c r="P311" s="272"/>
      <c r="Q311" s="263"/>
      <c r="S311" s="2899"/>
    </row>
    <row r="312" spans="2:19" ht="35.25" customHeight="1" thickTop="1" x14ac:dyDescent="0.25">
      <c r="B312" s="494" t="str">
        <f>IF(ISBLANK(F312)=FALSE,"","w")</f>
        <v>w</v>
      </c>
      <c r="C312" s="369"/>
      <c r="D312" s="2924" t="s">
        <v>193</v>
      </c>
      <c r="E312" s="2925"/>
      <c r="F312" s="2918"/>
      <c r="G312" s="2919"/>
      <c r="H312" s="2920"/>
      <c r="I312" s="2926"/>
      <c r="J312" s="2927"/>
      <c r="K312" s="2927"/>
      <c r="L312" s="2927"/>
      <c r="M312" s="2927"/>
      <c r="N312" s="2927"/>
      <c r="O312" s="2928"/>
      <c r="P312" s="272"/>
      <c r="Q312" s="263"/>
      <c r="S312" s="2899"/>
    </row>
    <row r="313" spans="2:19" ht="35.25" customHeight="1" x14ac:dyDescent="0.25">
      <c r="B313" s="494" t="str">
        <f>IF(ISBLANK(F313)=FALSE,"","w")</f>
        <v>w</v>
      </c>
      <c r="C313" s="369"/>
      <c r="D313" s="2961" t="s">
        <v>194</v>
      </c>
      <c r="E313" s="2962"/>
      <c r="F313" s="2915"/>
      <c r="G313" s="2916"/>
      <c r="H313" s="2917"/>
      <c r="I313" s="2979"/>
      <c r="J313" s="2980"/>
      <c r="K313" s="2980"/>
      <c r="L313" s="2980"/>
      <c r="M313" s="2980"/>
      <c r="N313" s="2980"/>
      <c r="O313" s="2981"/>
      <c r="P313" s="272"/>
      <c r="Q313" s="263"/>
      <c r="S313" s="2899"/>
    </row>
    <row r="314" spans="2:19" ht="35.25" customHeight="1" x14ac:dyDescent="0.25">
      <c r="B314" s="494" t="str">
        <f>IF(ISBLANK(F314)=FALSE,"","w")</f>
        <v>w</v>
      </c>
      <c r="C314" s="369"/>
      <c r="D314" s="2961" t="s">
        <v>1867</v>
      </c>
      <c r="E314" s="2962"/>
      <c r="F314" s="2915"/>
      <c r="G314" s="2916"/>
      <c r="H314" s="2917"/>
      <c r="I314" s="2979"/>
      <c r="J314" s="2980"/>
      <c r="K314" s="2980"/>
      <c r="L314" s="2980"/>
      <c r="M314" s="2980"/>
      <c r="N314" s="2980"/>
      <c r="O314" s="2981"/>
      <c r="P314" s="272"/>
      <c r="Q314" s="263"/>
      <c r="S314" s="2899"/>
    </row>
    <row r="315" spans="2:19" ht="35.25" customHeight="1" x14ac:dyDescent="0.25">
      <c r="B315" s="494" t="str">
        <f>IF(ISBLANK(F315)=FALSE,"","w")</f>
        <v>w</v>
      </c>
      <c r="C315" s="369"/>
      <c r="D315" s="2961" t="s">
        <v>189</v>
      </c>
      <c r="E315" s="2962"/>
      <c r="F315" s="2915"/>
      <c r="G315" s="2916"/>
      <c r="H315" s="2917"/>
      <c r="I315" s="2979"/>
      <c r="J315" s="2980"/>
      <c r="K315" s="2980"/>
      <c r="L315" s="2980"/>
      <c r="M315" s="2980"/>
      <c r="N315" s="2980"/>
      <c r="O315" s="2981"/>
      <c r="P315" s="272"/>
      <c r="Q315" s="263"/>
      <c r="S315" s="2899"/>
    </row>
    <row r="316" spans="2:19" ht="35.25" customHeight="1" x14ac:dyDescent="0.25">
      <c r="B316" s="494" t="str">
        <f>IF(ISBLANK(F316)=FALSE,"","w")</f>
        <v>w</v>
      </c>
      <c r="C316" s="369"/>
      <c r="D316" s="2961" t="s">
        <v>190</v>
      </c>
      <c r="E316" s="2962"/>
      <c r="F316" s="2915"/>
      <c r="G316" s="2916"/>
      <c r="H316" s="2917"/>
      <c r="I316" s="2979"/>
      <c r="J316" s="2980"/>
      <c r="K316" s="2980"/>
      <c r="L316" s="2980"/>
      <c r="M316" s="2980"/>
      <c r="N316" s="2980"/>
      <c r="O316" s="2981"/>
      <c r="P316" s="272"/>
      <c r="Q316" s="263"/>
      <c r="S316" s="2899"/>
    </row>
    <row r="317" spans="2:19" ht="35.25" customHeight="1" x14ac:dyDescent="0.25">
      <c r="B317" s="259"/>
      <c r="C317" s="369"/>
      <c r="D317" s="407" t="s">
        <v>224</v>
      </c>
      <c r="E317" s="1039"/>
      <c r="F317" s="3211"/>
      <c r="G317" s="3212"/>
      <c r="H317" s="3213"/>
      <c r="I317" s="3208"/>
      <c r="J317" s="3209"/>
      <c r="K317" s="3209"/>
      <c r="L317" s="3209"/>
      <c r="M317" s="3209"/>
      <c r="N317" s="3209"/>
      <c r="O317" s="3210"/>
      <c r="P317" s="617"/>
      <c r="Q317" s="263"/>
      <c r="S317" s="2899"/>
    </row>
    <row r="318" spans="2:19" ht="22.5" customHeight="1" x14ac:dyDescent="0.25">
      <c r="B318" s="259"/>
      <c r="C318" s="364"/>
      <c r="D318" s="365"/>
      <c r="E318" s="366"/>
      <c r="F318" s="367"/>
      <c r="G318" s="366"/>
      <c r="H318" s="615"/>
      <c r="I318" s="55"/>
      <c r="J318" s="658"/>
      <c r="K318" s="615"/>
      <c r="L318" s="658"/>
      <c r="M318" s="615"/>
      <c r="N318" s="658"/>
      <c r="O318" s="615"/>
      <c r="P318" s="617"/>
      <c r="Q318" s="263"/>
      <c r="S318" s="2899"/>
    </row>
    <row r="319" spans="2:19" ht="20.25" customHeight="1" x14ac:dyDescent="0.25">
      <c r="B319" s="259"/>
      <c r="C319" s="3041" t="s">
        <v>1600</v>
      </c>
      <c r="D319" s="3042"/>
      <c r="E319" s="3043"/>
      <c r="F319" s="3204"/>
      <c r="G319" s="3205"/>
      <c r="H319" s="3205"/>
      <c r="I319" s="3205"/>
      <c r="J319" s="3205"/>
      <c r="K319" s="3205"/>
      <c r="L319" s="3205"/>
      <c r="M319" s="3205"/>
      <c r="N319" s="3205"/>
      <c r="O319" s="3206"/>
      <c r="P319" s="617"/>
      <c r="Q319" s="263"/>
      <c r="S319" s="2899"/>
    </row>
    <row r="320" spans="2:19" ht="20.25" customHeight="1" x14ac:dyDescent="0.25">
      <c r="B320" s="259"/>
      <c r="C320" s="3041"/>
      <c r="D320" s="3042"/>
      <c r="E320" s="3043"/>
      <c r="F320" s="2957"/>
      <c r="G320" s="3207"/>
      <c r="H320" s="3207"/>
      <c r="I320" s="3207"/>
      <c r="J320" s="3207"/>
      <c r="K320" s="3207"/>
      <c r="L320" s="3207"/>
      <c r="M320" s="3207"/>
      <c r="N320" s="3207"/>
      <c r="O320" s="2958"/>
      <c r="P320" s="617"/>
      <c r="Q320" s="263"/>
      <c r="S320" s="2899"/>
    </row>
    <row r="321" spans="1:19" ht="17.25" customHeight="1" x14ac:dyDescent="0.25">
      <c r="B321" s="259"/>
      <c r="C321" s="677"/>
      <c r="D321" s="321"/>
      <c r="E321" s="658"/>
      <c r="F321" s="615"/>
      <c r="G321" s="658"/>
      <c r="H321" s="615"/>
      <c r="I321" s="55"/>
      <c r="J321" s="658"/>
      <c r="K321" s="615"/>
      <c r="L321" s="658"/>
      <c r="M321" s="615"/>
      <c r="N321" s="658"/>
      <c r="O321" s="615"/>
      <c r="P321" s="617"/>
      <c r="Q321" s="263"/>
      <c r="S321" s="2899"/>
    </row>
    <row r="322" spans="1:19" ht="18" customHeight="1" x14ac:dyDescent="0.25">
      <c r="B322" s="259"/>
      <c r="C322" s="773" t="s">
        <v>1601</v>
      </c>
      <c r="D322" s="774"/>
      <c r="E322" s="775"/>
      <c r="F322" s="776"/>
      <c r="G322" s="776"/>
      <c r="H322" s="777"/>
      <c r="I322" s="778"/>
      <c r="J322" s="775"/>
      <c r="K322" s="775"/>
      <c r="L322" s="775"/>
      <c r="M322" s="776"/>
      <c r="N322" s="776"/>
      <c r="O322" s="779"/>
      <c r="P322" s="780"/>
      <c r="Q322" s="263"/>
      <c r="S322" s="2899"/>
    </row>
    <row r="323" spans="1:19" ht="18" customHeight="1" x14ac:dyDescent="0.25">
      <c r="B323" s="259"/>
      <c r="C323" s="781" t="s">
        <v>1617</v>
      </c>
      <c r="D323" s="774"/>
      <c r="E323" s="775"/>
      <c r="F323" s="776"/>
      <c r="G323" s="776"/>
      <c r="H323" s="777"/>
      <c r="I323" s="778"/>
      <c r="J323" s="627"/>
      <c r="K323" s="782"/>
      <c r="L323" s="775"/>
      <c r="M323" s="776"/>
      <c r="N323" s="776"/>
      <c r="O323" s="779"/>
      <c r="P323" s="780"/>
      <c r="Q323" s="263"/>
      <c r="S323" s="2899"/>
    </row>
    <row r="324" spans="1:19" ht="16.5" customHeight="1" x14ac:dyDescent="0.25">
      <c r="B324" s="259"/>
      <c r="C324" s="783"/>
      <c r="D324" s="774"/>
      <c r="E324" s="775"/>
      <c r="F324" s="776"/>
      <c r="G324" s="776"/>
      <c r="H324" s="777"/>
      <c r="I324" s="778"/>
      <c r="J324" s="784" t="s">
        <v>1618</v>
      </c>
      <c r="K324" s="627"/>
      <c r="L324" s="775"/>
      <c r="M324" s="776"/>
      <c r="N324" s="776"/>
      <c r="O324" s="779"/>
      <c r="P324" s="780"/>
      <c r="Q324" s="263"/>
      <c r="S324" s="2899"/>
    </row>
    <row r="325" spans="1:19" ht="18" customHeight="1" x14ac:dyDescent="0.25">
      <c r="B325" s="259"/>
      <c r="C325" s="614"/>
      <c r="D325" s="283"/>
      <c r="E325" s="312"/>
      <c r="F325" s="312"/>
      <c r="G325" s="312"/>
      <c r="H325" s="312"/>
      <c r="I325" s="277"/>
      <c r="J325" s="312"/>
      <c r="K325" s="312"/>
      <c r="L325" s="312"/>
      <c r="M325" s="312"/>
      <c r="N325" s="312"/>
      <c r="O325" s="312"/>
      <c r="P325" s="313"/>
      <c r="Q325" s="263"/>
      <c r="S325" s="2899"/>
    </row>
    <row r="326" spans="1:19" ht="18.75" customHeight="1" x14ac:dyDescent="0.25">
      <c r="B326" s="259"/>
      <c r="C326" s="372"/>
      <c r="D326" s="262"/>
      <c r="E326" s="262"/>
      <c r="F326" s="262"/>
      <c r="G326" s="262"/>
      <c r="H326" s="262"/>
      <c r="I326" s="262"/>
      <c r="J326" s="262"/>
      <c r="K326" s="262"/>
      <c r="L326" s="262"/>
      <c r="M326" s="262"/>
      <c r="N326" s="262"/>
      <c r="O326" s="262"/>
      <c r="P326" s="262"/>
      <c r="Q326" s="263"/>
      <c r="S326" s="2899"/>
    </row>
    <row r="327" spans="1:19" ht="17.25" customHeight="1" x14ac:dyDescent="0.25">
      <c r="B327" s="259"/>
      <c r="C327" s="681" t="s">
        <v>188</v>
      </c>
      <c r="D327" s="262"/>
      <c r="E327" s="262"/>
      <c r="F327" s="262"/>
      <c r="G327" s="262"/>
      <c r="H327" s="262"/>
      <c r="I327" s="262"/>
      <c r="J327" s="262"/>
      <c r="K327" s="262"/>
      <c r="L327" s="262"/>
      <c r="M327" s="262"/>
      <c r="N327" s="262"/>
      <c r="O327" s="262"/>
      <c r="P327" s="262"/>
      <c r="Q327" s="263"/>
      <c r="S327" s="2899"/>
    </row>
    <row r="328" spans="1:19" ht="18" customHeight="1" x14ac:dyDescent="0.25">
      <c r="B328" s="259"/>
      <c r="C328" s="166"/>
      <c r="D328" s="663"/>
      <c r="E328" s="2921" t="s">
        <v>185</v>
      </c>
      <c r="F328" s="2921"/>
      <c r="G328" s="2921"/>
      <c r="H328" s="2922"/>
      <c r="I328" s="359" t="str">
        <f>IF((OR(ISBLANK(F622),ISBLANK(K622))=FALSE),"Complété","À compléter")</f>
        <v>À compléter</v>
      </c>
      <c r="J328" s="2923" t="s">
        <v>186</v>
      </c>
      <c r="K328" s="2923"/>
      <c r="L328" s="2923"/>
      <c r="M328" s="2923"/>
      <c r="N328" s="2923"/>
      <c r="O328" s="2923"/>
      <c r="P328" s="2923"/>
      <c r="Q328" s="263"/>
      <c r="S328" s="2899"/>
    </row>
    <row r="329" spans="1:19" ht="6.75" customHeight="1" x14ac:dyDescent="0.25">
      <c r="B329" s="259"/>
      <c r="C329" s="262"/>
      <c r="D329" s="663"/>
      <c r="E329" s="663"/>
      <c r="F329" s="663"/>
      <c r="G329" s="663"/>
      <c r="H329" s="663"/>
      <c r="I329" s="262"/>
      <c r="J329" s="361"/>
      <c r="K329" s="361"/>
      <c r="L329" s="361"/>
      <c r="M329" s="361"/>
      <c r="N329" s="361"/>
      <c r="O329" s="361"/>
      <c r="P329" s="361"/>
      <c r="Q329" s="263"/>
      <c r="S329" s="2899"/>
    </row>
    <row r="330" spans="1:19" ht="18" customHeight="1" x14ac:dyDescent="0.25">
      <c r="B330" s="259"/>
      <c r="C330" s="262"/>
      <c r="D330" s="2921" t="s">
        <v>1594</v>
      </c>
      <c r="E330" s="2921"/>
      <c r="F330" s="2921"/>
      <c r="G330" s="2921"/>
      <c r="H330" s="2922"/>
      <c r="I330" s="359" t="str">
        <f>IF((OR(ISBLANK(F682),ISBLANK(K682))=FALSE),"Complété","À compléter")</f>
        <v>À compléter</v>
      </c>
      <c r="J330" s="2923" t="s">
        <v>187</v>
      </c>
      <c r="K330" s="2923"/>
      <c r="L330" s="2923"/>
      <c r="M330" s="2923"/>
      <c r="N330" s="2923"/>
      <c r="O330" s="2923"/>
      <c r="P330" s="2923"/>
      <c r="Q330" s="263"/>
      <c r="S330" s="2899"/>
    </row>
    <row r="331" spans="1:19" ht="17.25" customHeight="1" x14ac:dyDescent="0.25">
      <c r="B331" s="259"/>
      <c r="C331" s="262"/>
      <c r="D331" s="467"/>
      <c r="E331" s="467"/>
      <c r="F331" s="467"/>
      <c r="G331" s="467"/>
      <c r="H331" s="467"/>
      <c r="I331" s="469"/>
      <c r="J331" s="662"/>
      <c r="K331" s="662"/>
      <c r="L331" s="662"/>
      <c r="M331" s="662"/>
      <c r="N331" s="662"/>
      <c r="O331" s="662"/>
      <c r="P331" s="662"/>
      <c r="Q331" s="263"/>
      <c r="S331" s="2899"/>
    </row>
    <row r="332" spans="1:19" ht="18" customHeight="1" x14ac:dyDescent="0.25">
      <c r="B332" s="259"/>
      <c r="C332" s="680" t="s">
        <v>1573</v>
      </c>
      <c r="D332" s="467"/>
      <c r="E332" s="467"/>
      <c r="F332" s="467"/>
      <c r="G332" s="166"/>
      <c r="H332" s="2914" t="s">
        <v>1506</v>
      </c>
      <c r="I332" s="2914"/>
      <c r="J332" s="166"/>
      <c r="K332" s="166"/>
      <c r="L332" s="662"/>
      <c r="M332" s="662"/>
      <c r="N332" s="662"/>
      <c r="O332" s="662"/>
      <c r="P332" s="662"/>
      <c r="Q332" s="263"/>
      <c r="S332" s="2899"/>
    </row>
    <row r="333" spans="1:19" ht="17.25" customHeight="1" thickBot="1" x14ac:dyDescent="0.3">
      <c r="B333" s="284"/>
      <c r="C333" s="285"/>
      <c r="D333" s="285"/>
      <c r="E333" s="285"/>
      <c r="F333" s="285"/>
      <c r="G333" s="285"/>
      <c r="H333" s="285"/>
      <c r="I333" s="285"/>
      <c r="J333" s="285"/>
      <c r="K333" s="285"/>
      <c r="L333" s="285"/>
      <c r="M333" s="285"/>
      <c r="N333" s="285"/>
      <c r="O333" s="285"/>
      <c r="P333" s="285"/>
      <c r="Q333" s="286"/>
      <c r="S333" s="2904"/>
    </row>
    <row r="334" spans="1:19" ht="9.75" customHeight="1" thickBot="1" x14ac:dyDescent="0.3">
      <c r="B334" s="699"/>
      <c r="S334" s="627"/>
    </row>
    <row r="335" spans="1:19" ht="22.5" customHeight="1" thickBot="1" x14ac:dyDescent="0.3">
      <c r="A335" s="1225"/>
      <c r="B335" s="243" t="s">
        <v>81</v>
      </c>
      <c r="C335" s="243"/>
      <c r="D335" s="243"/>
      <c r="E335" s="243"/>
      <c r="F335" s="243"/>
      <c r="G335" s="243"/>
      <c r="H335" s="243"/>
      <c r="I335" s="243"/>
      <c r="J335" s="243"/>
      <c r="K335" s="243"/>
      <c r="L335" s="244"/>
      <c r="M335" s="244"/>
      <c r="N335" s="244"/>
      <c r="O335" s="3265" t="s">
        <v>1641</v>
      </c>
      <c r="P335" s="3265"/>
      <c r="Q335" s="3265"/>
      <c r="S335" s="628" t="s">
        <v>1537</v>
      </c>
    </row>
    <row r="336" spans="1:19" ht="9.75" customHeight="1" thickBot="1" x14ac:dyDescent="0.3">
      <c r="S336" s="629"/>
    </row>
    <row r="337" spans="2:19" ht="8.25" customHeight="1" x14ac:dyDescent="0.25">
      <c r="B337" s="247"/>
      <c r="C337" s="248"/>
      <c r="D337" s="248"/>
      <c r="E337" s="249"/>
      <c r="F337" s="250"/>
      <c r="G337" s="250"/>
      <c r="H337" s="250"/>
      <c r="I337" s="250"/>
      <c r="J337" s="250"/>
      <c r="K337" s="250"/>
      <c r="L337" s="250"/>
      <c r="M337" s="250"/>
      <c r="N337" s="250"/>
      <c r="O337" s="250"/>
      <c r="P337" s="250"/>
      <c r="Q337" s="251"/>
      <c r="S337" s="2900"/>
    </row>
    <row r="338" spans="2:19" ht="18" customHeight="1" x14ac:dyDescent="0.25">
      <c r="B338" s="290"/>
      <c r="C338" s="253" t="s">
        <v>82</v>
      </c>
      <c r="D338" s="253"/>
      <c r="E338" s="291"/>
      <c r="F338" s="509"/>
      <c r="G338" s="448"/>
      <c r="H338" s="449"/>
      <c r="I338" s="293"/>
      <c r="J338" s="293"/>
      <c r="K338" s="293"/>
      <c r="L338" s="293"/>
      <c r="M338" s="293"/>
      <c r="N338" s="255" t="s">
        <v>59</v>
      </c>
      <c r="O338" s="359" t="str">
        <f>IF((COUNTBLANK(B348:B366)=ROWS(B348:B366)),"Complété","À compléter")</f>
        <v>À compléter</v>
      </c>
      <c r="P338" s="293"/>
      <c r="Q338" s="294"/>
      <c r="S338" s="2899"/>
    </row>
    <row r="339" spans="2:19" ht="6.75" customHeight="1" x14ac:dyDescent="0.25">
      <c r="B339" s="290"/>
      <c r="C339" s="292"/>
      <c r="D339" s="292"/>
      <c r="E339" s="292"/>
      <c r="F339" s="293"/>
      <c r="G339" s="293"/>
      <c r="H339" s="293"/>
      <c r="I339" s="293"/>
      <c r="J339" s="293"/>
      <c r="K339" s="293"/>
      <c r="L339" s="293"/>
      <c r="M339" s="293"/>
      <c r="N339" s="293"/>
      <c r="O339" s="293"/>
      <c r="P339" s="293"/>
      <c r="Q339" s="294"/>
      <c r="S339" s="2899"/>
    </row>
    <row r="340" spans="2:19" ht="17.25" customHeight="1" x14ac:dyDescent="0.25">
      <c r="B340" s="257"/>
      <c r="C340" s="3020" t="s">
        <v>1590</v>
      </c>
      <c r="D340" s="3020"/>
      <c r="E340" s="3020"/>
      <c r="F340" s="3020"/>
      <c r="G340" s="3020"/>
      <c r="H340" s="3020"/>
      <c r="I340" s="3020"/>
      <c r="J340" s="3020"/>
      <c r="K340" s="3020"/>
      <c r="L340" s="3020"/>
      <c r="M340" s="3020"/>
      <c r="N340" s="166"/>
      <c r="O340" s="166"/>
      <c r="P340" s="166"/>
      <c r="Q340" s="256"/>
      <c r="S340" s="2899"/>
    </row>
    <row r="341" spans="2:19" ht="15" customHeight="1" x14ac:dyDescent="0.25">
      <c r="B341" s="257"/>
      <c r="C341" s="258"/>
      <c r="D341" s="258"/>
      <c r="E341" s="258"/>
      <c r="F341" s="166"/>
      <c r="G341" s="166"/>
      <c r="H341" s="166"/>
      <c r="I341" s="166"/>
      <c r="J341" s="166"/>
      <c r="K341" s="166"/>
      <c r="L341" s="166"/>
      <c r="M341" s="166"/>
      <c r="N341" s="166"/>
      <c r="O341" s="166"/>
      <c r="P341" s="166"/>
      <c r="Q341" s="256"/>
      <c r="S341" s="2899"/>
    </row>
    <row r="342" spans="2:19" ht="19.5" customHeight="1" x14ac:dyDescent="0.25">
      <c r="B342" s="259"/>
      <c r="C342" s="987" t="s">
        <v>1688</v>
      </c>
      <c r="D342" s="261"/>
      <c r="E342" s="166"/>
      <c r="F342" s="166"/>
      <c r="G342" s="654" t="s">
        <v>1616</v>
      </c>
      <c r="H342" s="625"/>
      <c r="I342" s="166"/>
      <c r="J342" s="262"/>
      <c r="K342" s="262"/>
      <c r="L342" s="262"/>
      <c r="M342" s="262"/>
      <c r="N342" s="262"/>
      <c r="O342" s="262"/>
      <c r="P342" s="262"/>
      <c r="Q342" s="263"/>
      <c r="S342" s="2899"/>
    </row>
    <row r="343" spans="2:19" ht="23.25" customHeight="1" x14ac:dyDescent="0.25">
      <c r="B343" s="259"/>
      <c r="C343" s="485"/>
      <c r="D343" s="261"/>
      <c r="E343" s="625"/>
      <c r="F343" s="166"/>
      <c r="G343" s="624" t="s">
        <v>1615</v>
      </c>
      <c r="H343" s="166"/>
      <c r="I343" s="166"/>
      <c r="J343" s="262"/>
      <c r="K343" s="262"/>
      <c r="L343" s="262"/>
      <c r="M343" s="262"/>
      <c r="N343" s="262"/>
      <c r="O343" s="262"/>
      <c r="P343" s="262"/>
      <c r="Q343" s="263"/>
      <c r="S343" s="2899"/>
    </row>
    <row r="344" spans="2:19" ht="16.5" customHeight="1" x14ac:dyDescent="0.25">
      <c r="B344" s="259"/>
      <c r="C344" s="347" t="s">
        <v>1551</v>
      </c>
      <c r="D344" s="322"/>
      <c r="E344" s="262"/>
      <c r="F344" s="262"/>
      <c r="G344" s="262"/>
      <c r="H344" s="262"/>
      <c r="I344" s="262"/>
      <c r="J344" s="262"/>
      <c r="K344" s="262"/>
      <c r="L344" s="262"/>
      <c r="M344" s="262"/>
      <c r="N344" s="262"/>
      <c r="O344" s="262"/>
      <c r="P344" s="262"/>
      <c r="Q344" s="263"/>
      <c r="S344" s="2899"/>
    </row>
    <row r="345" spans="2:19" ht="18.75" customHeight="1" x14ac:dyDescent="0.25">
      <c r="B345" s="259"/>
      <c r="C345" s="626" t="s">
        <v>1605</v>
      </c>
      <c r="D345" s="322"/>
      <c r="E345" s="262"/>
      <c r="F345" s="262"/>
      <c r="G345" s="262"/>
      <c r="H345" s="262"/>
      <c r="I345" s="262"/>
      <c r="J345" s="262"/>
      <c r="K345" s="262"/>
      <c r="L345" s="262"/>
      <c r="M345" s="262"/>
      <c r="N345" s="262"/>
      <c r="O345" s="262"/>
      <c r="P345" s="262"/>
      <c r="Q345" s="263"/>
      <c r="S345" s="2899"/>
    </row>
    <row r="346" spans="2:19" ht="17.25" customHeight="1" x14ac:dyDescent="0.25">
      <c r="B346" s="259"/>
      <c r="C346" s="988" t="s">
        <v>1777</v>
      </c>
      <c r="D346" s="261"/>
      <c r="E346" s="262"/>
      <c r="F346" s="262"/>
      <c r="G346" s="262"/>
      <c r="H346" s="262"/>
      <c r="I346" s="262"/>
      <c r="J346" s="262"/>
      <c r="K346" s="262"/>
      <c r="L346" s="262"/>
      <c r="M346" s="262"/>
      <c r="N346" s="262"/>
      <c r="O346" s="262"/>
      <c r="P346" s="262"/>
      <c r="Q346" s="263"/>
      <c r="S346" s="2899"/>
    </row>
    <row r="347" spans="2:19" ht="20.25" customHeight="1" x14ac:dyDescent="0.25">
      <c r="B347" s="259"/>
      <c r="C347" s="261"/>
      <c r="D347" s="261"/>
      <c r="E347" s="262"/>
      <c r="F347" s="262"/>
      <c r="G347" s="262"/>
      <c r="H347" s="262"/>
      <c r="I347" s="262"/>
      <c r="J347" s="262"/>
      <c r="K347" s="262"/>
      <c r="L347" s="262"/>
      <c r="M347" s="262"/>
      <c r="N347" s="262"/>
      <c r="O347" s="262"/>
      <c r="P347" s="262"/>
      <c r="Q347" s="263"/>
      <c r="S347" s="2899"/>
    </row>
    <row r="348" spans="2:19" ht="6" customHeight="1" x14ac:dyDescent="0.25">
      <c r="B348" s="259"/>
      <c r="C348" s="264"/>
      <c r="D348" s="265"/>
      <c r="E348" s="266"/>
      <c r="F348" s="266"/>
      <c r="G348" s="266"/>
      <c r="H348" s="266"/>
      <c r="I348" s="266"/>
      <c r="J348" s="266"/>
      <c r="K348" s="266"/>
      <c r="L348" s="266"/>
      <c r="M348" s="266"/>
      <c r="N348" s="266"/>
      <c r="O348" s="266"/>
      <c r="P348" s="267"/>
      <c r="Q348" s="263"/>
      <c r="S348" s="2899"/>
    </row>
    <row r="349" spans="2:19" ht="10.5" customHeight="1" x14ac:dyDescent="0.25">
      <c r="B349" s="259"/>
      <c r="C349" s="3215" t="s">
        <v>68</v>
      </c>
      <c r="D349" s="321"/>
      <c r="E349" s="85"/>
      <c r="F349" s="2939"/>
      <c r="G349" s="2939"/>
      <c r="H349" s="501"/>
      <c r="I349" s="55"/>
      <c r="J349" s="85"/>
      <c r="K349" s="85"/>
      <c r="L349" s="85"/>
      <c r="M349" s="2939"/>
      <c r="N349" s="2939"/>
      <c r="O349" s="501"/>
      <c r="P349" s="617"/>
      <c r="Q349" s="263"/>
      <c r="S349" s="2899"/>
    </row>
    <row r="350" spans="2:19" ht="8.25" customHeight="1" x14ac:dyDescent="0.25">
      <c r="B350" s="259"/>
      <c r="C350" s="3215"/>
      <c r="D350" s="321"/>
      <c r="E350" s="85"/>
      <c r="F350" s="85"/>
      <c r="G350" s="85"/>
      <c r="H350" s="85"/>
      <c r="I350" s="55"/>
      <c r="J350" s="85"/>
      <c r="K350" s="85"/>
      <c r="L350" s="85"/>
      <c r="M350" s="85"/>
      <c r="N350" s="85"/>
      <c r="O350" s="85"/>
      <c r="P350" s="272"/>
      <c r="Q350" s="263"/>
      <c r="S350" s="2899"/>
    </row>
    <row r="351" spans="2:19" ht="17.25" customHeight="1" x14ac:dyDescent="0.25">
      <c r="B351" s="494" t="str">
        <f>IF(OR(ISBLANK(F351),ISBLANK(H351),ISBLANK(K351),ISBLANK(M351),ISBLANK(O351))=FALSE,"","u")</f>
        <v>u</v>
      </c>
      <c r="C351" s="3215"/>
      <c r="D351" s="321"/>
      <c r="E351" s="658" t="s">
        <v>1</v>
      </c>
      <c r="F351" s="575"/>
      <c r="G351" s="658" t="s">
        <v>2</v>
      </c>
      <c r="H351" s="575"/>
      <c r="I351" s="55"/>
      <c r="J351" s="658" t="s">
        <v>5</v>
      </c>
      <c r="K351" s="575"/>
      <c r="L351" s="658" t="s">
        <v>3</v>
      </c>
      <c r="M351" s="575"/>
      <c r="N351" s="658" t="s">
        <v>4</v>
      </c>
      <c r="O351" s="575"/>
      <c r="P351" s="617"/>
      <c r="Q351" s="263"/>
      <c r="S351" s="2899"/>
    </row>
    <row r="352" spans="2:19" s="325" customFormat="1" ht="11.25" customHeight="1" x14ac:dyDescent="0.2">
      <c r="B352" s="259"/>
      <c r="C352" s="3215"/>
      <c r="D352" s="675"/>
      <c r="E352" s="658"/>
      <c r="F352" s="615"/>
      <c r="G352" s="658"/>
      <c r="H352" s="615"/>
      <c r="I352" s="324"/>
      <c r="J352" s="658"/>
      <c r="K352" s="615"/>
      <c r="L352" s="658"/>
      <c r="M352" s="615"/>
      <c r="N352" s="658"/>
      <c r="O352" s="615"/>
      <c r="P352" s="617"/>
      <c r="Q352" s="263"/>
      <c r="S352" s="2899"/>
    </row>
    <row r="353" spans="2:19" s="325" customFormat="1" ht="17.25" customHeight="1" x14ac:dyDescent="0.2">
      <c r="B353" s="259"/>
      <c r="C353" s="323"/>
      <c r="D353" s="675"/>
      <c r="E353" s="658"/>
      <c r="F353" s="2939" t="s">
        <v>1466</v>
      </c>
      <c r="G353" s="2985"/>
      <c r="H353" s="728">
        <f>F351+H351</f>
        <v>0</v>
      </c>
      <c r="I353" s="324"/>
      <c r="J353" s="658"/>
      <c r="K353" s="615"/>
      <c r="L353" s="658"/>
      <c r="M353" s="2939" t="s">
        <v>1467</v>
      </c>
      <c r="N353" s="2985"/>
      <c r="O353" s="728">
        <f>K351+M351+O351</f>
        <v>0</v>
      </c>
      <c r="P353" s="617"/>
      <c r="Q353" s="263"/>
      <c r="S353" s="2899"/>
    </row>
    <row r="354" spans="2:19" s="325" customFormat="1" ht="11.25" customHeight="1" x14ac:dyDescent="0.2">
      <c r="B354" s="259"/>
      <c r="C354" s="323"/>
      <c r="D354" s="675"/>
      <c r="E354" s="658"/>
      <c r="F354" s="615"/>
      <c r="G354" s="658"/>
      <c r="H354" s="615"/>
      <c r="I354" s="324"/>
      <c r="J354" s="658"/>
      <c r="K354" s="615"/>
      <c r="L354" s="658"/>
      <c r="M354" s="615"/>
      <c r="N354" s="658"/>
      <c r="O354" s="615"/>
      <c r="P354" s="617"/>
      <c r="Q354" s="263"/>
      <c r="S354" s="2899"/>
    </row>
    <row r="355" spans="2:19" s="325" customFormat="1" ht="32.25" customHeight="1" x14ac:dyDescent="0.2">
      <c r="B355" s="259"/>
      <c r="C355" s="323"/>
      <c r="D355" s="675"/>
      <c r="E355" s="326" t="s">
        <v>131</v>
      </c>
      <c r="F355" s="727">
        <f>F351+H351+K351+M351+O351</f>
        <v>0</v>
      </c>
      <c r="G355" s="3248" t="s">
        <v>130</v>
      </c>
      <c r="H355" s="2939"/>
      <c r="I355" s="2828"/>
      <c r="J355" s="2860"/>
      <c r="K355" s="2860"/>
      <c r="L355" s="2860"/>
      <c r="M355" s="2860"/>
      <c r="N355" s="2860"/>
      <c r="O355" s="2829"/>
      <c r="P355" s="617"/>
      <c r="Q355" s="263"/>
      <c r="S355" s="2899"/>
    </row>
    <row r="356" spans="2:19" s="325" customFormat="1" ht="10.5" customHeight="1" x14ac:dyDescent="0.2">
      <c r="B356" s="259"/>
      <c r="C356" s="678"/>
      <c r="D356" s="679"/>
      <c r="E356" s="278"/>
      <c r="F356" s="289"/>
      <c r="G356" s="278"/>
      <c r="H356" s="289"/>
      <c r="I356" s="327"/>
      <c r="J356" s="278"/>
      <c r="K356" s="289"/>
      <c r="L356" s="278"/>
      <c r="M356" s="289"/>
      <c r="N356" s="278"/>
      <c r="O356" s="289"/>
      <c r="P356" s="279"/>
      <c r="Q356" s="263"/>
      <c r="S356" s="2899"/>
    </row>
    <row r="357" spans="2:19" ht="14.25" customHeight="1" x14ac:dyDescent="0.25">
      <c r="B357" s="259"/>
      <c r="C357" s="262"/>
      <c r="D357" s="262"/>
      <c r="E357" s="262"/>
      <c r="F357" s="262"/>
      <c r="G357" s="262"/>
      <c r="H357" s="262"/>
      <c r="I357" s="262"/>
      <c r="J357" s="262"/>
      <c r="K357" s="262"/>
      <c r="L357" s="262"/>
      <c r="M357" s="262"/>
      <c r="N357" s="262"/>
      <c r="O357" s="262"/>
      <c r="P357" s="262"/>
      <c r="Q357" s="263"/>
      <c r="S357" s="2899"/>
    </row>
    <row r="358" spans="2:19" ht="6" customHeight="1" x14ac:dyDescent="0.25">
      <c r="B358" s="259"/>
      <c r="C358" s="264"/>
      <c r="D358" s="265"/>
      <c r="E358" s="266"/>
      <c r="F358" s="266"/>
      <c r="G358" s="266"/>
      <c r="H358" s="266"/>
      <c r="I358" s="266"/>
      <c r="J358" s="266"/>
      <c r="K358" s="266"/>
      <c r="L358" s="266"/>
      <c r="M358" s="266"/>
      <c r="N358" s="266"/>
      <c r="O358" s="266"/>
      <c r="P358" s="267"/>
      <c r="Q358" s="263"/>
      <c r="S358" s="2899"/>
    </row>
    <row r="359" spans="2:19" ht="10.5" customHeight="1" x14ac:dyDescent="0.25">
      <c r="B359" s="259"/>
      <c r="C359" s="3215" t="s">
        <v>78</v>
      </c>
      <c r="D359" s="321"/>
      <c r="E359" s="85"/>
      <c r="F359" s="2939"/>
      <c r="G359" s="2939"/>
      <c r="H359" s="501"/>
      <c r="I359" s="55"/>
      <c r="J359" s="85"/>
      <c r="K359" s="85"/>
      <c r="L359" s="85"/>
      <c r="M359" s="2939"/>
      <c r="N359" s="2939"/>
      <c r="O359" s="501"/>
      <c r="P359" s="617"/>
      <c r="Q359" s="263"/>
      <c r="S359" s="2899"/>
    </row>
    <row r="360" spans="2:19" ht="8.25" customHeight="1" x14ac:dyDescent="0.25">
      <c r="B360" s="259"/>
      <c r="C360" s="3215"/>
      <c r="D360" s="321"/>
      <c r="E360" s="85"/>
      <c r="F360" s="85"/>
      <c r="G360" s="85"/>
      <c r="H360" s="85"/>
      <c r="I360" s="55"/>
      <c r="J360" s="85"/>
      <c r="K360" s="85"/>
      <c r="L360" s="85"/>
      <c r="M360" s="85"/>
      <c r="N360" s="85"/>
      <c r="O360" s="85"/>
      <c r="P360" s="272"/>
      <c r="Q360" s="263"/>
      <c r="S360" s="2899"/>
    </row>
    <row r="361" spans="2:19" ht="17.25" customHeight="1" x14ac:dyDescent="0.25">
      <c r="B361" s="494" t="str">
        <f>IF(OR(ISBLANK(F361),ISBLANK(H361),ISBLANK(K361),ISBLANK(M361),ISBLANK(O361))=FALSE,"","u")</f>
        <v>u</v>
      </c>
      <c r="C361" s="3215"/>
      <c r="D361" s="321"/>
      <c r="E361" s="658" t="s">
        <v>1</v>
      </c>
      <c r="F361" s="575"/>
      <c r="G361" s="658" t="s">
        <v>2</v>
      </c>
      <c r="H361" s="575"/>
      <c r="I361" s="55"/>
      <c r="J361" s="658" t="s">
        <v>5</v>
      </c>
      <c r="K361" s="575"/>
      <c r="L361" s="658" t="s">
        <v>3</v>
      </c>
      <c r="M361" s="575"/>
      <c r="N361" s="658" t="s">
        <v>4</v>
      </c>
      <c r="O361" s="575"/>
      <c r="P361" s="617"/>
      <c r="Q361" s="263"/>
      <c r="S361" s="2899"/>
    </row>
    <row r="362" spans="2:19" s="325" customFormat="1" ht="11.25" customHeight="1" x14ac:dyDescent="0.2">
      <c r="B362" s="259"/>
      <c r="C362" s="323"/>
      <c r="D362" s="675"/>
      <c r="E362" s="658"/>
      <c r="F362" s="615"/>
      <c r="G362" s="658"/>
      <c r="H362" s="615"/>
      <c r="I362" s="324"/>
      <c r="J362" s="658"/>
      <c r="K362" s="615"/>
      <c r="L362" s="658"/>
      <c r="M362" s="615"/>
      <c r="N362" s="658"/>
      <c r="O362" s="615"/>
      <c r="P362" s="617"/>
      <c r="Q362" s="263"/>
      <c r="S362" s="2899"/>
    </row>
    <row r="363" spans="2:19" s="325" customFormat="1" ht="17.25" customHeight="1" x14ac:dyDescent="0.2">
      <c r="B363" s="259"/>
      <c r="C363" s="323"/>
      <c r="D363" s="675"/>
      <c r="E363" s="658"/>
      <c r="F363" s="2939" t="s">
        <v>1466</v>
      </c>
      <c r="G363" s="2985"/>
      <c r="H363" s="728">
        <f>F361+H361</f>
        <v>0</v>
      </c>
      <c r="I363" s="324"/>
      <c r="J363" s="658"/>
      <c r="K363" s="615"/>
      <c r="L363" s="658"/>
      <c r="M363" s="2939" t="s">
        <v>1467</v>
      </c>
      <c r="N363" s="2985"/>
      <c r="O363" s="728">
        <f>K361+M361+O361</f>
        <v>0</v>
      </c>
      <c r="P363" s="617"/>
      <c r="Q363" s="263"/>
      <c r="S363" s="2899"/>
    </row>
    <row r="364" spans="2:19" s="325" customFormat="1" ht="11.25" customHeight="1" x14ac:dyDescent="0.2">
      <c r="B364" s="259"/>
      <c r="C364" s="323"/>
      <c r="D364" s="675"/>
      <c r="E364" s="658"/>
      <c r="F364" s="615"/>
      <c r="G364" s="658"/>
      <c r="H364" s="615"/>
      <c r="I364" s="324"/>
      <c r="J364" s="658"/>
      <c r="K364" s="615"/>
      <c r="L364" s="658"/>
      <c r="M364" s="615"/>
      <c r="N364" s="658"/>
      <c r="O364" s="615"/>
      <c r="P364" s="617"/>
      <c r="Q364" s="263"/>
      <c r="S364" s="2899"/>
    </row>
    <row r="365" spans="2:19" s="325" customFormat="1" ht="32.25" customHeight="1" x14ac:dyDescent="0.2">
      <c r="B365" s="259"/>
      <c r="C365" s="323"/>
      <c r="D365" s="675"/>
      <c r="E365" s="326" t="s">
        <v>131</v>
      </c>
      <c r="F365" s="727">
        <f>F361+H361+K361+M361+O361</f>
        <v>0</v>
      </c>
      <c r="G365" s="3248" t="s">
        <v>130</v>
      </c>
      <c r="H365" s="2939"/>
      <c r="I365" s="2828"/>
      <c r="J365" s="2860"/>
      <c r="K365" s="2860"/>
      <c r="L365" s="2860"/>
      <c r="M365" s="2860"/>
      <c r="N365" s="2860"/>
      <c r="O365" s="2829"/>
      <c r="P365" s="617"/>
      <c r="Q365" s="263"/>
      <c r="S365" s="2899"/>
    </row>
    <row r="366" spans="2:19" ht="12" customHeight="1" x14ac:dyDescent="0.25">
      <c r="B366" s="259"/>
      <c r="C366" s="282"/>
      <c r="D366" s="283"/>
      <c r="E366" s="278"/>
      <c r="F366" s="289"/>
      <c r="G366" s="278"/>
      <c r="H366" s="289"/>
      <c r="I366" s="277"/>
      <c r="J366" s="278"/>
      <c r="K366" s="289"/>
      <c r="L366" s="278"/>
      <c r="M366" s="289"/>
      <c r="N366" s="278"/>
      <c r="O366" s="289"/>
      <c r="P366" s="279"/>
      <c r="Q366" s="263"/>
      <c r="S366" s="2899"/>
    </row>
    <row r="367" spans="2:19" ht="15.75" customHeight="1" x14ac:dyDescent="0.25">
      <c r="B367" s="259"/>
      <c r="C367" s="372"/>
      <c r="D367" s="262"/>
      <c r="E367" s="262"/>
      <c r="F367" s="262"/>
      <c r="G367" s="262"/>
      <c r="H367" s="262"/>
      <c r="I367" s="262"/>
      <c r="J367" s="262"/>
      <c r="K367" s="262"/>
      <c r="L367" s="262"/>
      <c r="M367" s="262"/>
      <c r="N367" s="262"/>
      <c r="O367" s="262"/>
      <c r="P367" s="262"/>
      <c r="Q367" s="263"/>
      <c r="S367" s="2899"/>
    </row>
    <row r="368" spans="2:19" ht="17.25" customHeight="1" x14ac:dyDescent="0.25">
      <c r="B368" s="259"/>
      <c r="C368" s="485" t="s">
        <v>188</v>
      </c>
      <c r="D368" s="262"/>
      <c r="E368" s="262"/>
      <c r="F368" s="262"/>
      <c r="G368" s="262"/>
      <c r="H368" s="262"/>
      <c r="I368" s="262"/>
      <c r="J368" s="262"/>
      <c r="K368" s="262"/>
      <c r="L368" s="262"/>
      <c r="M368" s="262"/>
      <c r="N368" s="262"/>
      <c r="O368" s="262"/>
      <c r="P368" s="262"/>
      <c r="Q368" s="263"/>
      <c r="S368" s="2899"/>
    </row>
    <row r="369" spans="1:19" ht="18" customHeight="1" x14ac:dyDescent="0.25">
      <c r="B369" s="259"/>
      <c r="C369" s="166"/>
      <c r="D369" s="663"/>
      <c r="E369" s="2921" t="s">
        <v>185</v>
      </c>
      <c r="F369" s="2921"/>
      <c r="G369" s="2921"/>
      <c r="H369" s="2922"/>
      <c r="I369" s="359" t="str">
        <f>IF((OR(ISBLANK(F625),ISBLANK(F630),ISBLANK(K625),ISBLANK(K630))=FALSE),"Complété","À compléter")</f>
        <v>À compléter</v>
      </c>
      <c r="J369" s="2923" t="s">
        <v>186</v>
      </c>
      <c r="K369" s="2923"/>
      <c r="L369" s="2923"/>
      <c r="M369" s="2923"/>
      <c r="N369" s="2923"/>
      <c r="O369" s="2923"/>
      <c r="P369" s="2923"/>
      <c r="Q369" s="263"/>
      <c r="S369" s="2899"/>
    </row>
    <row r="370" spans="1:19" ht="6.75" customHeight="1" x14ac:dyDescent="0.25">
      <c r="B370" s="259"/>
      <c r="C370" s="262"/>
      <c r="D370" s="663"/>
      <c r="E370" s="663"/>
      <c r="F370" s="663"/>
      <c r="G370" s="663"/>
      <c r="H370" s="663"/>
      <c r="I370" s="262"/>
      <c r="J370" s="361"/>
      <c r="K370" s="361"/>
      <c r="L370" s="361"/>
      <c r="M370" s="361"/>
      <c r="N370" s="361"/>
      <c r="O370" s="361"/>
      <c r="P370" s="361"/>
      <c r="Q370" s="263"/>
      <c r="S370" s="2899"/>
    </row>
    <row r="371" spans="1:19" ht="18" customHeight="1" x14ac:dyDescent="0.25">
      <c r="B371" s="259"/>
      <c r="C371" s="262"/>
      <c r="D371" s="2921" t="s">
        <v>1594</v>
      </c>
      <c r="E371" s="2921"/>
      <c r="F371" s="2921"/>
      <c r="G371" s="2921"/>
      <c r="H371" s="2922"/>
      <c r="I371" s="359" t="str">
        <f>IF((OR(ISBLANK(F685),ISBLANK(F689),ISBLANK(K685),ISBLANK(K689))=FALSE),"Complété","À compléter")</f>
        <v>À compléter</v>
      </c>
      <c r="J371" s="2923" t="s">
        <v>187</v>
      </c>
      <c r="K371" s="2923"/>
      <c r="L371" s="2923"/>
      <c r="M371" s="2923"/>
      <c r="N371" s="2923"/>
      <c r="O371" s="2923"/>
      <c r="P371" s="2923"/>
      <c r="Q371" s="263"/>
      <c r="S371" s="2899"/>
    </row>
    <row r="372" spans="1:19" ht="22.5" customHeight="1" thickBot="1" x14ac:dyDescent="0.3">
      <c r="B372" s="304"/>
      <c r="C372" s="305"/>
      <c r="D372" s="305"/>
      <c r="E372" s="305"/>
      <c r="F372" s="305"/>
      <c r="G372" s="305"/>
      <c r="H372" s="305"/>
      <c r="I372" s="305"/>
      <c r="J372" s="305"/>
      <c r="K372" s="305"/>
      <c r="L372" s="305"/>
      <c r="M372" s="305"/>
      <c r="N372" s="305"/>
      <c r="O372" s="305"/>
      <c r="P372" s="305"/>
      <c r="Q372" s="306"/>
      <c r="S372" s="2899"/>
    </row>
    <row r="373" spans="1:19" ht="9.75" customHeight="1" thickBot="1" x14ac:dyDescent="0.3">
      <c r="B373" s="699"/>
      <c r="S373" s="2899"/>
    </row>
    <row r="374" spans="1:19" ht="8.25" customHeight="1" x14ac:dyDescent="0.25">
      <c r="B374" s="247"/>
      <c r="C374" s="248"/>
      <c r="D374" s="248"/>
      <c r="E374" s="249"/>
      <c r="F374" s="250"/>
      <c r="G374" s="250"/>
      <c r="H374" s="250"/>
      <c r="I374" s="250"/>
      <c r="J374" s="250"/>
      <c r="K374" s="250"/>
      <c r="L374" s="250"/>
      <c r="M374" s="250"/>
      <c r="N374" s="250"/>
      <c r="O374" s="250"/>
      <c r="P374" s="250"/>
      <c r="Q374" s="251"/>
      <c r="S374" s="2899"/>
    </row>
    <row r="375" spans="1:19" ht="18" customHeight="1" x14ac:dyDescent="0.25">
      <c r="A375" s="1225"/>
      <c r="B375" s="290"/>
      <c r="C375" s="253" t="s">
        <v>83</v>
      </c>
      <c r="D375" s="253"/>
      <c r="E375" s="292"/>
      <c r="F375" s="307"/>
      <c r="G375" s="166"/>
      <c r="H375" s="307"/>
      <c r="I375" s="166"/>
      <c r="J375" s="307"/>
      <c r="K375" s="293"/>
      <c r="L375" s="293"/>
      <c r="M375" s="293"/>
      <c r="N375" s="255" t="s">
        <v>59</v>
      </c>
      <c r="O375" s="359" t="str">
        <f>IF(COUNTIF(B407:B494,"u")=0,"Complété","À compléter")</f>
        <v>À compléter</v>
      </c>
      <c r="P375" s="293"/>
      <c r="Q375" s="294"/>
      <c r="S375" s="2899"/>
    </row>
    <row r="376" spans="1:19" ht="6.75" customHeight="1" x14ac:dyDescent="0.25">
      <c r="B376" s="290"/>
      <c r="C376" s="292"/>
      <c r="D376" s="292"/>
      <c r="E376" s="292"/>
      <c r="F376" s="293"/>
      <c r="G376" s="293"/>
      <c r="H376" s="293"/>
      <c r="I376" s="293"/>
      <c r="J376" s="293"/>
      <c r="K376" s="293"/>
      <c r="L376" s="293"/>
      <c r="M376" s="293"/>
      <c r="N376" s="293"/>
      <c r="O376" s="293"/>
      <c r="P376" s="293"/>
      <c r="Q376" s="294"/>
      <c r="S376" s="2899"/>
    </row>
    <row r="377" spans="1:19" ht="17.25" customHeight="1" x14ac:dyDescent="0.25">
      <c r="B377" s="257"/>
      <c r="C377" s="3020" t="s">
        <v>1590</v>
      </c>
      <c r="D377" s="3020"/>
      <c r="E377" s="3020"/>
      <c r="F377" s="3020"/>
      <c r="G377" s="3020"/>
      <c r="H377" s="3020"/>
      <c r="I377" s="3020"/>
      <c r="J377" s="3020"/>
      <c r="K377" s="3020"/>
      <c r="L377" s="3020"/>
      <c r="M377" s="3020"/>
      <c r="N377" s="166"/>
      <c r="O377" s="166"/>
      <c r="P377" s="166"/>
      <c r="Q377" s="256"/>
      <c r="S377" s="2899"/>
    </row>
    <row r="378" spans="1:19" ht="11.25" customHeight="1" x14ac:dyDescent="0.25">
      <c r="B378" s="257"/>
      <c r="C378" s="258"/>
      <c r="D378" s="258"/>
      <c r="E378" s="258"/>
      <c r="F378" s="166"/>
      <c r="G378" s="166"/>
      <c r="H378" s="166"/>
      <c r="I378" s="166"/>
      <c r="J378" s="166"/>
      <c r="K378" s="166"/>
      <c r="L378" s="166"/>
      <c r="M378" s="166"/>
      <c r="N378" s="166"/>
      <c r="O378" s="166"/>
      <c r="P378" s="166"/>
      <c r="Q378" s="256"/>
      <c r="S378" s="2899"/>
    </row>
    <row r="379" spans="1:19" ht="17.25" customHeight="1" x14ac:dyDescent="0.25">
      <c r="B379" s="259"/>
      <c r="C379" s="619" t="s">
        <v>1557</v>
      </c>
      <c r="D379" s="261"/>
      <c r="E379" s="262"/>
      <c r="F379" s="262"/>
      <c r="G379" s="166"/>
      <c r="H379" s="166" t="s">
        <v>1614</v>
      </c>
      <c r="I379" s="262"/>
      <c r="J379" s="262"/>
      <c r="K379" s="262"/>
      <c r="L379" s="262"/>
      <c r="M379" s="262"/>
      <c r="N379" s="262"/>
      <c r="O379" s="262"/>
      <c r="P379" s="262"/>
      <c r="Q379" s="263"/>
      <c r="S379" s="2899"/>
    </row>
    <row r="380" spans="1:19" ht="25.5" customHeight="1" x14ac:dyDescent="0.25">
      <c r="B380" s="259"/>
      <c r="C380" s="485"/>
      <c r="D380" s="261"/>
      <c r="E380" s="262"/>
      <c r="F380" s="262"/>
      <c r="G380" s="166"/>
      <c r="H380" s="486" t="s">
        <v>1615</v>
      </c>
      <c r="I380" s="262"/>
      <c r="J380" s="262"/>
      <c r="K380" s="262"/>
      <c r="L380" s="262"/>
      <c r="M380" s="262"/>
      <c r="N380" s="262"/>
      <c r="O380" s="262"/>
      <c r="P380" s="262"/>
      <c r="Q380" s="263"/>
      <c r="S380" s="2899"/>
    </row>
    <row r="381" spans="1:19" ht="16.5" customHeight="1" x14ac:dyDescent="0.25">
      <c r="B381" s="259"/>
      <c r="C381" s="610" t="s">
        <v>1553</v>
      </c>
      <c r="D381" s="322"/>
      <c r="E381" s="262"/>
      <c r="F381" s="262"/>
      <c r="G381" s="262"/>
      <c r="H381" s="262"/>
      <c r="I381" s="262"/>
      <c r="J381" s="262"/>
      <c r="K381" s="262"/>
      <c r="L381" s="262"/>
      <c r="M381" s="262"/>
      <c r="N381" s="262"/>
      <c r="O381" s="262"/>
      <c r="P381" s="262"/>
      <c r="Q381" s="263"/>
      <c r="S381" s="2899"/>
    </row>
    <row r="382" spans="1:19" ht="18.75" customHeight="1" x14ac:dyDescent="0.25">
      <c r="B382" s="259"/>
      <c r="C382" s="611" t="s">
        <v>1613</v>
      </c>
      <c r="D382" s="322"/>
      <c r="E382" s="262"/>
      <c r="F382" s="262"/>
      <c r="G382" s="262"/>
      <c r="H382" s="262"/>
      <c r="I382" s="262"/>
      <c r="J382" s="262"/>
      <c r="K382" s="262"/>
      <c r="L382" s="262"/>
      <c r="M382" s="262"/>
      <c r="N382" s="262"/>
      <c r="O382" s="262"/>
      <c r="P382" s="262"/>
      <c r="Q382" s="263"/>
      <c r="S382" s="2899"/>
    </row>
    <row r="383" spans="1:19" ht="17.25" customHeight="1" x14ac:dyDescent="0.25">
      <c r="B383" s="259"/>
      <c r="C383" s="491"/>
      <c r="D383" s="322"/>
      <c r="E383" s="262"/>
      <c r="F383" s="262"/>
      <c r="G383" s="262"/>
      <c r="H383" s="262"/>
      <c r="I383" s="262"/>
      <c r="J383" s="262"/>
      <c r="K383" s="262"/>
      <c r="L383" s="262"/>
      <c r="M383" s="262"/>
      <c r="N383" s="262"/>
      <c r="O383" s="262"/>
      <c r="P383" s="262"/>
      <c r="Q383" s="263"/>
      <c r="S383" s="2899"/>
    </row>
    <row r="384" spans="1:19" ht="12" customHeight="1" x14ac:dyDescent="0.25">
      <c r="B384" s="259"/>
      <c r="C384" s="328"/>
      <c r="D384" s="329"/>
      <c r="E384" s="266"/>
      <c r="F384" s="266"/>
      <c r="G384" s="266"/>
      <c r="H384" s="266"/>
      <c r="I384" s="266"/>
      <c r="J384" s="266"/>
      <c r="K384" s="266"/>
      <c r="L384" s="266"/>
      <c r="M384" s="266"/>
      <c r="N384" s="266"/>
      <c r="O384" s="266"/>
      <c r="P384" s="267"/>
      <c r="Q384" s="263"/>
      <c r="S384" s="2899"/>
    </row>
    <row r="385" spans="2:19" ht="20.25" customHeight="1" x14ac:dyDescent="0.25">
      <c r="B385" s="259"/>
      <c r="C385" s="613" t="s">
        <v>1554</v>
      </c>
      <c r="D385" s="496"/>
      <c r="E385" s="496"/>
      <c r="F385" s="496"/>
      <c r="G385" s="496"/>
      <c r="H385" s="496"/>
      <c r="I385" s="496"/>
      <c r="J385" s="496"/>
      <c r="K385" s="496"/>
      <c r="L385" s="496"/>
      <c r="M385" s="496"/>
      <c r="N385" s="496"/>
      <c r="O385" s="496"/>
      <c r="P385" s="272"/>
      <c r="Q385" s="263"/>
      <c r="S385" s="2899"/>
    </row>
    <row r="386" spans="2:19" ht="20.25" customHeight="1" x14ac:dyDescent="0.25">
      <c r="B386" s="259"/>
      <c r="C386" s="498" t="s">
        <v>1438</v>
      </c>
      <c r="D386" s="612" t="s">
        <v>1868</v>
      </c>
      <c r="E386" s="496"/>
      <c r="F386" s="496"/>
      <c r="G386" s="496"/>
      <c r="H386" s="496"/>
      <c r="I386" s="496"/>
      <c r="J386" s="496"/>
      <c r="K386" s="496"/>
      <c r="L386" s="496"/>
      <c r="M386" s="496"/>
      <c r="N386" s="496"/>
      <c r="O386" s="496"/>
      <c r="P386" s="272"/>
      <c r="Q386" s="263"/>
      <c r="S386" s="2899"/>
    </row>
    <row r="387" spans="2:19" ht="20.25" customHeight="1" x14ac:dyDescent="0.25">
      <c r="B387" s="259"/>
      <c r="C387" s="498" t="s">
        <v>1438</v>
      </c>
      <c r="D387" s="612" t="s">
        <v>1579</v>
      </c>
      <c r="E387" s="496"/>
      <c r="F387" s="496"/>
      <c r="G387" s="496"/>
      <c r="H387" s="496"/>
      <c r="I387" s="496"/>
      <c r="J387" s="496"/>
      <c r="K387" s="496"/>
      <c r="L387" s="496"/>
      <c r="M387" s="496"/>
      <c r="N387" s="496"/>
      <c r="O387" s="496"/>
      <c r="P387" s="272"/>
      <c r="Q387" s="263"/>
      <c r="S387" s="2899"/>
    </row>
    <row r="388" spans="2:19" ht="15.75" customHeight="1" x14ac:dyDescent="0.25">
      <c r="B388" s="259"/>
      <c r="C388" s="498"/>
      <c r="D388" s="497" t="s">
        <v>1580</v>
      </c>
      <c r="E388" s="496"/>
      <c r="F388" s="496"/>
      <c r="G388" s="496"/>
      <c r="H388" s="496"/>
      <c r="I388" s="496"/>
      <c r="J388" s="496"/>
      <c r="K388" s="496"/>
      <c r="L388" s="496"/>
      <c r="M388" s="496"/>
      <c r="N388" s="496"/>
      <c r="O388" s="496"/>
      <c r="P388" s="272"/>
      <c r="Q388" s="263"/>
      <c r="S388" s="2899"/>
    </row>
    <row r="389" spans="2:19" ht="7.5" customHeight="1" x14ac:dyDescent="0.25">
      <c r="B389" s="259"/>
      <c r="C389" s="498"/>
      <c r="D389" s="497"/>
      <c r="E389" s="496"/>
      <c r="F389" s="496"/>
      <c r="G389" s="496"/>
      <c r="H389" s="496"/>
      <c r="I389" s="496"/>
      <c r="J389" s="496"/>
      <c r="K389" s="496"/>
      <c r="L389" s="496"/>
      <c r="M389" s="496"/>
      <c r="N389" s="496"/>
      <c r="O389" s="496"/>
      <c r="P389" s="272"/>
      <c r="Q389" s="263"/>
      <c r="S389" s="2899"/>
    </row>
    <row r="390" spans="2:19" ht="15" customHeight="1" x14ac:dyDescent="0.25">
      <c r="B390" s="259"/>
      <c r="C390" s="104"/>
      <c r="D390" s="684" t="s">
        <v>1581</v>
      </c>
      <c r="E390" s="496"/>
      <c r="F390" s="496"/>
      <c r="G390" s="496"/>
      <c r="H390" s="496"/>
      <c r="I390" s="496"/>
      <c r="J390" s="496"/>
      <c r="K390" s="496"/>
      <c r="L390" s="496"/>
      <c r="M390" s="496"/>
      <c r="N390" s="496"/>
      <c r="O390" s="496"/>
      <c r="P390" s="272"/>
      <c r="Q390" s="263"/>
      <c r="S390" s="2899"/>
    </row>
    <row r="391" spans="2:19" ht="20.25" customHeight="1" x14ac:dyDescent="0.25">
      <c r="B391" s="259"/>
      <c r="C391" s="104"/>
      <c r="D391" s="684" t="s">
        <v>1582</v>
      </c>
      <c r="E391" s="496"/>
      <c r="F391" s="496"/>
      <c r="G391" s="496"/>
      <c r="H391" s="496"/>
      <c r="I391" s="496"/>
      <c r="J391" s="496"/>
      <c r="K391" s="496"/>
      <c r="L391" s="496"/>
      <c r="M391" s="496"/>
      <c r="N391" s="496"/>
      <c r="O391" s="496"/>
      <c r="P391" s="272"/>
      <c r="Q391" s="263"/>
      <c r="S391" s="2899"/>
    </row>
    <row r="392" spans="2:19" ht="18.75" customHeight="1" x14ac:dyDescent="0.3">
      <c r="B392" s="259"/>
      <c r="C392" s="104"/>
      <c r="D392" s="682" t="s">
        <v>1438</v>
      </c>
      <c r="E392" s="631" t="s">
        <v>1555</v>
      </c>
      <c r="F392" s="496"/>
      <c r="G392" s="496"/>
      <c r="H392" s="496"/>
      <c r="I392" s="496"/>
      <c r="J392" s="496"/>
      <c r="K392" s="496"/>
      <c r="L392" s="496"/>
      <c r="M392" s="496"/>
      <c r="N392" s="496"/>
      <c r="O392" s="496"/>
      <c r="P392" s="272"/>
      <c r="Q392" s="263"/>
      <c r="S392" s="2899"/>
    </row>
    <row r="393" spans="2:19" ht="18.75" customHeight="1" x14ac:dyDescent="0.25">
      <c r="B393" s="259"/>
      <c r="C393" s="104"/>
      <c r="D393" s="683"/>
      <c r="E393" s="497" t="s">
        <v>1610</v>
      </c>
      <c r="F393" s="496"/>
      <c r="G393" s="496"/>
      <c r="H393" s="496"/>
      <c r="I393" s="496"/>
      <c r="J393" s="496"/>
      <c r="K393" s="496"/>
      <c r="L393" s="496"/>
      <c r="M393" s="496"/>
      <c r="N393" s="496"/>
      <c r="O393" s="496"/>
      <c r="P393" s="272"/>
      <c r="Q393" s="263"/>
      <c r="S393" s="2899"/>
    </row>
    <row r="394" spans="2:19" ht="18.75" customHeight="1" x14ac:dyDescent="0.25">
      <c r="B394" s="259"/>
      <c r="C394" s="104"/>
      <c r="D394" s="683" t="s">
        <v>1438</v>
      </c>
      <c r="E394" s="499" t="s">
        <v>1611</v>
      </c>
      <c r="F394" s="496"/>
      <c r="G394" s="496"/>
      <c r="H394" s="496"/>
      <c r="I394" s="496"/>
      <c r="J394" s="496"/>
      <c r="K394" s="496"/>
      <c r="L394" s="496"/>
      <c r="M394" s="496"/>
      <c r="N394" s="496"/>
      <c r="O394" s="496"/>
      <c r="P394" s="272"/>
      <c r="Q394" s="263"/>
      <c r="S394" s="2899"/>
    </row>
    <row r="395" spans="2:19" ht="18.75" customHeight="1" x14ac:dyDescent="0.25">
      <c r="B395" s="259"/>
      <c r="C395" s="104"/>
      <c r="D395" s="683" t="s">
        <v>1438</v>
      </c>
      <c r="E395" s="499" t="s">
        <v>1612</v>
      </c>
      <c r="F395" s="496"/>
      <c r="G395" s="496"/>
      <c r="H395" s="496"/>
      <c r="I395" s="496"/>
      <c r="J395" s="496"/>
      <c r="K395" s="496"/>
      <c r="L395" s="496"/>
      <c r="M395" s="496"/>
      <c r="N395" s="496"/>
      <c r="O395" s="496"/>
      <c r="P395" s="272"/>
      <c r="Q395" s="263"/>
      <c r="S395" s="2899"/>
    </row>
    <row r="396" spans="2:19" ht="9" customHeight="1" x14ac:dyDescent="0.25">
      <c r="B396" s="259"/>
      <c r="C396" s="104"/>
      <c r="D396" s="683"/>
      <c r="E396" s="499"/>
      <c r="F396" s="496"/>
      <c r="G396" s="496"/>
      <c r="H396" s="496"/>
      <c r="I396" s="496"/>
      <c r="J396" s="496"/>
      <c r="K396" s="496"/>
      <c r="L396" s="496"/>
      <c r="M396" s="496"/>
      <c r="N396" s="496"/>
      <c r="O396" s="496"/>
      <c r="P396" s="272"/>
      <c r="Q396" s="263"/>
      <c r="S396" s="2899"/>
    </row>
    <row r="397" spans="2:19" ht="20.25" customHeight="1" x14ac:dyDescent="0.25">
      <c r="B397" s="259"/>
      <c r="C397" s="613" t="s">
        <v>1606</v>
      </c>
      <c r="D397" s="496"/>
      <c r="E397" s="496"/>
      <c r="F397" s="496"/>
      <c r="G397" s="496"/>
      <c r="H397" s="496"/>
      <c r="I397" s="496"/>
      <c r="J397" s="496"/>
      <c r="K397" s="496"/>
      <c r="L397" s="496"/>
      <c r="M397" s="496"/>
      <c r="N397" s="496"/>
      <c r="O397" s="496"/>
      <c r="P397" s="272"/>
      <c r="Q397" s="263"/>
      <c r="S397" s="2899"/>
    </row>
    <row r="398" spans="2:19" ht="20.25" customHeight="1" x14ac:dyDescent="0.25">
      <c r="B398" s="259"/>
      <c r="C398" s="498" t="s">
        <v>1438</v>
      </c>
      <c r="D398" s="612" t="s">
        <v>1869</v>
      </c>
      <c r="E398" s="496"/>
      <c r="F398" s="496"/>
      <c r="G398" s="496"/>
      <c r="H398" s="496"/>
      <c r="I398" s="496"/>
      <c r="J398" s="496"/>
      <c r="K398" s="496"/>
      <c r="L398" s="496"/>
      <c r="M398" s="496"/>
      <c r="N398" s="496"/>
      <c r="O398" s="496"/>
      <c r="P398" s="272"/>
      <c r="Q398" s="263"/>
      <c r="S398" s="2899"/>
    </row>
    <row r="399" spans="2:19" ht="6" customHeight="1" x14ac:dyDescent="0.25">
      <c r="B399" s="259"/>
      <c r="C399" s="498"/>
      <c r="D399" s="499"/>
      <c r="E399" s="496"/>
      <c r="F399" s="496"/>
      <c r="G399" s="496"/>
      <c r="H399" s="496"/>
      <c r="I399" s="496"/>
      <c r="J399" s="496"/>
      <c r="K399" s="496"/>
      <c r="L399" s="496"/>
      <c r="M399" s="496"/>
      <c r="N399" s="496"/>
      <c r="O399" s="496"/>
      <c r="P399" s="272"/>
      <c r="Q399" s="263"/>
      <c r="S399" s="2899"/>
    </row>
    <row r="400" spans="2:19" ht="26.25" customHeight="1" x14ac:dyDescent="0.25">
      <c r="B400" s="259"/>
      <c r="C400" s="932" t="s">
        <v>1607</v>
      </c>
      <c r="D400" s="497"/>
      <c r="E400" s="496"/>
      <c r="F400" s="496"/>
      <c r="G400" s="496"/>
      <c r="H400" s="496"/>
      <c r="I400" s="496"/>
      <c r="J400" s="496"/>
      <c r="K400" s="496"/>
      <c r="L400" s="496"/>
      <c r="M400" s="496"/>
      <c r="N400" s="496"/>
      <c r="O400" s="496"/>
      <c r="P400" s="272"/>
      <c r="Q400" s="263"/>
      <c r="S400" s="2899"/>
    </row>
    <row r="401" spans="2:34" ht="21.75" customHeight="1" x14ac:dyDescent="0.25">
      <c r="B401" s="259"/>
      <c r="C401" s="773" t="s">
        <v>1870</v>
      </c>
      <c r="D401" s="497"/>
      <c r="E401" s="496"/>
      <c r="F401" s="496"/>
      <c r="G401" s="496"/>
      <c r="H401" s="496"/>
      <c r="I401" s="496"/>
      <c r="J401" s="496"/>
      <c r="K401" s="496"/>
      <c r="L401" s="496"/>
      <c r="M401" s="496"/>
      <c r="N401" s="496"/>
      <c r="O401" s="496"/>
      <c r="P401" s="272"/>
      <c r="Q401" s="263"/>
      <c r="S401" s="2899"/>
    </row>
    <row r="402" spans="2:34" ht="16.5" customHeight="1" x14ac:dyDescent="0.25">
      <c r="B402" s="259"/>
      <c r="C402" s="933" t="s">
        <v>1689</v>
      </c>
      <c r="D402" s="497"/>
      <c r="E402" s="496"/>
      <c r="F402" s="496"/>
      <c r="G402" s="496"/>
      <c r="H402" s="496"/>
      <c r="I402" s="496"/>
      <c r="J402" s="496"/>
      <c r="K402" s="496"/>
      <c r="L402" s="496"/>
      <c r="M402" s="496"/>
      <c r="N402" s="496"/>
      <c r="O402" s="496"/>
      <c r="P402" s="272"/>
      <c r="Q402" s="263"/>
      <c r="S402" s="2899"/>
    </row>
    <row r="403" spans="2:34" ht="23.25" customHeight="1" x14ac:dyDescent="0.25">
      <c r="B403" s="259"/>
      <c r="C403" s="934" t="s">
        <v>1583</v>
      </c>
      <c r="D403" s="497"/>
      <c r="E403" s="496"/>
      <c r="F403" s="496"/>
      <c r="G403" s="496"/>
      <c r="H403" s="496"/>
      <c r="I403" s="496"/>
      <c r="J403" s="496"/>
      <c r="K403" s="496"/>
      <c r="L403" s="496"/>
      <c r="M403" s="496"/>
      <c r="N403" s="496"/>
      <c r="O403" s="496"/>
      <c r="P403" s="272"/>
      <c r="Q403" s="263"/>
      <c r="S403" s="2899"/>
    </row>
    <row r="404" spans="2:34" ht="13.5" customHeight="1" x14ac:dyDescent="0.25">
      <c r="B404" s="259"/>
      <c r="C404" s="330"/>
      <c r="D404" s="331"/>
      <c r="E404" s="312"/>
      <c r="F404" s="312"/>
      <c r="G404" s="312"/>
      <c r="H404" s="312"/>
      <c r="I404" s="312"/>
      <c r="J404" s="312"/>
      <c r="K404" s="312"/>
      <c r="L404" s="312"/>
      <c r="M404" s="312"/>
      <c r="N404" s="312"/>
      <c r="O404" s="312"/>
      <c r="P404" s="313"/>
      <c r="Q404" s="263"/>
      <c r="S404" s="2899"/>
    </row>
    <row r="405" spans="2:34" ht="16.5" customHeight="1" x14ac:dyDescent="0.25">
      <c r="B405" s="259"/>
      <c r="C405" s="3214"/>
      <c r="D405" s="3214"/>
      <c r="E405" s="3214"/>
      <c r="F405" s="3214"/>
      <c r="G405" s="3214"/>
      <c r="H405" s="421"/>
      <c r="I405" s="421"/>
      <c r="J405" s="3036"/>
      <c r="K405" s="3036"/>
      <c r="L405" s="421"/>
      <c r="M405" s="3036"/>
      <c r="N405" s="3036"/>
      <c r="O405" s="421"/>
      <c r="P405" s="421"/>
      <c r="Q405" s="263"/>
      <c r="S405" s="2899"/>
    </row>
    <row r="406" spans="2:34" ht="18" customHeight="1" thickBot="1" x14ac:dyDescent="0.3">
      <c r="B406" s="259"/>
      <c r="C406" s="261"/>
      <c r="D406" s="261"/>
      <c r="E406" s="262"/>
      <c r="F406" s="262"/>
      <c r="G406" s="262"/>
      <c r="H406" s="262"/>
      <c r="I406" s="262"/>
      <c r="J406" s="262"/>
      <c r="K406" s="262"/>
      <c r="L406" s="262"/>
      <c r="M406" s="262"/>
      <c r="N406" s="262"/>
      <c r="O406" s="262"/>
      <c r="P406" s="262"/>
      <c r="Q406" s="263"/>
      <c r="S406" s="2899"/>
    </row>
    <row r="407" spans="2:34" ht="30" customHeight="1" x14ac:dyDescent="0.25">
      <c r="B407" s="259"/>
      <c r="C407" s="3192" t="s">
        <v>84</v>
      </c>
      <c r="D407" s="3193"/>
      <c r="E407" s="3193"/>
      <c r="F407" s="3194"/>
      <c r="G407" s="1091"/>
      <c r="H407" s="1091"/>
      <c r="I407" s="1091"/>
      <c r="J407" s="1091"/>
      <c r="K407" s="1091"/>
      <c r="L407" s="1091"/>
      <c r="M407" s="1091"/>
      <c r="N407" s="1091"/>
      <c r="O407" s="1092"/>
      <c r="P407" s="1091"/>
      <c r="Q407" s="263"/>
      <c r="S407" s="2899"/>
    </row>
    <row r="408" spans="2:34" ht="3" customHeight="1" thickBot="1" x14ac:dyDescent="0.3">
      <c r="B408" s="259"/>
      <c r="C408" s="1094"/>
      <c r="D408" s="1093"/>
      <c r="E408" s="1093"/>
      <c r="F408" s="1095"/>
      <c r="G408" s="305"/>
      <c r="H408" s="305"/>
      <c r="I408" s="305"/>
      <c r="J408" s="305"/>
      <c r="K408" s="305"/>
      <c r="L408" s="305"/>
      <c r="M408" s="305"/>
      <c r="N408" s="305"/>
      <c r="O408" s="305"/>
      <c r="P408" s="305"/>
      <c r="Q408" s="263"/>
      <c r="S408" s="2899"/>
    </row>
    <row r="409" spans="2:34" ht="19.5" customHeight="1" x14ac:dyDescent="0.25">
      <c r="B409" s="259"/>
      <c r="C409" s="3032" t="s">
        <v>253</v>
      </c>
      <c r="D409" s="3033"/>
      <c r="E409" s="3169" t="s">
        <v>1541</v>
      </c>
      <c r="F409" s="3170"/>
      <c r="G409" s="3170"/>
      <c r="H409" s="3170"/>
      <c r="I409" s="3170"/>
      <c r="J409" s="3170"/>
      <c r="K409" s="3170"/>
      <c r="L409" s="3170"/>
      <c r="M409" s="3170"/>
      <c r="N409" s="3251"/>
      <c r="O409" s="3180" t="s">
        <v>79</v>
      </c>
      <c r="P409" s="3181"/>
      <c r="Q409" s="263"/>
      <c r="S409" s="2899"/>
      <c r="T409" s="3201"/>
      <c r="U409" s="3202"/>
      <c r="V409" s="3202"/>
      <c r="W409" s="3202"/>
      <c r="X409" s="3202"/>
      <c r="Y409" s="3202"/>
      <c r="Z409" s="3202"/>
      <c r="AA409" s="3202"/>
      <c r="AB409" s="3202"/>
      <c r="AC409" s="3202"/>
      <c r="AD409" s="3202"/>
      <c r="AE409" s="3201"/>
      <c r="AF409" s="3201"/>
      <c r="AG409" s="3201"/>
      <c r="AH409" s="3201"/>
    </row>
    <row r="410" spans="2:34" ht="19.5" customHeight="1" thickBot="1" x14ac:dyDescent="0.3">
      <c r="B410" s="259"/>
      <c r="C410" s="3034"/>
      <c r="D410" s="3035"/>
      <c r="E410" s="489">
        <f>IF(E51="",0,E51)</f>
        <v>0</v>
      </c>
      <c r="F410" s="318">
        <f t="shared" ref="F410:N410" si="1">E410+1</f>
        <v>1</v>
      </c>
      <c r="G410" s="318">
        <f t="shared" si="1"/>
        <v>2</v>
      </c>
      <c r="H410" s="318">
        <f t="shared" si="1"/>
        <v>3</v>
      </c>
      <c r="I410" s="318">
        <f t="shared" si="1"/>
        <v>4</v>
      </c>
      <c r="J410" s="318">
        <f t="shared" si="1"/>
        <v>5</v>
      </c>
      <c r="K410" s="318">
        <f t="shared" si="1"/>
        <v>6</v>
      </c>
      <c r="L410" s="318">
        <f t="shared" si="1"/>
        <v>7</v>
      </c>
      <c r="M410" s="318">
        <f t="shared" si="1"/>
        <v>8</v>
      </c>
      <c r="N410" s="318">
        <f t="shared" si="1"/>
        <v>9</v>
      </c>
      <c r="O410" s="2973"/>
      <c r="P410" s="3203"/>
      <c r="Q410" s="263"/>
      <c r="S410" s="2899"/>
      <c r="T410" s="3201"/>
      <c r="U410" s="332"/>
      <c r="V410" s="333"/>
      <c r="W410" s="333"/>
      <c r="X410" s="333"/>
      <c r="Y410" s="333"/>
      <c r="Z410" s="333"/>
      <c r="AA410" s="333"/>
      <c r="AB410" s="333"/>
      <c r="AC410" s="333"/>
      <c r="AD410" s="333"/>
      <c r="AE410" s="3201"/>
      <c r="AF410" s="3201"/>
      <c r="AG410" s="3201"/>
      <c r="AH410" s="3201"/>
    </row>
    <row r="411" spans="2:34" ht="22.5" customHeight="1" thickTop="1" thickBot="1" x14ac:dyDescent="0.3">
      <c r="B411" s="259"/>
      <c r="C411" s="1096" t="s">
        <v>55</v>
      </c>
      <c r="D411" s="760" t="s">
        <v>6</v>
      </c>
      <c r="E411" s="761">
        <f t="shared" ref="E411:N411" si="2">E412+E419</f>
        <v>0</v>
      </c>
      <c r="F411" s="762">
        <f t="shared" si="2"/>
        <v>0</v>
      </c>
      <c r="G411" s="762">
        <f t="shared" si="2"/>
        <v>0</v>
      </c>
      <c r="H411" s="762">
        <f t="shared" si="2"/>
        <v>0</v>
      </c>
      <c r="I411" s="762">
        <f t="shared" si="2"/>
        <v>0</v>
      </c>
      <c r="J411" s="762">
        <f t="shared" si="2"/>
        <v>0</v>
      </c>
      <c r="K411" s="762">
        <f t="shared" si="2"/>
        <v>0</v>
      </c>
      <c r="L411" s="762">
        <f t="shared" si="2"/>
        <v>0</v>
      </c>
      <c r="M411" s="762">
        <f t="shared" si="2"/>
        <v>0</v>
      </c>
      <c r="N411" s="763">
        <f t="shared" si="2"/>
        <v>0</v>
      </c>
      <c r="O411" s="3165">
        <f t="shared" ref="O411:O449" si="3">SUM(E411:N411)</f>
        <v>0</v>
      </c>
      <c r="P411" s="3166"/>
      <c r="Q411" s="263"/>
      <c r="S411" s="2899"/>
      <c r="T411" s="675"/>
      <c r="U411" s="332"/>
      <c r="V411" s="333"/>
      <c r="W411" s="333"/>
      <c r="X411" s="333"/>
      <c r="Y411" s="333"/>
      <c r="Z411" s="333"/>
      <c r="AA411" s="333"/>
      <c r="AB411" s="333"/>
      <c r="AC411" s="333"/>
      <c r="AD411" s="333"/>
      <c r="AE411" s="675"/>
      <c r="AF411" s="675"/>
      <c r="AG411" s="675"/>
      <c r="AH411" s="675"/>
    </row>
    <row r="412" spans="2:34" ht="22.5" customHeight="1" x14ac:dyDescent="0.25">
      <c r="B412" s="259"/>
      <c r="C412" s="1099" t="s">
        <v>1</v>
      </c>
      <c r="D412" s="754" t="s">
        <v>1536</v>
      </c>
      <c r="E412" s="755">
        <f>SUM(E413:E414)</f>
        <v>0</v>
      </c>
      <c r="F412" s="756">
        <f t="shared" ref="F412:N412" si="4">SUM(F413:F414)</f>
        <v>0</v>
      </c>
      <c r="G412" s="756">
        <f t="shared" si="4"/>
        <v>0</v>
      </c>
      <c r="H412" s="756">
        <f t="shared" si="4"/>
        <v>0</v>
      </c>
      <c r="I412" s="756">
        <f t="shared" si="4"/>
        <v>0</v>
      </c>
      <c r="J412" s="756">
        <f t="shared" si="4"/>
        <v>0</v>
      </c>
      <c r="K412" s="756">
        <f t="shared" si="4"/>
        <v>0</v>
      </c>
      <c r="L412" s="756">
        <f t="shared" si="4"/>
        <v>0</v>
      </c>
      <c r="M412" s="756">
        <f t="shared" si="4"/>
        <v>0</v>
      </c>
      <c r="N412" s="756">
        <f t="shared" si="4"/>
        <v>0</v>
      </c>
      <c r="O412" s="3146">
        <f t="shared" si="3"/>
        <v>0</v>
      </c>
      <c r="P412" s="3147"/>
      <c r="Q412" s="263"/>
      <c r="S412" s="2899"/>
      <c r="T412" s="675"/>
      <c r="U412" s="332"/>
      <c r="V412" s="333"/>
      <c r="W412" s="333"/>
      <c r="X412" s="333"/>
      <c r="Y412" s="333"/>
      <c r="Z412" s="333"/>
      <c r="AA412" s="333"/>
      <c r="AB412" s="333"/>
      <c r="AC412" s="333"/>
      <c r="AD412" s="333"/>
      <c r="AE412" s="675"/>
      <c r="AF412" s="675"/>
      <c r="AG412" s="675"/>
      <c r="AH412" s="675"/>
    </row>
    <row r="413" spans="2:34" ht="18" customHeight="1" x14ac:dyDescent="0.25">
      <c r="B413" s="494" t="str">
        <f>IF(COUNTBLANK(E413:N413)&lt;10,"","u")</f>
        <v>u</v>
      </c>
      <c r="C413" s="1175" t="s">
        <v>1578</v>
      </c>
      <c r="D413" s="609"/>
      <c r="E413" s="607"/>
      <c r="F413" s="608"/>
      <c r="G413" s="608"/>
      <c r="H413" s="608"/>
      <c r="I413" s="608"/>
      <c r="J413" s="608"/>
      <c r="K413" s="608"/>
      <c r="L413" s="608"/>
      <c r="M413" s="608"/>
      <c r="N413" s="608"/>
      <c r="O413" s="3098">
        <f t="shared" si="3"/>
        <v>0</v>
      </c>
      <c r="P413" s="3099"/>
      <c r="Q413" s="263"/>
      <c r="S413" s="2899"/>
      <c r="T413" s="334"/>
      <c r="U413" s="240"/>
      <c r="V413" s="240"/>
      <c r="W413" s="240"/>
      <c r="X413" s="240"/>
      <c r="Y413" s="240"/>
      <c r="Z413" s="240"/>
      <c r="AA413" s="240"/>
      <c r="AB413" s="240"/>
      <c r="AC413" s="240"/>
      <c r="AD413" s="240"/>
      <c r="AE413" s="240"/>
      <c r="AF413" s="240"/>
      <c r="AG413" s="240"/>
      <c r="AH413" s="240"/>
    </row>
    <row r="414" spans="2:34" ht="18" customHeight="1" x14ac:dyDescent="0.25">
      <c r="B414" s="494" t="str">
        <f>IF(COUNTBLANK(E414:N414)&lt;10,"","u")</f>
        <v>u</v>
      </c>
      <c r="C414" s="1098" t="s">
        <v>1588</v>
      </c>
      <c r="D414" s="740" t="s">
        <v>87</v>
      </c>
      <c r="E414" s="741"/>
      <c r="F414" s="742"/>
      <c r="G414" s="742"/>
      <c r="H414" s="742"/>
      <c r="I414" s="742"/>
      <c r="J414" s="742"/>
      <c r="K414" s="742"/>
      <c r="L414" s="742"/>
      <c r="M414" s="742"/>
      <c r="N414" s="742"/>
      <c r="O414" s="3199">
        <f t="shared" ref="O414:O417" si="5">SUM(E414:N414)</f>
        <v>0</v>
      </c>
      <c r="P414" s="3200"/>
      <c r="Q414" s="263"/>
      <c r="S414" s="2899"/>
      <c r="T414" s="334"/>
      <c r="U414" s="240"/>
      <c r="V414" s="240"/>
      <c r="W414" s="240"/>
      <c r="X414" s="240"/>
      <c r="Y414" s="240"/>
      <c r="Z414" s="240"/>
      <c r="AA414" s="240"/>
      <c r="AB414" s="240"/>
      <c r="AC414" s="240"/>
      <c r="AD414" s="240"/>
      <c r="AE414" s="240"/>
      <c r="AF414" s="240"/>
      <c r="AG414" s="240"/>
      <c r="AH414" s="240"/>
    </row>
    <row r="415" spans="2:34" ht="18" customHeight="1" x14ac:dyDescent="0.25">
      <c r="B415" s="494" t="str">
        <f>IF(COUNTBLANK(E415:N415)&lt;10,"","w")</f>
        <v>w</v>
      </c>
      <c r="C415" s="3037" t="s">
        <v>1574</v>
      </c>
      <c r="D415" s="3038"/>
      <c r="E415" s="744"/>
      <c r="F415" s="745"/>
      <c r="G415" s="745"/>
      <c r="H415" s="745"/>
      <c r="I415" s="745"/>
      <c r="J415" s="745"/>
      <c r="K415" s="745"/>
      <c r="L415" s="745"/>
      <c r="M415" s="745"/>
      <c r="N415" s="746"/>
      <c r="O415" s="3161">
        <f t="shared" ref="O415" si="6">SUM(E415:N415)</f>
        <v>0</v>
      </c>
      <c r="P415" s="3162"/>
      <c r="Q415" s="263"/>
      <c r="S415" s="2899"/>
      <c r="T415" s="334"/>
      <c r="U415" s="240"/>
      <c r="V415" s="240"/>
      <c r="W415" s="240"/>
      <c r="X415" s="240"/>
      <c r="Y415" s="240"/>
      <c r="Z415" s="240"/>
      <c r="AA415" s="240"/>
      <c r="AB415" s="240"/>
      <c r="AC415" s="240"/>
      <c r="AD415" s="240"/>
      <c r="AE415" s="240"/>
      <c r="AF415" s="240"/>
      <c r="AG415" s="240"/>
      <c r="AH415" s="240"/>
    </row>
    <row r="416" spans="2:34" ht="18" customHeight="1" x14ac:dyDescent="0.25">
      <c r="B416" s="494" t="str">
        <f>IF(COUNTBLANK(E416:N416)&lt;10,"","w")</f>
        <v>w</v>
      </c>
      <c r="C416" s="3044" t="s">
        <v>1575</v>
      </c>
      <c r="D416" s="3045"/>
      <c r="E416" s="732"/>
      <c r="F416" s="733"/>
      <c r="G416" s="733"/>
      <c r="H416" s="733"/>
      <c r="I416" s="733"/>
      <c r="J416" s="733"/>
      <c r="K416" s="733"/>
      <c r="L416" s="733"/>
      <c r="M416" s="733"/>
      <c r="N416" s="734"/>
      <c r="O416" s="3138">
        <f t="shared" si="5"/>
        <v>0</v>
      </c>
      <c r="P416" s="3139"/>
      <c r="Q416" s="263"/>
      <c r="S416" s="2899"/>
    </row>
    <row r="417" spans="2:34" ht="18" customHeight="1" x14ac:dyDescent="0.25">
      <c r="B417" s="494" t="str">
        <f>IF(COUNTBLANK(E417:N417)&lt;10,"","w")</f>
        <v>w</v>
      </c>
      <c r="C417" s="3039" t="s">
        <v>1577</v>
      </c>
      <c r="D417" s="3040"/>
      <c r="E417" s="751"/>
      <c r="F417" s="752"/>
      <c r="G417" s="752"/>
      <c r="H417" s="752"/>
      <c r="I417" s="752"/>
      <c r="J417" s="752"/>
      <c r="K417" s="752"/>
      <c r="L417" s="752"/>
      <c r="M417" s="752"/>
      <c r="N417" s="753"/>
      <c r="O417" s="3197">
        <f t="shared" si="5"/>
        <v>0</v>
      </c>
      <c r="P417" s="3198"/>
      <c r="Q417" s="263"/>
      <c r="S417" s="2899"/>
    </row>
    <row r="418" spans="2:34" ht="18" customHeight="1" thickBot="1" x14ac:dyDescent="0.3">
      <c r="B418" s="494" t="str">
        <f>IF(COUNTBLANK(E418:N418)&lt;10,"","w")</f>
        <v>w</v>
      </c>
      <c r="C418" s="3246" t="s">
        <v>1576</v>
      </c>
      <c r="D418" s="3247"/>
      <c r="E418" s="768"/>
      <c r="F418" s="769"/>
      <c r="G418" s="769"/>
      <c r="H418" s="769"/>
      <c r="I418" s="769"/>
      <c r="J418" s="769"/>
      <c r="K418" s="769"/>
      <c r="L418" s="769"/>
      <c r="M418" s="769"/>
      <c r="N418" s="770"/>
      <c r="O418" s="3152">
        <f>SUM(E418:N418)</f>
        <v>0</v>
      </c>
      <c r="P418" s="3153"/>
      <c r="Q418" s="263"/>
      <c r="S418" s="2899"/>
    </row>
    <row r="419" spans="2:34" ht="22.5" customHeight="1" x14ac:dyDescent="0.25">
      <c r="B419" s="259"/>
      <c r="C419" s="1097" t="s">
        <v>2</v>
      </c>
      <c r="D419" s="750" t="s">
        <v>1536</v>
      </c>
      <c r="E419" s="748">
        <f>SUM(E420:E421)</f>
        <v>0</v>
      </c>
      <c r="F419" s="749">
        <f t="shared" ref="F419" si="7">SUM(F420:F421)</f>
        <v>0</v>
      </c>
      <c r="G419" s="749">
        <f t="shared" ref="G419" si="8">SUM(G420:G421)</f>
        <v>0</v>
      </c>
      <c r="H419" s="749">
        <f t="shared" ref="H419" si="9">SUM(H420:H421)</f>
        <v>0</v>
      </c>
      <c r="I419" s="749">
        <f t="shared" ref="I419" si="10">SUM(I420:I421)</f>
        <v>0</v>
      </c>
      <c r="J419" s="749">
        <f t="shared" ref="J419" si="11">SUM(J420:J421)</f>
        <v>0</v>
      </c>
      <c r="K419" s="749">
        <f t="shared" ref="K419" si="12">SUM(K420:K421)</f>
        <v>0</v>
      </c>
      <c r="L419" s="749">
        <f t="shared" ref="L419" si="13">SUM(L420:L421)</f>
        <v>0</v>
      </c>
      <c r="M419" s="749">
        <f t="shared" ref="M419" si="14">SUM(M420:M421)</f>
        <v>0</v>
      </c>
      <c r="N419" s="749">
        <f t="shared" ref="N419" si="15">SUM(N420:N421)</f>
        <v>0</v>
      </c>
      <c r="O419" s="3148">
        <f t="shared" si="3"/>
        <v>0</v>
      </c>
      <c r="P419" s="3149"/>
      <c r="Q419" s="263"/>
      <c r="S419" s="2899"/>
      <c r="T419" s="675"/>
      <c r="U419" s="332"/>
      <c r="V419" s="333"/>
      <c r="W419" s="333"/>
      <c r="X419" s="333"/>
      <c r="Y419" s="333"/>
      <c r="Z419" s="333"/>
      <c r="AA419" s="333"/>
      <c r="AB419" s="333"/>
      <c r="AC419" s="333"/>
      <c r="AD419" s="333"/>
      <c r="AE419" s="675"/>
      <c r="AF419" s="675"/>
      <c r="AG419" s="675"/>
      <c r="AH419" s="675"/>
    </row>
    <row r="420" spans="2:34" ht="18" customHeight="1" x14ac:dyDescent="0.25">
      <c r="B420" s="494" t="str">
        <f>IF(COUNTBLANK(E420:N420)&lt;10,"","u")</f>
        <v>u</v>
      </c>
      <c r="C420" s="1175" t="s">
        <v>1578</v>
      </c>
      <c r="D420" s="358"/>
      <c r="E420" s="579"/>
      <c r="F420" s="580"/>
      <c r="G420" s="580"/>
      <c r="H420" s="580"/>
      <c r="I420" s="580"/>
      <c r="J420" s="580"/>
      <c r="K420" s="580"/>
      <c r="L420" s="580"/>
      <c r="M420" s="580"/>
      <c r="N420" s="580"/>
      <c r="O420" s="3188">
        <f t="shared" si="3"/>
        <v>0</v>
      </c>
      <c r="P420" s="3189"/>
      <c r="Q420" s="263"/>
      <c r="S420" s="2899"/>
      <c r="T420" s="334"/>
      <c r="U420" s="240"/>
      <c r="V420" s="240"/>
      <c r="W420" s="240"/>
      <c r="X420" s="240"/>
      <c r="Y420" s="240"/>
      <c r="Z420" s="240"/>
      <c r="AA420" s="240"/>
      <c r="AB420" s="240"/>
      <c r="AC420" s="240"/>
      <c r="AD420" s="240"/>
      <c r="AE420" s="240"/>
      <c r="AF420" s="240"/>
      <c r="AG420" s="240"/>
      <c r="AH420" s="240"/>
    </row>
    <row r="421" spans="2:34" ht="18" customHeight="1" x14ac:dyDescent="0.25">
      <c r="B421" s="494" t="str">
        <f>IF(COUNTBLANK(E421:N421)&lt;10,"","u")</f>
        <v>u</v>
      </c>
      <c r="C421" s="1180" t="s">
        <v>1588</v>
      </c>
      <c r="D421" s="990" t="s">
        <v>87</v>
      </c>
      <c r="E421" s="989"/>
      <c r="F421" s="738"/>
      <c r="G421" s="738"/>
      <c r="H421" s="738"/>
      <c r="I421" s="738"/>
      <c r="J421" s="738"/>
      <c r="K421" s="738"/>
      <c r="L421" s="738"/>
      <c r="M421" s="738"/>
      <c r="N421" s="738"/>
      <c r="O421" s="3195">
        <f t="shared" ref="O421:O424" si="16">SUM(E421:N421)</f>
        <v>0</v>
      </c>
      <c r="P421" s="3196"/>
      <c r="Q421" s="263"/>
      <c r="S421" s="2899"/>
      <c r="T421" s="334"/>
      <c r="U421" s="240"/>
      <c r="V421" s="240"/>
      <c r="W421" s="240"/>
      <c r="X421" s="240"/>
      <c r="Y421" s="240"/>
      <c r="Z421" s="240"/>
      <c r="AA421" s="240"/>
      <c r="AB421" s="240"/>
      <c r="AC421" s="240"/>
      <c r="AD421" s="240"/>
      <c r="AE421" s="240"/>
      <c r="AF421" s="240"/>
      <c r="AG421" s="240"/>
      <c r="AH421" s="240"/>
    </row>
    <row r="422" spans="2:34" ht="18" customHeight="1" x14ac:dyDescent="0.25">
      <c r="B422" s="494" t="str">
        <f>IF(COUNTBLANK(E422:N422)&lt;10,"","w")</f>
        <v>w</v>
      </c>
      <c r="C422" s="3240" t="s">
        <v>1574</v>
      </c>
      <c r="D422" s="3241"/>
      <c r="E422" s="735"/>
      <c r="F422" s="736"/>
      <c r="G422" s="736"/>
      <c r="H422" s="736"/>
      <c r="I422" s="736"/>
      <c r="J422" s="736"/>
      <c r="K422" s="736"/>
      <c r="L422" s="736"/>
      <c r="M422" s="736"/>
      <c r="N422" s="737"/>
      <c r="O422" s="3252">
        <f t="shared" ref="O422" si="17">SUM(E422:N422)</f>
        <v>0</v>
      </c>
      <c r="P422" s="3253"/>
      <c r="Q422" s="263"/>
      <c r="S422" s="2899"/>
      <c r="T422" s="334"/>
      <c r="U422" s="240"/>
      <c r="V422" s="240"/>
      <c r="W422" s="240"/>
      <c r="X422" s="240"/>
      <c r="Y422" s="240"/>
      <c r="Z422" s="240"/>
      <c r="AA422" s="240"/>
      <c r="AB422" s="240"/>
      <c r="AC422" s="240"/>
      <c r="AD422" s="240"/>
      <c r="AE422" s="240"/>
      <c r="AF422" s="240"/>
      <c r="AG422" s="240"/>
      <c r="AH422" s="240"/>
    </row>
    <row r="423" spans="2:34" ht="18" customHeight="1" x14ac:dyDescent="0.25">
      <c r="B423" s="494" t="str">
        <f>IF(COUNTBLANK(E423:N423)&lt;10,"","w")</f>
        <v>w</v>
      </c>
      <c r="C423" s="3242" t="s">
        <v>1575</v>
      </c>
      <c r="D423" s="3243"/>
      <c r="E423" s="732"/>
      <c r="F423" s="733"/>
      <c r="G423" s="733"/>
      <c r="H423" s="733"/>
      <c r="I423" s="733"/>
      <c r="J423" s="733"/>
      <c r="K423" s="733"/>
      <c r="L423" s="733"/>
      <c r="M423" s="733"/>
      <c r="N423" s="734"/>
      <c r="O423" s="3138">
        <f t="shared" si="16"/>
        <v>0</v>
      </c>
      <c r="P423" s="3139"/>
      <c r="Q423" s="263"/>
      <c r="S423" s="2899"/>
    </row>
    <row r="424" spans="2:34" ht="18" customHeight="1" x14ac:dyDescent="0.25">
      <c r="B424" s="494" t="str">
        <f>IF(COUNTBLANK(E424:N424)&lt;10,"","w")</f>
        <v>w</v>
      </c>
      <c r="C424" s="3263" t="s">
        <v>1577</v>
      </c>
      <c r="D424" s="3264"/>
      <c r="E424" s="751"/>
      <c r="F424" s="752"/>
      <c r="G424" s="752"/>
      <c r="H424" s="752"/>
      <c r="I424" s="752"/>
      <c r="J424" s="752"/>
      <c r="K424" s="752"/>
      <c r="L424" s="752"/>
      <c r="M424" s="752"/>
      <c r="N424" s="753"/>
      <c r="O424" s="3197">
        <f t="shared" si="16"/>
        <v>0</v>
      </c>
      <c r="P424" s="3198"/>
      <c r="Q424" s="263"/>
      <c r="S424" s="2899"/>
    </row>
    <row r="425" spans="2:34" ht="18" customHeight="1" thickBot="1" x14ac:dyDescent="0.3">
      <c r="B425" s="494" t="str">
        <f>IF(COUNTBLANK(E425:N425)&lt;10,"","w")</f>
        <v>w</v>
      </c>
      <c r="C425" s="3263" t="s">
        <v>1576</v>
      </c>
      <c r="D425" s="3264"/>
      <c r="E425" s="751"/>
      <c r="F425" s="752"/>
      <c r="G425" s="752"/>
      <c r="H425" s="752"/>
      <c r="I425" s="752"/>
      <c r="J425" s="752"/>
      <c r="K425" s="752"/>
      <c r="L425" s="752"/>
      <c r="M425" s="752"/>
      <c r="N425" s="753"/>
      <c r="O425" s="3197">
        <f>SUM(E425:N425)</f>
        <v>0</v>
      </c>
      <c r="P425" s="3198"/>
      <c r="Q425" s="263"/>
      <c r="S425" s="2899"/>
    </row>
    <row r="426" spans="2:34" ht="37.5" customHeight="1" thickBot="1" x14ac:dyDescent="0.3">
      <c r="B426" s="259"/>
      <c r="C426" s="3061" t="s">
        <v>130</v>
      </c>
      <c r="D426" s="3062"/>
      <c r="E426" s="3158"/>
      <c r="F426" s="3159"/>
      <c r="G426" s="3159"/>
      <c r="H426" s="3159"/>
      <c r="I426" s="3159"/>
      <c r="J426" s="3159"/>
      <c r="K426" s="3159"/>
      <c r="L426" s="3159"/>
      <c r="M426" s="3159"/>
      <c r="N426" s="3159"/>
      <c r="O426" s="3159"/>
      <c r="P426" s="3160"/>
      <c r="Q426" s="263"/>
      <c r="S426" s="2899"/>
    </row>
    <row r="427" spans="2:34" ht="22.5" customHeight="1" thickBot="1" x14ac:dyDescent="0.3">
      <c r="B427" s="481"/>
      <c r="C427" s="1178" t="s">
        <v>123</v>
      </c>
      <c r="D427" s="1179" t="s">
        <v>6</v>
      </c>
      <c r="E427" s="1101">
        <f t="shared" ref="E427:N427" si="18">E428+E430+E429</f>
        <v>0</v>
      </c>
      <c r="F427" s="1102">
        <f t="shared" si="18"/>
        <v>0</v>
      </c>
      <c r="G427" s="1102">
        <f t="shared" si="18"/>
        <v>0</v>
      </c>
      <c r="H427" s="1102">
        <f t="shared" si="18"/>
        <v>0</v>
      </c>
      <c r="I427" s="1102">
        <f t="shared" si="18"/>
        <v>0</v>
      </c>
      <c r="J427" s="1102">
        <f t="shared" si="18"/>
        <v>0</v>
      </c>
      <c r="K427" s="1102">
        <f t="shared" si="18"/>
        <v>0</v>
      </c>
      <c r="L427" s="1102">
        <f t="shared" si="18"/>
        <v>0</v>
      </c>
      <c r="M427" s="1102">
        <f t="shared" si="18"/>
        <v>0</v>
      </c>
      <c r="N427" s="1103">
        <f t="shared" si="18"/>
        <v>0</v>
      </c>
      <c r="O427" s="3244">
        <f t="shared" si="3"/>
        <v>0</v>
      </c>
      <c r="P427" s="3245"/>
      <c r="Q427" s="319"/>
      <c r="S427" s="2899"/>
      <c r="T427" s="334"/>
      <c r="U427" s="240"/>
      <c r="V427" s="240"/>
      <c r="W427" s="240"/>
      <c r="X427" s="240"/>
      <c r="Y427" s="240"/>
      <c r="Z427" s="240"/>
      <c r="AA427" s="240"/>
      <c r="AB427" s="240"/>
      <c r="AC427" s="240"/>
      <c r="AD427" s="240"/>
      <c r="AE427" s="240"/>
      <c r="AF427" s="240"/>
      <c r="AG427" s="240"/>
      <c r="AH427" s="240"/>
    </row>
    <row r="428" spans="2:34" ht="18" customHeight="1" x14ac:dyDescent="0.25">
      <c r="B428" s="494" t="str">
        <f>IF(COUNTBLANK(E428:N428)&lt;10,"","u")</f>
        <v>u</v>
      </c>
      <c r="C428" s="3142" t="s">
        <v>1578</v>
      </c>
      <c r="D428" s="3143"/>
      <c r="E428" s="1112"/>
      <c r="F428" s="1113"/>
      <c r="G428" s="1113"/>
      <c r="H428" s="1113"/>
      <c r="I428" s="1113"/>
      <c r="J428" s="1113"/>
      <c r="K428" s="1113"/>
      <c r="L428" s="1113"/>
      <c r="M428" s="1113"/>
      <c r="N428" s="1114"/>
      <c r="O428" s="3249">
        <f t="shared" si="3"/>
        <v>0</v>
      </c>
      <c r="P428" s="3250"/>
      <c r="Q428" s="319"/>
      <c r="S428" s="2899"/>
      <c r="T428" s="334"/>
      <c r="U428" s="240"/>
      <c r="V428" s="240"/>
      <c r="W428" s="240"/>
      <c r="X428" s="240"/>
      <c r="Y428" s="240"/>
      <c r="Z428" s="240"/>
      <c r="AA428" s="240"/>
      <c r="AB428" s="240"/>
      <c r="AC428" s="240"/>
      <c r="AD428" s="240"/>
      <c r="AE428" s="240"/>
      <c r="AF428" s="240"/>
      <c r="AG428" s="240"/>
      <c r="AH428" s="240"/>
    </row>
    <row r="429" spans="2:34" ht="18" customHeight="1" x14ac:dyDescent="0.25">
      <c r="B429" s="494" t="str">
        <f>IF(COUNTBLANK(E429:N429)&lt;10,"","u")</f>
        <v>u</v>
      </c>
      <c r="C429" s="1173" t="s">
        <v>1437</v>
      </c>
      <c r="D429" s="1174"/>
      <c r="E429" s="579"/>
      <c r="F429" s="580"/>
      <c r="G429" s="580"/>
      <c r="H429" s="580"/>
      <c r="I429" s="580"/>
      <c r="J429" s="580"/>
      <c r="K429" s="580"/>
      <c r="L429" s="580"/>
      <c r="M429" s="580"/>
      <c r="N429" s="581"/>
      <c r="O429" s="3188">
        <f>SUM(E429:N429)</f>
        <v>0</v>
      </c>
      <c r="P429" s="3189"/>
      <c r="Q429" s="319"/>
      <c r="S429" s="2899"/>
      <c r="T429" s="334"/>
      <c r="U429" s="240"/>
      <c r="V429" s="240"/>
      <c r="W429" s="240"/>
      <c r="X429" s="240"/>
      <c r="Y429" s="240"/>
      <c r="Z429" s="240"/>
      <c r="AA429" s="240"/>
      <c r="AB429" s="240"/>
      <c r="AC429" s="240"/>
      <c r="AD429" s="240"/>
      <c r="AE429" s="240"/>
      <c r="AF429" s="240"/>
      <c r="AG429" s="240"/>
      <c r="AH429" s="240"/>
    </row>
    <row r="430" spans="2:34" ht="18" customHeight="1" x14ac:dyDescent="0.25">
      <c r="B430" s="494" t="str">
        <f>IF(COUNTBLANK(E430:N430)&lt;10,"","u")</f>
        <v>u</v>
      </c>
      <c r="C430" s="1181" t="s">
        <v>1588</v>
      </c>
      <c r="D430" s="990" t="s">
        <v>87</v>
      </c>
      <c r="E430" s="1115"/>
      <c r="F430" s="1116"/>
      <c r="G430" s="1116"/>
      <c r="H430" s="1116"/>
      <c r="I430" s="1116"/>
      <c r="J430" s="1116"/>
      <c r="K430" s="1116"/>
      <c r="L430" s="1116"/>
      <c r="M430" s="1116"/>
      <c r="N430" s="1117"/>
      <c r="O430" s="3199">
        <f t="shared" ref="O430:O432" si="19">SUM(E430:N430)</f>
        <v>0</v>
      </c>
      <c r="P430" s="3200"/>
      <c r="Q430" s="263"/>
      <c r="S430" s="2899"/>
      <c r="T430" s="334"/>
      <c r="U430" s="240"/>
      <c r="V430" s="240"/>
      <c r="W430" s="240"/>
      <c r="X430" s="240"/>
      <c r="Y430" s="240"/>
      <c r="Z430" s="240"/>
      <c r="AA430" s="240"/>
      <c r="AB430" s="240"/>
      <c r="AC430" s="240"/>
      <c r="AD430" s="240"/>
      <c r="AE430" s="240"/>
      <c r="AF430" s="240"/>
      <c r="AG430" s="240"/>
      <c r="AH430" s="240"/>
    </row>
    <row r="431" spans="2:34" ht="18" customHeight="1" x14ac:dyDescent="0.25">
      <c r="B431" s="494" t="str">
        <f>IF(COUNTBLANK(E431:N431)&lt;10,"","w")</f>
        <v>w</v>
      </c>
      <c r="C431" s="3037" t="s">
        <v>1575</v>
      </c>
      <c r="D431" s="3038"/>
      <c r="E431" s="744"/>
      <c r="F431" s="745"/>
      <c r="G431" s="745"/>
      <c r="H431" s="745"/>
      <c r="I431" s="745"/>
      <c r="J431" s="745"/>
      <c r="K431" s="745"/>
      <c r="L431" s="745"/>
      <c r="M431" s="745"/>
      <c r="N431" s="746"/>
      <c r="O431" s="3161">
        <f t="shared" si="19"/>
        <v>0</v>
      </c>
      <c r="P431" s="3162"/>
      <c r="Q431" s="319"/>
      <c r="S431" s="2899"/>
    </row>
    <row r="432" spans="2:34" ht="18" customHeight="1" x14ac:dyDescent="0.25">
      <c r="B432" s="494" t="str">
        <f>IF(COUNTBLANK(E432:N432)&lt;10,"","w")</f>
        <v>w</v>
      </c>
      <c r="C432" s="3039" t="s">
        <v>1577</v>
      </c>
      <c r="D432" s="3040"/>
      <c r="E432" s="751"/>
      <c r="F432" s="752"/>
      <c r="G432" s="752"/>
      <c r="H432" s="752"/>
      <c r="I432" s="752"/>
      <c r="J432" s="752"/>
      <c r="K432" s="752"/>
      <c r="L432" s="752"/>
      <c r="M432" s="752"/>
      <c r="N432" s="753"/>
      <c r="O432" s="3197">
        <f t="shared" si="19"/>
        <v>0</v>
      </c>
      <c r="P432" s="3198"/>
      <c r="Q432" s="319"/>
      <c r="S432" s="2899"/>
    </row>
    <row r="433" spans="1:34" ht="18" customHeight="1" thickBot="1" x14ac:dyDescent="0.3">
      <c r="B433" s="494" t="str">
        <f>IF(COUNTBLANK(E433:N433)&lt;10,"","w")</f>
        <v>w</v>
      </c>
      <c r="C433" s="3039" t="s">
        <v>1576</v>
      </c>
      <c r="D433" s="3040"/>
      <c r="E433" s="751"/>
      <c r="F433" s="752"/>
      <c r="G433" s="752"/>
      <c r="H433" s="752"/>
      <c r="I433" s="752"/>
      <c r="J433" s="752"/>
      <c r="K433" s="752"/>
      <c r="L433" s="752"/>
      <c r="M433" s="752"/>
      <c r="N433" s="753"/>
      <c r="O433" s="3197">
        <f>SUM(E433:N433)</f>
        <v>0</v>
      </c>
      <c r="P433" s="3198"/>
      <c r="Q433" s="319"/>
      <c r="S433" s="2899"/>
    </row>
    <row r="434" spans="1:34" ht="37.5" customHeight="1" thickBot="1" x14ac:dyDescent="0.3">
      <c r="B434" s="259"/>
      <c r="C434" s="3061" t="s">
        <v>130</v>
      </c>
      <c r="D434" s="3062"/>
      <c r="E434" s="3158"/>
      <c r="F434" s="3159"/>
      <c r="G434" s="3159"/>
      <c r="H434" s="3159"/>
      <c r="I434" s="3159"/>
      <c r="J434" s="3159"/>
      <c r="K434" s="3159"/>
      <c r="L434" s="3159"/>
      <c r="M434" s="3159"/>
      <c r="N434" s="3159"/>
      <c r="O434" s="3159"/>
      <c r="P434" s="3160"/>
      <c r="Q434" s="263"/>
      <c r="S434" s="2899"/>
    </row>
    <row r="435" spans="1:34" ht="22.5" customHeight="1" thickBot="1" x14ac:dyDescent="0.3">
      <c r="B435" s="259"/>
      <c r="C435" s="1178" t="s">
        <v>133</v>
      </c>
      <c r="D435" s="1179" t="s">
        <v>6</v>
      </c>
      <c r="E435" s="1101">
        <f t="shared" ref="E435:N435" si="20">E436+E442</f>
        <v>0</v>
      </c>
      <c r="F435" s="1102">
        <f t="shared" si="20"/>
        <v>0</v>
      </c>
      <c r="G435" s="1102">
        <f t="shared" si="20"/>
        <v>0</v>
      </c>
      <c r="H435" s="1102">
        <f t="shared" si="20"/>
        <v>0</v>
      </c>
      <c r="I435" s="1102">
        <f t="shared" si="20"/>
        <v>0</v>
      </c>
      <c r="J435" s="1102">
        <f t="shared" si="20"/>
        <v>0</v>
      </c>
      <c r="K435" s="1102">
        <f t="shared" si="20"/>
        <v>0</v>
      </c>
      <c r="L435" s="1102">
        <f t="shared" si="20"/>
        <v>0</v>
      </c>
      <c r="M435" s="1102">
        <f t="shared" si="20"/>
        <v>0</v>
      </c>
      <c r="N435" s="1103">
        <f t="shared" si="20"/>
        <v>0</v>
      </c>
      <c r="O435" s="3244">
        <f t="shared" si="3"/>
        <v>0</v>
      </c>
      <c r="P435" s="3245"/>
      <c r="Q435" s="263"/>
      <c r="S435" s="2899"/>
      <c r="T435" s="676"/>
      <c r="U435" s="11"/>
      <c r="V435" s="11"/>
      <c r="W435" s="11"/>
      <c r="X435" s="11"/>
      <c r="Y435" s="11"/>
      <c r="Z435" s="11"/>
      <c r="AA435" s="11"/>
      <c r="AB435" s="11"/>
      <c r="AC435" s="11"/>
      <c r="AD435" s="11"/>
      <c r="AE435" s="11"/>
    </row>
    <row r="436" spans="1:34" ht="22.5" customHeight="1" x14ac:dyDescent="0.25">
      <c r="B436" s="259"/>
      <c r="C436" s="1099" t="s">
        <v>3</v>
      </c>
      <c r="D436" s="754" t="s">
        <v>1536</v>
      </c>
      <c r="E436" s="755">
        <f>SUM(E437:E438)</f>
        <v>0</v>
      </c>
      <c r="F436" s="756">
        <f t="shared" ref="F436" si="21">SUM(F437:F438)</f>
        <v>0</v>
      </c>
      <c r="G436" s="756">
        <f t="shared" ref="G436" si="22">SUM(G437:G438)</f>
        <v>0</v>
      </c>
      <c r="H436" s="756">
        <f t="shared" ref="H436" si="23">SUM(H437:H438)</f>
        <v>0</v>
      </c>
      <c r="I436" s="756">
        <f t="shared" ref="I436" si="24">SUM(I437:I438)</f>
        <v>0</v>
      </c>
      <c r="J436" s="756">
        <f t="shared" ref="J436" si="25">SUM(J437:J438)</f>
        <v>0</v>
      </c>
      <c r="K436" s="756">
        <f t="shared" ref="K436" si="26">SUM(K437:K438)</f>
        <v>0</v>
      </c>
      <c r="L436" s="756">
        <f t="shared" ref="L436" si="27">SUM(L437:L438)</f>
        <v>0</v>
      </c>
      <c r="M436" s="756">
        <f t="shared" ref="M436" si="28">SUM(M437:M438)</f>
        <v>0</v>
      </c>
      <c r="N436" s="756">
        <f t="shared" ref="N436" si="29">SUM(N437:N438)</f>
        <v>0</v>
      </c>
      <c r="O436" s="3146">
        <f t="shared" ref="O436:O437" si="30">SUM(E436:N436)</f>
        <v>0</v>
      </c>
      <c r="P436" s="3147"/>
      <c r="Q436" s="263"/>
      <c r="S436" s="2899"/>
      <c r="T436" s="675"/>
      <c r="U436" s="332"/>
      <c r="V436" s="333"/>
      <c r="W436" s="333"/>
      <c r="X436" s="333"/>
      <c r="Y436" s="333"/>
      <c r="Z436" s="333"/>
      <c r="AA436" s="333"/>
      <c r="AB436" s="333"/>
      <c r="AC436" s="333"/>
      <c r="AD436" s="333"/>
      <c r="AE436" s="675"/>
      <c r="AF436" s="675"/>
      <c r="AG436" s="675"/>
      <c r="AH436" s="675"/>
    </row>
    <row r="437" spans="1:34" ht="18" customHeight="1" x14ac:dyDescent="0.25">
      <c r="B437" s="494" t="str">
        <f>IF(COUNTBLANK(E437:N437)&lt;10,"","u")</f>
        <v>u</v>
      </c>
      <c r="C437" s="3142" t="s">
        <v>1578</v>
      </c>
      <c r="D437" s="3143"/>
      <c r="E437" s="579"/>
      <c r="F437" s="580"/>
      <c r="G437" s="580"/>
      <c r="H437" s="580"/>
      <c r="I437" s="580"/>
      <c r="J437" s="580"/>
      <c r="K437" s="580"/>
      <c r="L437" s="580"/>
      <c r="M437" s="580"/>
      <c r="N437" s="581"/>
      <c r="O437" s="3167">
        <f t="shared" si="30"/>
        <v>0</v>
      </c>
      <c r="P437" s="3168"/>
      <c r="Q437" s="263"/>
      <c r="S437" s="2899"/>
      <c r="T437" s="334"/>
      <c r="U437" s="240"/>
      <c r="V437" s="240"/>
      <c r="W437" s="240"/>
      <c r="X437" s="240"/>
      <c r="Y437" s="240"/>
      <c r="Z437" s="240"/>
      <c r="AA437" s="240"/>
      <c r="AB437" s="240"/>
      <c r="AC437" s="240"/>
      <c r="AD437" s="240"/>
      <c r="AE437" s="240"/>
      <c r="AF437" s="240"/>
      <c r="AG437" s="240"/>
      <c r="AH437" s="240"/>
    </row>
    <row r="438" spans="1:34" ht="18" customHeight="1" x14ac:dyDescent="0.25">
      <c r="B438" s="494" t="str">
        <f>IF(COUNTBLANK(E438:N438)&lt;10,"","u")</f>
        <v>u</v>
      </c>
      <c r="C438" s="1098" t="s">
        <v>1588</v>
      </c>
      <c r="D438" s="990" t="s">
        <v>87</v>
      </c>
      <c r="E438" s="1118"/>
      <c r="F438" s="738"/>
      <c r="G438" s="738"/>
      <c r="H438" s="738"/>
      <c r="I438" s="738"/>
      <c r="J438" s="738"/>
      <c r="K438" s="738"/>
      <c r="L438" s="738"/>
      <c r="M438" s="738"/>
      <c r="N438" s="739"/>
      <c r="O438" s="3167">
        <f t="shared" ref="O438:O440" si="31">SUM(E438:N438)</f>
        <v>0</v>
      </c>
      <c r="P438" s="3168"/>
      <c r="Q438" s="263"/>
      <c r="S438" s="2899"/>
      <c r="T438" s="334"/>
      <c r="U438" s="240"/>
      <c r="V438" s="240"/>
      <c r="W438" s="240"/>
      <c r="X438" s="240"/>
      <c r="Y438" s="240"/>
      <c r="Z438" s="240"/>
      <c r="AA438" s="240"/>
      <c r="AB438" s="240"/>
      <c r="AC438" s="240"/>
      <c r="AD438" s="240"/>
      <c r="AE438" s="240"/>
      <c r="AF438" s="240"/>
      <c r="AG438" s="240"/>
      <c r="AH438" s="240"/>
    </row>
    <row r="439" spans="1:34" ht="18" customHeight="1" x14ac:dyDescent="0.25">
      <c r="B439" s="494" t="str">
        <f>IF(COUNTBLANK(E439:N439)&lt;10,"","w")</f>
        <v>w</v>
      </c>
      <c r="C439" s="3037" t="s">
        <v>1575</v>
      </c>
      <c r="D439" s="3038"/>
      <c r="E439" s="747"/>
      <c r="F439" s="745"/>
      <c r="G439" s="745"/>
      <c r="H439" s="745"/>
      <c r="I439" s="745"/>
      <c r="J439" s="745"/>
      <c r="K439" s="745"/>
      <c r="L439" s="745"/>
      <c r="M439" s="745"/>
      <c r="N439" s="746"/>
      <c r="O439" s="3161">
        <f t="shared" si="31"/>
        <v>0</v>
      </c>
      <c r="P439" s="3162"/>
      <c r="Q439" s="263"/>
      <c r="S439" s="2899"/>
    </row>
    <row r="440" spans="1:34" ht="18" customHeight="1" x14ac:dyDescent="0.25">
      <c r="A440" s="28" t="s">
        <v>124</v>
      </c>
      <c r="B440" s="494" t="str">
        <f>IF(COUNTBLANK(E440:N440)&lt;10,"","w")</f>
        <v>w</v>
      </c>
      <c r="C440" s="3039" t="s">
        <v>1577</v>
      </c>
      <c r="D440" s="3040"/>
      <c r="E440" s="751"/>
      <c r="F440" s="752"/>
      <c r="G440" s="752"/>
      <c r="H440" s="752"/>
      <c r="I440" s="752"/>
      <c r="J440" s="752"/>
      <c r="K440" s="752"/>
      <c r="L440" s="752"/>
      <c r="M440" s="752"/>
      <c r="N440" s="753"/>
      <c r="O440" s="3197">
        <f t="shared" si="31"/>
        <v>0</v>
      </c>
      <c r="P440" s="3198"/>
      <c r="Q440" s="263"/>
      <c r="S440" s="2899"/>
    </row>
    <row r="441" spans="1:34" ht="18" customHeight="1" thickBot="1" x14ac:dyDescent="0.3">
      <c r="B441" s="494" t="str">
        <f>IF(COUNTBLANK(E441:N441)&lt;10,"","w")</f>
        <v>w</v>
      </c>
      <c r="C441" s="3246" t="s">
        <v>1576</v>
      </c>
      <c r="D441" s="3247"/>
      <c r="E441" s="768"/>
      <c r="F441" s="769"/>
      <c r="G441" s="769"/>
      <c r="H441" s="769"/>
      <c r="I441" s="769"/>
      <c r="J441" s="769"/>
      <c r="K441" s="769"/>
      <c r="L441" s="769"/>
      <c r="M441" s="769"/>
      <c r="N441" s="770"/>
      <c r="O441" s="3152">
        <f>SUM(E441:N441)</f>
        <v>0</v>
      </c>
      <c r="P441" s="3153"/>
      <c r="Q441" s="263"/>
      <c r="S441" s="2899"/>
    </row>
    <row r="442" spans="1:34" ht="22.5" customHeight="1" x14ac:dyDescent="0.25">
      <c r="B442" s="259"/>
      <c r="C442" s="1097" t="s">
        <v>4</v>
      </c>
      <c r="D442" s="750" t="s">
        <v>1536</v>
      </c>
      <c r="E442" s="748">
        <f>SUM(E443:E444)</f>
        <v>0</v>
      </c>
      <c r="F442" s="749">
        <f t="shared" ref="F442" si="32">SUM(F443:F444)</f>
        <v>0</v>
      </c>
      <c r="G442" s="749">
        <f t="shared" ref="G442" si="33">SUM(G443:G444)</f>
        <v>0</v>
      </c>
      <c r="H442" s="749">
        <f t="shared" ref="H442" si="34">SUM(H443:H444)</f>
        <v>0</v>
      </c>
      <c r="I442" s="749">
        <f t="shared" ref="I442" si="35">SUM(I443:I444)</f>
        <v>0</v>
      </c>
      <c r="J442" s="749">
        <f t="shared" ref="J442" si="36">SUM(J443:J444)</f>
        <v>0</v>
      </c>
      <c r="K442" s="749">
        <f t="shared" ref="K442" si="37">SUM(K443:K444)</f>
        <v>0</v>
      </c>
      <c r="L442" s="749">
        <f t="shared" ref="L442" si="38">SUM(L443:L444)</f>
        <v>0</v>
      </c>
      <c r="M442" s="749">
        <f t="shared" ref="M442" si="39">SUM(M443:M444)</f>
        <v>0</v>
      </c>
      <c r="N442" s="749">
        <f t="shared" ref="N442" si="40">SUM(N443:N444)</f>
        <v>0</v>
      </c>
      <c r="O442" s="3148">
        <f>SUM(E442:N442)</f>
        <v>0</v>
      </c>
      <c r="P442" s="3149"/>
      <c r="Q442" s="263"/>
      <c r="S442" s="2899"/>
      <c r="T442" s="675"/>
      <c r="U442" s="332"/>
      <c r="V442" s="333"/>
      <c r="W442" s="333"/>
      <c r="X442" s="333"/>
      <c r="Y442" s="333"/>
      <c r="Z442" s="333"/>
      <c r="AA442" s="333"/>
      <c r="AB442" s="333"/>
      <c r="AC442" s="333"/>
      <c r="AD442" s="333"/>
      <c r="AE442" s="675"/>
      <c r="AF442" s="675"/>
      <c r="AG442" s="675"/>
      <c r="AH442" s="675"/>
    </row>
    <row r="443" spans="1:34" ht="18" customHeight="1" x14ac:dyDescent="0.25">
      <c r="B443" s="494" t="str">
        <f>IF(COUNTBLANK(E443:N443)&lt;10,"","u")</f>
        <v>u</v>
      </c>
      <c r="C443" s="3254" t="s">
        <v>1578</v>
      </c>
      <c r="D443" s="3255"/>
      <c r="E443" s="579"/>
      <c r="F443" s="580"/>
      <c r="G443" s="580"/>
      <c r="H443" s="580"/>
      <c r="I443" s="580"/>
      <c r="J443" s="580"/>
      <c r="K443" s="580"/>
      <c r="L443" s="580"/>
      <c r="M443" s="580"/>
      <c r="N443" s="581"/>
      <c r="O443" s="3167">
        <f>SUM(E443:N443)</f>
        <v>0</v>
      </c>
      <c r="P443" s="3168"/>
      <c r="Q443" s="263"/>
      <c r="S443" s="2899"/>
      <c r="T443" s="334"/>
      <c r="U443" s="240"/>
      <c r="V443" s="240"/>
      <c r="W443" s="240"/>
      <c r="X443" s="240"/>
      <c r="Y443" s="240"/>
      <c r="Z443" s="240"/>
      <c r="AA443" s="240"/>
      <c r="AB443" s="240"/>
      <c r="AC443" s="240"/>
      <c r="AD443" s="240"/>
      <c r="AE443" s="240"/>
      <c r="AF443" s="240"/>
      <c r="AG443" s="240"/>
      <c r="AH443" s="240"/>
    </row>
    <row r="444" spans="1:34" ht="18" customHeight="1" x14ac:dyDescent="0.25">
      <c r="B444" s="494" t="str">
        <f>IF(COUNTBLANK(E444:N444)&lt;10,"","u")</f>
        <v>u</v>
      </c>
      <c r="C444" s="1098" t="s">
        <v>1588</v>
      </c>
      <c r="D444" s="990" t="s">
        <v>87</v>
      </c>
      <c r="E444" s="1118"/>
      <c r="F444" s="738"/>
      <c r="G444" s="738"/>
      <c r="H444" s="738"/>
      <c r="I444" s="738"/>
      <c r="J444" s="738"/>
      <c r="K444" s="738"/>
      <c r="L444" s="738"/>
      <c r="M444" s="738"/>
      <c r="N444" s="739"/>
      <c r="O444" s="3167">
        <f t="shared" ref="O444:O446" si="41">SUM(E444:N444)</f>
        <v>0</v>
      </c>
      <c r="P444" s="3168"/>
      <c r="Q444" s="263"/>
      <c r="S444" s="2899"/>
      <c r="T444" s="334"/>
      <c r="U444" s="240"/>
      <c r="V444" s="240"/>
      <c r="W444" s="240"/>
      <c r="X444" s="240"/>
      <c r="Y444" s="240"/>
      <c r="Z444" s="240"/>
      <c r="AA444" s="240"/>
      <c r="AB444" s="240"/>
      <c r="AC444" s="240"/>
      <c r="AD444" s="240"/>
      <c r="AE444" s="240"/>
      <c r="AF444" s="240"/>
      <c r="AG444" s="240"/>
      <c r="AH444" s="240"/>
    </row>
    <row r="445" spans="1:34" ht="18" customHeight="1" x14ac:dyDescent="0.25">
      <c r="B445" s="494" t="str">
        <f>IF(COUNTBLANK(E445:N445)&lt;10,"","w")</f>
        <v>w</v>
      </c>
      <c r="C445" s="3037" t="s">
        <v>1575</v>
      </c>
      <c r="D445" s="3038"/>
      <c r="E445" s="744"/>
      <c r="F445" s="745"/>
      <c r="G445" s="745"/>
      <c r="H445" s="745"/>
      <c r="I445" s="745"/>
      <c r="J445" s="745"/>
      <c r="K445" s="745"/>
      <c r="L445" s="745"/>
      <c r="M445" s="745"/>
      <c r="N445" s="746"/>
      <c r="O445" s="3161">
        <f t="shared" si="41"/>
        <v>0</v>
      </c>
      <c r="P445" s="3162"/>
      <c r="Q445" s="263"/>
      <c r="S445" s="2899"/>
    </row>
    <row r="446" spans="1:34" ht="18" customHeight="1" x14ac:dyDescent="0.25">
      <c r="B446" s="494" t="str">
        <f>IF(COUNTBLANK(E446:N446)&lt;10,"","w")</f>
        <v>w</v>
      </c>
      <c r="C446" s="3039" t="s">
        <v>1577</v>
      </c>
      <c r="D446" s="3040"/>
      <c r="E446" s="751"/>
      <c r="F446" s="752"/>
      <c r="G446" s="752"/>
      <c r="H446" s="752"/>
      <c r="I446" s="752"/>
      <c r="J446" s="752"/>
      <c r="K446" s="752"/>
      <c r="L446" s="752"/>
      <c r="M446" s="752"/>
      <c r="N446" s="753"/>
      <c r="O446" s="3197">
        <f t="shared" si="41"/>
        <v>0</v>
      </c>
      <c r="P446" s="3198"/>
      <c r="Q446" s="263"/>
      <c r="S446" s="2899"/>
    </row>
    <row r="447" spans="1:34" ht="18" customHeight="1" thickBot="1" x14ac:dyDescent="0.3">
      <c r="B447" s="494" t="str">
        <f>IF(COUNTBLANK(E447:N447)&lt;10,"","w")</f>
        <v>w</v>
      </c>
      <c r="C447" s="3039" t="s">
        <v>1576</v>
      </c>
      <c r="D447" s="3040"/>
      <c r="E447" s="751"/>
      <c r="F447" s="752"/>
      <c r="G447" s="752"/>
      <c r="H447" s="752"/>
      <c r="I447" s="752"/>
      <c r="J447" s="752"/>
      <c r="K447" s="752"/>
      <c r="L447" s="752"/>
      <c r="M447" s="752"/>
      <c r="N447" s="753"/>
      <c r="O447" s="3197">
        <f>SUM(E447:N447)</f>
        <v>0</v>
      </c>
      <c r="P447" s="3198"/>
      <c r="Q447" s="263"/>
      <c r="S447" s="2899"/>
    </row>
    <row r="448" spans="1:34" ht="37.5" customHeight="1" thickBot="1" x14ac:dyDescent="0.3">
      <c r="B448" s="259"/>
      <c r="C448" s="3061" t="s">
        <v>130</v>
      </c>
      <c r="D448" s="3062"/>
      <c r="E448" s="3158"/>
      <c r="F448" s="3159"/>
      <c r="G448" s="3159"/>
      <c r="H448" s="3159"/>
      <c r="I448" s="3159"/>
      <c r="J448" s="3159"/>
      <c r="K448" s="3159"/>
      <c r="L448" s="3159"/>
      <c r="M448" s="3159"/>
      <c r="N448" s="3159"/>
      <c r="O448" s="3159"/>
      <c r="P448" s="3160"/>
      <c r="Q448" s="263"/>
      <c r="S448" s="2899"/>
    </row>
    <row r="449" spans="2:34" ht="30" customHeight="1" thickBot="1" x14ac:dyDescent="0.3">
      <c r="B449" s="259"/>
      <c r="C449" s="3256" t="s">
        <v>1539</v>
      </c>
      <c r="D449" s="3257"/>
      <c r="E449" s="1182">
        <f t="shared" ref="E449:N449" si="42">E411+E427+E435</f>
        <v>0</v>
      </c>
      <c r="F449" s="1183">
        <f t="shared" si="42"/>
        <v>0</v>
      </c>
      <c r="G449" s="1183">
        <f t="shared" si="42"/>
        <v>0</v>
      </c>
      <c r="H449" s="1183">
        <f t="shared" si="42"/>
        <v>0</v>
      </c>
      <c r="I449" s="1183">
        <f t="shared" si="42"/>
        <v>0</v>
      </c>
      <c r="J449" s="1183">
        <f t="shared" si="42"/>
        <v>0</v>
      </c>
      <c r="K449" s="1183">
        <f t="shared" si="42"/>
        <v>0</v>
      </c>
      <c r="L449" s="1183">
        <f t="shared" si="42"/>
        <v>0</v>
      </c>
      <c r="M449" s="1183">
        <f t="shared" si="42"/>
        <v>0</v>
      </c>
      <c r="N449" s="1184">
        <f t="shared" si="42"/>
        <v>0</v>
      </c>
      <c r="O449" s="3258">
        <f t="shared" si="3"/>
        <v>0</v>
      </c>
      <c r="P449" s="3259"/>
      <c r="Q449" s="263"/>
      <c r="S449" s="2899"/>
      <c r="T449" s="335"/>
      <c r="U449" s="11"/>
      <c r="V449" s="11"/>
      <c r="W449" s="11"/>
      <c r="X449" s="11"/>
      <c r="Y449" s="11"/>
      <c r="Z449" s="11"/>
      <c r="AA449" s="11"/>
      <c r="AB449" s="11"/>
      <c r="AC449" s="11"/>
      <c r="AD449" s="11"/>
      <c r="AE449" s="11"/>
    </row>
    <row r="450" spans="2:34" x14ac:dyDescent="0.25">
      <c r="B450" s="259"/>
      <c r="C450" s="262"/>
      <c r="D450" s="262"/>
      <c r="E450" s="262"/>
      <c r="F450" s="320"/>
      <c r="G450" s="320"/>
      <c r="H450" s="262"/>
      <c r="I450" s="320"/>
      <c r="J450" s="320"/>
      <c r="K450" s="262"/>
      <c r="L450" s="320"/>
      <c r="M450" s="262"/>
      <c r="N450" s="320"/>
      <c r="O450" s="320"/>
      <c r="P450" s="320"/>
      <c r="Q450" s="263"/>
      <c r="S450" s="2899"/>
    </row>
    <row r="451" spans="2:34" ht="15.75" thickBot="1" x14ac:dyDescent="0.3">
      <c r="B451" s="259"/>
      <c r="C451" s="262"/>
      <c r="D451" s="262"/>
      <c r="E451" s="262"/>
      <c r="F451" s="320"/>
      <c r="G451" s="320"/>
      <c r="H451" s="262"/>
      <c r="I451" s="320"/>
      <c r="J451" s="320"/>
      <c r="K451" s="262"/>
      <c r="L451" s="320"/>
      <c r="M451" s="262"/>
      <c r="N451" s="320"/>
      <c r="O451" s="320"/>
      <c r="P451" s="320"/>
      <c r="Q451" s="263"/>
      <c r="S451" s="1075"/>
    </row>
    <row r="452" spans="2:34" ht="30" customHeight="1" x14ac:dyDescent="0.25">
      <c r="B452" s="259"/>
      <c r="C452" s="3192" t="s">
        <v>85</v>
      </c>
      <c r="D452" s="3193"/>
      <c r="E452" s="3193"/>
      <c r="F452" s="3194"/>
      <c r="G452" s="1091"/>
      <c r="H452" s="1091"/>
      <c r="I452" s="1091"/>
      <c r="J452" s="1091"/>
      <c r="K452" s="1091"/>
      <c r="L452" s="1091"/>
      <c r="M452" s="1091"/>
      <c r="N452" s="1091"/>
      <c r="O452" s="1092"/>
      <c r="P452" s="1091"/>
      <c r="Q452" s="263"/>
      <c r="S452" s="2899"/>
    </row>
    <row r="453" spans="2:34" ht="3" customHeight="1" thickBot="1" x14ac:dyDescent="0.3">
      <c r="B453" s="259"/>
      <c r="C453" s="1094"/>
      <c r="D453" s="1093"/>
      <c r="E453" s="1093"/>
      <c r="F453" s="1095"/>
      <c r="G453" s="305"/>
      <c r="H453" s="305"/>
      <c r="I453" s="305"/>
      <c r="J453" s="305"/>
      <c r="K453" s="305"/>
      <c r="L453" s="305"/>
      <c r="M453" s="305"/>
      <c r="N453" s="305"/>
      <c r="O453" s="305"/>
      <c r="P453" s="305"/>
      <c r="Q453" s="263"/>
      <c r="S453" s="2899"/>
    </row>
    <row r="454" spans="2:34" ht="19.5" customHeight="1" x14ac:dyDescent="0.25">
      <c r="B454" s="259"/>
      <c r="C454" s="3032" t="s">
        <v>253</v>
      </c>
      <c r="D454" s="3033"/>
      <c r="E454" s="3169" t="s">
        <v>1540</v>
      </c>
      <c r="F454" s="3170"/>
      <c r="G454" s="3170"/>
      <c r="H454" s="3170"/>
      <c r="I454" s="3170"/>
      <c r="J454" s="3170"/>
      <c r="K454" s="3170"/>
      <c r="L454" s="3170"/>
      <c r="M454" s="3170"/>
      <c r="N454" s="3251"/>
      <c r="O454" s="3180" t="s">
        <v>79</v>
      </c>
      <c r="P454" s="3181"/>
      <c r="Q454" s="263"/>
      <c r="S454" s="2899"/>
    </row>
    <row r="455" spans="2:34" ht="19.5" customHeight="1" thickBot="1" x14ac:dyDescent="0.3">
      <c r="B455" s="259"/>
      <c r="C455" s="3150"/>
      <c r="D455" s="3151"/>
      <c r="E455" s="757">
        <f>IF(E51="",0,E51)</f>
        <v>0</v>
      </c>
      <c r="F455" s="758">
        <f t="shared" ref="F455:N455" si="43">E455+1</f>
        <v>1</v>
      </c>
      <c r="G455" s="758">
        <f t="shared" si="43"/>
        <v>2</v>
      </c>
      <c r="H455" s="758">
        <f t="shared" si="43"/>
        <v>3</v>
      </c>
      <c r="I455" s="758">
        <f t="shared" si="43"/>
        <v>4</v>
      </c>
      <c r="J455" s="758">
        <f t="shared" si="43"/>
        <v>5</v>
      </c>
      <c r="K455" s="758">
        <f t="shared" si="43"/>
        <v>6</v>
      </c>
      <c r="L455" s="758">
        <f t="shared" si="43"/>
        <v>7</v>
      </c>
      <c r="M455" s="758">
        <f t="shared" si="43"/>
        <v>8</v>
      </c>
      <c r="N455" s="759">
        <f t="shared" si="43"/>
        <v>9</v>
      </c>
      <c r="O455" s="3182"/>
      <c r="P455" s="3183"/>
      <c r="Q455" s="263"/>
      <c r="S455" s="2899"/>
    </row>
    <row r="456" spans="2:34" ht="22.5" customHeight="1" thickBot="1" x14ac:dyDescent="0.3">
      <c r="B456" s="259"/>
      <c r="C456" s="1096" t="s">
        <v>55</v>
      </c>
      <c r="D456" s="760" t="s">
        <v>6</v>
      </c>
      <c r="E456" s="761">
        <f t="shared" ref="E456:N456" si="44">E457+E464</f>
        <v>0</v>
      </c>
      <c r="F456" s="762">
        <f t="shared" si="44"/>
        <v>0</v>
      </c>
      <c r="G456" s="762">
        <f t="shared" si="44"/>
        <v>0</v>
      </c>
      <c r="H456" s="762">
        <f t="shared" si="44"/>
        <v>0</v>
      </c>
      <c r="I456" s="762">
        <f t="shared" si="44"/>
        <v>0</v>
      </c>
      <c r="J456" s="762">
        <f t="shared" si="44"/>
        <v>0</v>
      </c>
      <c r="K456" s="762">
        <f t="shared" si="44"/>
        <v>0</v>
      </c>
      <c r="L456" s="762">
        <f t="shared" si="44"/>
        <v>0</v>
      </c>
      <c r="M456" s="762">
        <f t="shared" si="44"/>
        <v>0</v>
      </c>
      <c r="N456" s="763">
        <f t="shared" si="44"/>
        <v>0</v>
      </c>
      <c r="O456" s="3165">
        <f>SUM(E456:N456)</f>
        <v>0</v>
      </c>
      <c r="P456" s="3166"/>
      <c r="Q456" s="263"/>
      <c r="S456" s="2899"/>
      <c r="T456" s="675"/>
      <c r="U456" s="332"/>
      <c r="V456" s="333"/>
      <c r="W456" s="333"/>
      <c r="X456" s="333"/>
      <c r="Y456" s="333"/>
      <c r="Z456" s="333"/>
      <c r="AA456" s="333"/>
      <c r="AB456" s="333"/>
      <c r="AC456" s="333"/>
      <c r="AD456" s="333"/>
      <c r="AE456" s="675"/>
      <c r="AF456" s="675"/>
      <c r="AG456" s="675"/>
      <c r="AH456" s="675"/>
    </row>
    <row r="457" spans="2:34" ht="22.5" customHeight="1" x14ac:dyDescent="0.25">
      <c r="B457" s="259"/>
      <c r="C457" s="1097" t="s">
        <v>1</v>
      </c>
      <c r="D457" s="750" t="s">
        <v>1536</v>
      </c>
      <c r="E457" s="748">
        <f>SUM(E458:E459)</f>
        <v>0</v>
      </c>
      <c r="F457" s="749">
        <f t="shared" ref="F457" si="45">SUM(F458:F459)</f>
        <v>0</v>
      </c>
      <c r="G457" s="749">
        <f t="shared" ref="G457" si="46">SUM(G458:G459)</f>
        <v>0</v>
      </c>
      <c r="H457" s="749">
        <f t="shared" ref="H457" si="47">SUM(H458:H459)</f>
        <v>0</v>
      </c>
      <c r="I457" s="749">
        <f t="shared" ref="I457" si="48">SUM(I458:I459)</f>
        <v>0</v>
      </c>
      <c r="J457" s="749">
        <f t="shared" ref="J457" si="49">SUM(J458:J459)</f>
        <v>0</v>
      </c>
      <c r="K457" s="749">
        <f t="shared" ref="K457" si="50">SUM(K458:K459)</f>
        <v>0</v>
      </c>
      <c r="L457" s="749">
        <f t="shared" ref="L457" si="51">SUM(L458:L459)</f>
        <v>0</v>
      </c>
      <c r="M457" s="749">
        <f t="shared" ref="M457" si="52">SUM(M458:M459)</f>
        <v>0</v>
      </c>
      <c r="N457" s="749">
        <f t="shared" ref="N457" si="53">SUM(N458:N459)</f>
        <v>0</v>
      </c>
      <c r="O457" s="3148">
        <f>SUM(E457:N457)</f>
        <v>0</v>
      </c>
      <c r="P457" s="3149"/>
      <c r="Q457" s="263"/>
      <c r="S457" s="2899"/>
      <c r="T457" s="675"/>
      <c r="U457" s="332"/>
      <c r="V457" s="333"/>
      <c r="W457" s="333"/>
      <c r="X457" s="333"/>
      <c r="Y457" s="333"/>
      <c r="Z457" s="333"/>
      <c r="AA457" s="333"/>
      <c r="AB457" s="333"/>
      <c r="AC457" s="333"/>
      <c r="AD457" s="333"/>
      <c r="AE457" s="675"/>
      <c r="AF457" s="675"/>
      <c r="AG457" s="675"/>
      <c r="AH457" s="675"/>
    </row>
    <row r="458" spans="2:34" ht="18" customHeight="1" x14ac:dyDescent="0.25">
      <c r="B458" s="494" t="str">
        <f>IF(COUNTBLANK(E458:N458)&lt;10,"","u")</f>
        <v>u</v>
      </c>
      <c r="C458" s="3254" t="s">
        <v>1578</v>
      </c>
      <c r="D458" s="3255"/>
      <c r="E458" s="585"/>
      <c r="F458" s="586"/>
      <c r="G458" s="586"/>
      <c r="H458" s="586"/>
      <c r="I458" s="586"/>
      <c r="J458" s="586"/>
      <c r="K458" s="586"/>
      <c r="L458" s="586"/>
      <c r="M458" s="586"/>
      <c r="N458" s="587"/>
      <c r="O458" s="3167">
        <f>SUM(E458:N458)</f>
        <v>0</v>
      </c>
      <c r="P458" s="3168"/>
      <c r="Q458" s="263"/>
      <c r="S458" s="2899"/>
    </row>
    <row r="459" spans="2:34" ht="18" customHeight="1" x14ac:dyDescent="0.25">
      <c r="B459" s="494" t="str">
        <f>IF(COUNTBLANK(E459:N459)&lt;10,"","u")</f>
        <v>u</v>
      </c>
      <c r="C459" s="1098" t="s">
        <v>1588</v>
      </c>
      <c r="D459" s="990" t="s">
        <v>87</v>
      </c>
      <c r="E459" s="741"/>
      <c r="F459" s="742"/>
      <c r="G459" s="742"/>
      <c r="H459" s="742"/>
      <c r="I459" s="742"/>
      <c r="J459" s="742"/>
      <c r="K459" s="742"/>
      <c r="L459" s="742"/>
      <c r="M459" s="742"/>
      <c r="N459" s="743"/>
      <c r="O459" s="3167">
        <f t="shared" ref="O459:O462" si="54">SUM(E459:N459)</f>
        <v>0</v>
      </c>
      <c r="P459" s="3168"/>
      <c r="Q459" s="263"/>
      <c r="S459" s="2899"/>
      <c r="T459" s="334"/>
      <c r="U459" s="240"/>
      <c r="V459" s="240"/>
      <c r="W459" s="240"/>
      <c r="X459" s="240"/>
      <c r="Y459" s="240"/>
      <c r="Z459" s="240"/>
      <c r="AA459" s="240"/>
      <c r="AB459" s="240"/>
      <c r="AC459" s="240"/>
      <c r="AD459" s="240"/>
      <c r="AE459" s="240"/>
      <c r="AF459" s="240"/>
      <c r="AG459" s="240"/>
      <c r="AH459" s="240"/>
    </row>
    <row r="460" spans="2:34" ht="18" customHeight="1" x14ac:dyDescent="0.25">
      <c r="B460" s="494" t="str">
        <f>IF(COUNTBLANK(E460:N460)&lt;10,"","w")</f>
        <v>w</v>
      </c>
      <c r="C460" s="3037" t="s">
        <v>1574</v>
      </c>
      <c r="D460" s="3038"/>
      <c r="E460" s="744"/>
      <c r="F460" s="745"/>
      <c r="G460" s="745"/>
      <c r="H460" s="745"/>
      <c r="I460" s="745"/>
      <c r="J460" s="745"/>
      <c r="K460" s="745"/>
      <c r="L460" s="745"/>
      <c r="M460" s="745"/>
      <c r="N460" s="746"/>
      <c r="O460" s="3161">
        <f t="shared" si="54"/>
        <v>0</v>
      </c>
      <c r="P460" s="3162"/>
      <c r="Q460" s="263"/>
      <c r="S460" s="2899"/>
      <c r="T460" s="334"/>
      <c r="U460" s="240"/>
      <c r="V460" s="240"/>
      <c r="W460" s="240"/>
      <c r="X460" s="240"/>
      <c r="Y460" s="240"/>
      <c r="Z460" s="240"/>
      <c r="AA460" s="240"/>
      <c r="AB460" s="240"/>
      <c r="AC460" s="240"/>
      <c r="AD460" s="240"/>
      <c r="AE460" s="240"/>
      <c r="AF460" s="240"/>
      <c r="AG460" s="240"/>
      <c r="AH460" s="240"/>
    </row>
    <row r="461" spans="2:34" ht="18" customHeight="1" x14ac:dyDescent="0.25">
      <c r="B461" s="494" t="str">
        <f>IF(COUNTBLANK(E461:N461)&lt;10,"","w")</f>
        <v>w</v>
      </c>
      <c r="C461" s="3044" t="s">
        <v>1575</v>
      </c>
      <c r="D461" s="3045"/>
      <c r="E461" s="732"/>
      <c r="F461" s="733"/>
      <c r="G461" s="733"/>
      <c r="H461" s="733"/>
      <c r="I461" s="733"/>
      <c r="J461" s="733"/>
      <c r="K461" s="733"/>
      <c r="L461" s="733"/>
      <c r="M461" s="733"/>
      <c r="N461" s="734"/>
      <c r="O461" s="3138">
        <f t="shared" si="54"/>
        <v>0</v>
      </c>
      <c r="P461" s="3139"/>
      <c r="Q461" s="263"/>
      <c r="S461" s="2899"/>
    </row>
    <row r="462" spans="2:34" ht="18" customHeight="1" x14ac:dyDescent="0.25">
      <c r="B462" s="494" t="str">
        <f>IF(COUNTBLANK(E462:N462)&lt;10,"","w")</f>
        <v>w</v>
      </c>
      <c r="C462" s="3039" t="s">
        <v>1577</v>
      </c>
      <c r="D462" s="3040"/>
      <c r="E462" s="751"/>
      <c r="F462" s="752"/>
      <c r="G462" s="752"/>
      <c r="H462" s="752"/>
      <c r="I462" s="752"/>
      <c r="J462" s="752"/>
      <c r="K462" s="752"/>
      <c r="L462" s="752"/>
      <c r="M462" s="752"/>
      <c r="N462" s="753"/>
      <c r="O462" s="3197">
        <f t="shared" si="54"/>
        <v>0</v>
      </c>
      <c r="P462" s="3198"/>
      <c r="Q462" s="263"/>
      <c r="S462" s="2899"/>
    </row>
    <row r="463" spans="2:34" ht="18" customHeight="1" thickBot="1" x14ac:dyDescent="0.3">
      <c r="B463" s="494" t="str">
        <f>IF(COUNTBLANK(E463:N463)&lt;10,"","w")</f>
        <v>w</v>
      </c>
      <c r="C463" s="3044" t="s">
        <v>1576</v>
      </c>
      <c r="D463" s="3045"/>
      <c r="E463" s="732"/>
      <c r="F463" s="733"/>
      <c r="G463" s="733"/>
      <c r="H463" s="733"/>
      <c r="I463" s="733"/>
      <c r="J463" s="733"/>
      <c r="K463" s="733"/>
      <c r="L463" s="733"/>
      <c r="M463" s="733"/>
      <c r="N463" s="734"/>
      <c r="O463" s="3138">
        <f>SUM(E463:N463)</f>
        <v>0</v>
      </c>
      <c r="P463" s="3139"/>
      <c r="Q463" s="263"/>
      <c r="S463" s="2899"/>
    </row>
    <row r="464" spans="2:34" ht="22.5" customHeight="1" x14ac:dyDescent="0.25">
      <c r="B464" s="259"/>
      <c r="C464" s="1099" t="s">
        <v>2</v>
      </c>
      <c r="D464" s="754" t="s">
        <v>1536</v>
      </c>
      <c r="E464" s="755">
        <f>SUM(E465:E466)</f>
        <v>0</v>
      </c>
      <c r="F464" s="756">
        <f t="shared" ref="F464" si="55">SUM(F465:F466)</f>
        <v>0</v>
      </c>
      <c r="G464" s="756">
        <f t="shared" ref="G464" si="56">SUM(G465:G466)</f>
        <v>0</v>
      </c>
      <c r="H464" s="756">
        <f t="shared" ref="H464" si="57">SUM(H465:H466)</f>
        <v>0</v>
      </c>
      <c r="I464" s="756">
        <f t="shared" ref="I464" si="58">SUM(I465:I466)</f>
        <v>0</v>
      </c>
      <c r="J464" s="756">
        <f t="shared" ref="J464" si="59">SUM(J465:J466)</f>
        <v>0</v>
      </c>
      <c r="K464" s="756">
        <f t="shared" ref="K464" si="60">SUM(K465:K466)</f>
        <v>0</v>
      </c>
      <c r="L464" s="756">
        <f t="shared" ref="L464" si="61">SUM(L465:L466)</f>
        <v>0</v>
      </c>
      <c r="M464" s="756">
        <f t="shared" ref="M464" si="62">SUM(M465:M466)</f>
        <v>0</v>
      </c>
      <c r="N464" s="756">
        <f t="shared" ref="N464" si="63">SUM(N465:N466)</f>
        <v>0</v>
      </c>
      <c r="O464" s="3146">
        <f>SUM(E464:N464)</f>
        <v>0</v>
      </c>
      <c r="P464" s="3147"/>
      <c r="Q464" s="263"/>
      <c r="S464" s="2899"/>
      <c r="T464" s="675"/>
      <c r="U464" s="332"/>
      <c r="V464" s="333"/>
      <c r="W464" s="333"/>
      <c r="X464" s="333"/>
      <c r="Y464" s="333"/>
      <c r="Z464" s="333"/>
      <c r="AA464" s="333"/>
      <c r="AB464" s="333"/>
      <c r="AC464" s="333"/>
      <c r="AD464" s="333"/>
      <c r="AE464" s="675"/>
      <c r="AF464" s="675"/>
      <c r="AG464" s="675"/>
      <c r="AH464" s="675"/>
    </row>
    <row r="465" spans="2:34" ht="18" customHeight="1" x14ac:dyDescent="0.25">
      <c r="B465" s="494" t="str">
        <f>IF(COUNTBLANK(E465:N465)&lt;10,"","u")</f>
        <v>u</v>
      </c>
      <c r="C465" s="3254" t="s">
        <v>1578</v>
      </c>
      <c r="D465" s="3255"/>
      <c r="E465" s="585"/>
      <c r="F465" s="586"/>
      <c r="G465" s="586"/>
      <c r="H465" s="586"/>
      <c r="I465" s="586"/>
      <c r="J465" s="586"/>
      <c r="K465" s="586"/>
      <c r="L465" s="586"/>
      <c r="M465" s="586"/>
      <c r="N465" s="587"/>
      <c r="O465" s="3167">
        <f>SUM(E465:N465)</f>
        <v>0</v>
      </c>
      <c r="P465" s="3168"/>
      <c r="Q465" s="263"/>
      <c r="S465" s="2899"/>
    </row>
    <row r="466" spans="2:34" ht="18" customHeight="1" x14ac:dyDescent="0.25">
      <c r="B466" s="494" t="str">
        <f>IF(COUNTBLANK(E466:N466)&lt;10,"","u")</f>
        <v>u</v>
      </c>
      <c r="C466" s="1098" t="s">
        <v>1588</v>
      </c>
      <c r="D466" s="990" t="s">
        <v>87</v>
      </c>
      <c r="E466" s="741"/>
      <c r="F466" s="742"/>
      <c r="G466" s="742"/>
      <c r="H466" s="742"/>
      <c r="I466" s="742"/>
      <c r="J466" s="742"/>
      <c r="K466" s="742"/>
      <c r="L466" s="742"/>
      <c r="M466" s="742"/>
      <c r="N466" s="743"/>
      <c r="O466" s="3167">
        <f t="shared" ref="O466:O469" si="64">SUM(E466:N466)</f>
        <v>0</v>
      </c>
      <c r="P466" s="3168"/>
      <c r="Q466" s="263"/>
      <c r="S466" s="2899"/>
      <c r="T466" s="334"/>
      <c r="U466" s="240"/>
      <c r="V466" s="240"/>
      <c r="W466" s="240"/>
      <c r="X466" s="240"/>
      <c r="Y466" s="240"/>
      <c r="Z466" s="240"/>
      <c r="AA466" s="240"/>
      <c r="AB466" s="240"/>
      <c r="AC466" s="240"/>
      <c r="AD466" s="240"/>
      <c r="AE466" s="240"/>
      <c r="AF466" s="240"/>
      <c r="AG466" s="240"/>
      <c r="AH466" s="240"/>
    </row>
    <row r="467" spans="2:34" ht="18" customHeight="1" x14ac:dyDescent="0.25">
      <c r="B467" s="494" t="str">
        <f>IF(COUNTBLANK(E467:N467)&lt;10,"","w")</f>
        <v>w</v>
      </c>
      <c r="C467" s="3037" t="s">
        <v>1574</v>
      </c>
      <c r="D467" s="3038"/>
      <c r="E467" s="744"/>
      <c r="F467" s="745"/>
      <c r="G467" s="745"/>
      <c r="H467" s="745"/>
      <c r="I467" s="745"/>
      <c r="J467" s="745"/>
      <c r="K467" s="745"/>
      <c r="L467" s="745"/>
      <c r="M467" s="745"/>
      <c r="N467" s="746"/>
      <c r="O467" s="3161">
        <f t="shared" si="64"/>
        <v>0</v>
      </c>
      <c r="P467" s="3162"/>
      <c r="Q467" s="263"/>
      <c r="S467" s="2899"/>
      <c r="T467" s="334"/>
      <c r="U467" s="240"/>
      <c r="V467" s="240"/>
      <c r="W467" s="240"/>
      <c r="X467" s="240"/>
      <c r="Y467" s="240"/>
      <c r="Z467" s="240"/>
      <c r="AA467" s="240"/>
      <c r="AB467" s="240"/>
      <c r="AC467" s="240"/>
      <c r="AD467" s="240"/>
      <c r="AE467" s="240"/>
      <c r="AF467" s="240"/>
      <c r="AG467" s="240"/>
      <c r="AH467" s="240"/>
    </row>
    <row r="468" spans="2:34" ht="18" customHeight="1" x14ac:dyDescent="0.25">
      <c r="B468" s="494" t="str">
        <f>IF(COUNTBLANK(E468:N468)&lt;10,"","w")</f>
        <v>w</v>
      </c>
      <c r="C468" s="3044" t="s">
        <v>1575</v>
      </c>
      <c r="D468" s="3045"/>
      <c r="E468" s="732"/>
      <c r="F468" s="733"/>
      <c r="G468" s="733"/>
      <c r="H468" s="733"/>
      <c r="I468" s="733"/>
      <c r="J468" s="733"/>
      <c r="K468" s="733"/>
      <c r="L468" s="733"/>
      <c r="M468" s="733"/>
      <c r="N468" s="734"/>
      <c r="O468" s="3138">
        <f t="shared" si="64"/>
        <v>0</v>
      </c>
      <c r="P468" s="3139"/>
      <c r="Q468" s="263"/>
      <c r="S468" s="2899"/>
    </row>
    <row r="469" spans="2:34" ht="18" customHeight="1" x14ac:dyDescent="0.25">
      <c r="B469" s="494" t="str">
        <f>IF(COUNTBLANK(E469:N469)&lt;10,"","w")</f>
        <v>w</v>
      </c>
      <c r="C469" s="3039" t="s">
        <v>1577</v>
      </c>
      <c r="D469" s="3040"/>
      <c r="E469" s="751"/>
      <c r="F469" s="752"/>
      <c r="G469" s="752"/>
      <c r="H469" s="752"/>
      <c r="I469" s="752"/>
      <c r="J469" s="752"/>
      <c r="K469" s="752"/>
      <c r="L469" s="752"/>
      <c r="M469" s="752"/>
      <c r="N469" s="753"/>
      <c r="O469" s="3197">
        <f t="shared" si="64"/>
        <v>0</v>
      </c>
      <c r="P469" s="3198"/>
      <c r="Q469" s="263"/>
      <c r="S469" s="2899"/>
    </row>
    <row r="470" spans="2:34" ht="18" customHeight="1" thickBot="1" x14ac:dyDescent="0.3">
      <c r="B470" s="494" t="str">
        <f>IF(COUNTBLANK(E470:N470)&lt;10,"","w")</f>
        <v>w</v>
      </c>
      <c r="C470" s="3044" t="s">
        <v>1576</v>
      </c>
      <c r="D470" s="3045"/>
      <c r="E470" s="732"/>
      <c r="F470" s="733"/>
      <c r="G470" s="733"/>
      <c r="H470" s="733"/>
      <c r="I470" s="733"/>
      <c r="J470" s="733"/>
      <c r="K470" s="733"/>
      <c r="L470" s="733"/>
      <c r="M470" s="733"/>
      <c r="N470" s="734"/>
      <c r="O470" s="3138">
        <f>SUM(E470:N470)</f>
        <v>0</v>
      </c>
      <c r="P470" s="3139"/>
      <c r="Q470" s="263"/>
      <c r="S470" s="2899"/>
    </row>
    <row r="471" spans="2:34" ht="37.5" customHeight="1" thickBot="1" x14ac:dyDescent="0.3">
      <c r="B471" s="259"/>
      <c r="C471" s="3061" t="s">
        <v>130</v>
      </c>
      <c r="D471" s="3062"/>
      <c r="E471" s="3158"/>
      <c r="F471" s="3159"/>
      <c r="G471" s="3159"/>
      <c r="H471" s="3159"/>
      <c r="I471" s="3159"/>
      <c r="J471" s="3159"/>
      <c r="K471" s="3159"/>
      <c r="L471" s="3159"/>
      <c r="M471" s="3159"/>
      <c r="N471" s="3159"/>
      <c r="O471" s="3159"/>
      <c r="P471" s="3160"/>
      <c r="Q471" s="263"/>
      <c r="S471" s="2899"/>
    </row>
    <row r="472" spans="2:34" ht="22.5" customHeight="1" thickBot="1" x14ac:dyDescent="0.3">
      <c r="B472" s="494"/>
      <c r="C472" s="1096" t="s">
        <v>123</v>
      </c>
      <c r="D472" s="760" t="s">
        <v>6</v>
      </c>
      <c r="E472" s="761">
        <f t="shared" ref="E472:N472" si="65">E473+E475+E474</f>
        <v>0</v>
      </c>
      <c r="F472" s="762">
        <f t="shared" si="65"/>
        <v>0</v>
      </c>
      <c r="G472" s="762">
        <f t="shared" si="65"/>
        <v>0</v>
      </c>
      <c r="H472" s="762">
        <f t="shared" si="65"/>
        <v>0</v>
      </c>
      <c r="I472" s="762">
        <f t="shared" si="65"/>
        <v>0</v>
      </c>
      <c r="J472" s="762">
        <f t="shared" si="65"/>
        <v>0</v>
      </c>
      <c r="K472" s="762">
        <f t="shared" si="65"/>
        <v>0</v>
      </c>
      <c r="L472" s="762">
        <f t="shared" si="65"/>
        <v>0</v>
      </c>
      <c r="M472" s="762">
        <f t="shared" si="65"/>
        <v>0</v>
      </c>
      <c r="N472" s="763">
        <f t="shared" si="65"/>
        <v>0</v>
      </c>
      <c r="O472" s="3165">
        <f t="shared" ref="O472:O494" si="66">SUM(E472:N472)</f>
        <v>0</v>
      </c>
      <c r="P472" s="3166"/>
      <c r="Q472" s="319"/>
      <c r="S472" s="2899"/>
    </row>
    <row r="473" spans="2:34" ht="18" customHeight="1" x14ac:dyDescent="0.25">
      <c r="B473" s="494" t="str">
        <f>IF(COUNTBLANK(E473:N473)&lt;10,"","u")</f>
        <v>u</v>
      </c>
      <c r="C473" s="3142" t="s">
        <v>1578</v>
      </c>
      <c r="D473" s="3143"/>
      <c r="E473" s="585"/>
      <c r="F473" s="586"/>
      <c r="G473" s="586"/>
      <c r="H473" s="586"/>
      <c r="I473" s="586"/>
      <c r="J473" s="586"/>
      <c r="K473" s="586"/>
      <c r="L473" s="586"/>
      <c r="M473" s="586"/>
      <c r="N473" s="587"/>
      <c r="O473" s="3098">
        <f>SUM(E473:N473)</f>
        <v>0</v>
      </c>
      <c r="P473" s="3099"/>
      <c r="Q473" s="319"/>
      <c r="S473" s="2899"/>
    </row>
    <row r="474" spans="2:34" ht="18" customHeight="1" x14ac:dyDescent="0.25">
      <c r="B474" s="494" t="str">
        <f>IF(COUNTBLANK(E474:N474)&lt;10,"","u")</f>
        <v>u</v>
      </c>
      <c r="C474" s="3140" t="s">
        <v>1437</v>
      </c>
      <c r="D474" s="3141"/>
      <c r="E474" s="741"/>
      <c r="F474" s="742"/>
      <c r="G474" s="742"/>
      <c r="H474" s="742"/>
      <c r="I474" s="742"/>
      <c r="J474" s="742"/>
      <c r="K474" s="742"/>
      <c r="L474" s="742"/>
      <c r="M474" s="742"/>
      <c r="N474" s="743"/>
      <c r="O474" s="3167">
        <f>SUM(E474:N474)</f>
        <v>0</v>
      </c>
      <c r="P474" s="3168"/>
      <c r="Q474" s="319"/>
      <c r="S474" s="2899"/>
    </row>
    <row r="475" spans="2:34" ht="18" customHeight="1" x14ac:dyDescent="0.25">
      <c r="B475" s="494" t="str">
        <f>IF(COUNTBLANK(E475:N475)&lt;10,"","u")</f>
        <v>u</v>
      </c>
      <c r="C475" s="1098" t="s">
        <v>1588</v>
      </c>
      <c r="D475" s="990" t="s">
        <v>87</v>
      </c>
      <c r="E475" s="741"/>
      <c r="F475" s="742"/>
      <c r="G475" s="742"/>
      <c r="H475" s="742"/>
      <c r="I475" s="742"/>
      <c r="J475" s="742"/>
      <c r="K475" s="742"/>
      <c r="L475" s="742"/>
      <c r="M475" s="742"/>
      <c r="N475" s="743"/>
      <c r="O475" s="3167">
        <f t="shared" ref="O475:O477" si="67">SUM(E475:N475)</f>
        <v>0</v>
      </c>
      <c r="P475" s="3168"/>
      <c r="Q475" s="263"/>
      <c r="S475" s="2899"/>
      <c r="T475" s="334"/>
      <c r="U475" s="240"/>
      <c r="V475" s="240"/>
      <c r="W475" s="240"/>
      <c r="X475" s="240"/>
      <c r="Y475" s="240"/>
      <c r="Z475" s="240"/>
      <c r="AA475" s="240"/>
      <c r="AB475" s="240"/>
      <c r="AC475" s="240"/>
      <c r="AD475" s="240"/>
      <c r="AE475" s="240"/>
      <c r="AF475" s="240"/>
      <c r="AG475" s="240"/>
      <c r="AH475" s="240"/>
    </row>
    <row r="476" spans="2:34" ht="18" customHeight="1" x14ac:dyDescent="0.25">
      <c r="B476" s="494" t="str">
        <f>IF(COUNTBLANK(E476:N476)&lt;10,"","w")</f>
        <v>w</v>
      </c>
      <c r="C476" s="3037" t="s">
        <v>1575</v>
      </c>
      <c r="D476" s="3038"/>
      <c r="E476" s="744"/>
      <c r="F476" s="745"/>
      <c r="G476" s="745"/>
      <c r="H476" s="745"/>
      <c r="I476" s="745"/>
      <c r="J476" s="745"/>
      <c r="K476" s="745"/>
      <c r="L476" s="745"/>
      <c r="M476" s="745"/>
      <c r="N476" s="746"/>
      <c r="O476" s="3161">
        <f t="shared" si="67"/>
        <v>0</v>
      </c>
      <c r="P476" s="3162"/>
      <c r="Q476" s="319"/>
      <c r="S476" s="2899"/>
    </row>
    <row r="477" spans="2:34" ht="18" customHeight="1" x14ac:dyDescent="0.25">
      <c r="B477" s="494" t="str">
        <f>IF(COUNTBLANK(E477:N477)&lt;10,"","w")</f>
        <v>w</v>
      </c>
      <c r="C477" s="3039" t="s">
        <v>1577</v>
      </c>
      <c r="D477" s="3040"/>
      <c r="E477" s="751"/>
      <c r="F477" s="752"/>
      <c r="G477" s="752"/>
      <c r="H477" s="752"/>
      <c r="I477" s="752"/>
      <c r="J477" s="752"/>
      <c r="K477" s="752"/>
      <c r="L477" s="752"/>
      <c r="M477" s="752"/>
      <c r="N477" s="753"/>
      <c r="O477" s="3197">
        <f t="shared" si="67"/>
        <v>0</v>
      </c>
      <c r="P477" s="3198"/>
      <c r="Q477" s="319"/>
      <c r="S477" s="2899"/>
    </row>
    <row r="478" spans="2:34" ht="18" customHeight="1" thickBot="1" x14ac:dyDescent="0.3">
      <c r="B478" s="494" t="str">
        <f>IF(COUNTBLANK(E478:N478)&lt;10,"","w")</f>
        <v>w</v>
      </c>
      <c r="C478" s="3044" t="s">
        <v>1576</v>
      </c>
      <c r="D478" s="3045"/>
      <c r="E478" s="732"/>
      <c r="F478" s="733"/>
      <c r="G478" s="733"/>
      <c r="H478" s="733"/>
      <c r="I478" s="733"/>
      <c r="J478" s="733"/>
      <c r="K478" s="733"/>
      <c r="L478" s="733"/>
      <c r="M478" s="733"/>
      <c r="N478" s="734"/>
      <c r="O478" s="3138">
        <f>SUM(E478:N478)</f>
        <v>0</v>
      </c>
      <c r="P478" s="3139"/>
      <c r="Q478" s="319"/>
      <c r="S478" s="2899"/>
    </row>
    <row r="479" spans="2:34" ht="37.5" customHeight="1" thickBot="1" x14ac:dyDescent="0.3">
      <c r="B479" s="259"/>
      <c r="C479" s="3061" t="s">
        <v>130</v>
      </c>
      <c r="D479" s="3062"/>
      <c r="E479" s="3158"/>
      <c r="F479" s="3159"/>
      <c r="G479" s="3159"/>
      <c r="H479" s="3159"/>
      <c r="I479" s="3159"/>
      <c r="J479" s="3159"/>
      <c r="K479" s="3159"/>
      <c r="L479" s="3159"/>
      <c r="M479" s="3159"/>
      <c r="N479" s="3159"/>
      <c r="O479" s="3159"/>
      <c r="P479" s="3160"/>
      <c r="Q479" s="263"/>
      <c r="S479" s="2899"/>
    </row>
    <row r="480" spans="2:34" ht="22.5" customHeight="1" thickBot="1" x14ac:dyDescent="0.3">
      <c r="B480" s="259"/>
      <c r="C480" s="1100" t="s">
        <v>133</v>
      </c>
      <c r="D480" s="764" t="s">
        <v>6</v>
      </c>
      <c r="E480" s="765">
        <f t="shared" ref="E480:N480" si="68">E481+E487</f>
        <v>0</v>
      </c>
      <c r="F480" s="766">
        <f t="shared" si="68"/>
        <v>0</v>
      </c>
      <c r="G480" s="766">
        <f t="shared" si="68"/>
        <v>0</v>
      </c>
      <c r="H480" s="766">
        <f t="shared" si="68"/>
        <v>0</v>
      </c>
      <c r="I480" s="766">
        <f t="shared" si="68"/>
        <v>0</v>
      </c>
      <c r="J480" s="766">
        <f t="shared" si="68"/>
        <v>0</v>
      </c>
      <c r="K480" s="766">
        <f t="shared" si="68"/>
        <v>0</v>
      </c>
      <c r="L480" s="766">
        <f t="shared" si="68"/>
        <v>0</v>
      </c>
      <c r="M480" s="766">
        <f t="shared" si="68"/>
        <v>0</v>
      </c>
      <c r="N480" s="767">
        <f t="shared" si="68"/>
        <v>0</v>
      </c>
      <c r="O480" s="3144">
        <f t="shared" ref="O480:O481" si="69">SUM(E480:N480)</f>
        <v>0</v>
      </c>
      <c r="P480" s="3145"/>
      <c r="Q480" s="263"/>
      <c r="S480" s="2899"/>
      <c r="T480" s="676"/>
      <c r="U480" s="11"/>
      <c r="V480" s="11"/>
      <c r="W480" s="11"/>
      <c r="X480" s="11"/>
      <c r="Y480" s="11"/>
      <c r="Z480" s="11"/>
      <c r="AA480" s="11"/>
      <c r="AB480" s="11"/>
      <c r="AC480" s="11"/>
      <c r="AD480" s="11"/>
      <c r="AE480" s="11"/>
    </row>
    <row r="481" spans="2:34" ht="22.5" customHeight="1" x14ac:dyDescent="0.25">
      <c r="B481" s="259"/>
      <c r="C481" s="1099" t="s">
        <v>3</v>
      </c>
      <c r="D481" s="754" t="s">
        <v>1536</v>
      </c>
      <c r="E481" s="755">
        <f>SUM(E482:E483)</f>
        <v>0</v>
      </c>
      <c r="F481" s="756">
        <f t="shared" ref="F481" si="70">SUM(F482:F483)</f>
        <v>0</v>
      </c>
      <c r="G481" s="756">
        <f t="shared" ref="G481" si="71">SUM(G482:G483)</f>
        <v>0</v>
      </c>
      <c r="H481" s="756">
        <f t="shared" ref="H481" si="72">SUM(H482:H483)</f>
        <v>0</v>
      </c>
      <c r="I481" s="756">
        <f t="shared" ref="I481" si="73">SUM(I482:I483)</f>
        <v>0</v>
      </c>
      <c r="J481" s="756">
        <f t="shared" ref="J481" si="74">SUM(J482:J483)</f>
        <v>0</v>
      </c>
      <c r="K481" s="756">
        <f t="shared" ref="K481" si="75">SUM(K482:K483)</f>
        <v>0</v>
      </c>
      <c r="L481" s="756">
        <f t="shared" ref="L481" si="76">SUM(L482:L483)</f>
        <v>0</v>
      </c>
      <c r="M481" s="756">
        <f t="shared" ref="M481" si="77">SUM(M482:M483)</f>
        <v>0</v>
      </c>
      <c r="N481" s="756">
        <f t="shared" ref="N481" si="78">SUM(N482:N483)</f>
        <v>0</v>
      </c>
      <c r="O481" s="3146">
        <f t="shared" si="69"/>
        <v>0</v>
      </c>
      <c r="P481" s="3147"/>
      <c r="Q481" s="263"/>
      <c r="S481" s="2899"/>
      <c r="T481" s="675"/>
      <c r="U481" s="332"/>
      <c r="V481" s="333"/>
      <c r="W481" s="333"/>
      <c r="X481" s="333"/>
      <c r="Y481" s="333"/>
      <c r="Z481" s="333"/>
      <c r="AA481" s="333"/>
      <c r="AB481" s="333"/>
      <c r="AC481" s="333"/>
      <c r="AD481" s="333"/>
      <c r="AE481" s="675"/>
      <c r="AF481" s="675"/>
      <c r="AG481" s="675"/>
      <c r="AH481" s="675"/>
    </row>
    <row r="482" spans="2:34" ht="18" customHeight="1" x14ac:dyDescent="0.25">
      <c r="B482" s="494" t="str">
        <f>IF(COUNTBLANK(E482:N482)&lt;10,"","u")</f>
        <v>u</v>
      </c>
      <c r="C482" s="3142" t="s">
        <v>1578</v>
      </c>
      <c r="D482" s="3143"/>
      <c r="E482" s="585"/>
      <c r="F482" s="586"/>
      <c r="G482" s="586"/>
      <c r="H482" s="586"/>
      <c r="I482" s="586"/>
      <c r="J482" s="586"/>
      <c r="K482" s="586"/>
      <c r="L482" s="586"/>
      <c r="M482" s="586"/>
      <c r="N482" s="587"/>
      <c r="O482" s="3167">
        <f>SUM(E482:N482)</f>
        <v>0</v>
      </c>
      <c r="P482" s="3168"/>
      <c r="Q482" s="263"/>
      <c r="S482" s="2899"/>
    </row>
    <row r="483" spans="2:34" ht="18" customHeight="1" x14ac:dyDescent="0.25">
      <c r="B483" s="494" t="str">
        <f>IF(COUNTBLANK(E483:N483)&lt;10,"","u")</f>
        <v>u</v>
      </c>
      <c r="C483" s="1098" t="s">
        <v>1588</v>
      </c>
      <c r="D483" s="990" t="s">
        <v>87</v>
      </c>
      <c r="E483" s="741"/>
      <c r="F483" s="742"/>
      <c r="G483" s="742"/>
      <c r="H483" s="742"/>
      <c r="I483" s="742"/>
      <c r="J483" s="742"/>
      <c r="K483" s="742"/>
      <c r="L483" s="742"/>
      <c r="M483" s="742"/>
      <c r="N483" s="743"/>
      <c r="O483" s="3167">
        <f t="shared" ref="O483:O485" si="79">SUM(E483:N483)</f>
        <v>0</v>
      </c>
      <c r="P483" s="3168"/>
      <c r="Q483" s="263"/>
      <c r="S483" s="2899"/>
      <c r="T483" s="334"/>
      <c r="U483" s="240"/>
      <c r="V483" s="240"/>
      <c r="W483" s="240"/>
      <c r="X483" s="240"/>
      <c r="Y483" s="240"/>
      <c r="Z483" s="240"/>
      <c r="AA483" s="240"/>
      <c r="AB483" s="240"/>
      <c r="AC483" s="240"/>
      <c r="AD483" s="240"/>
      <c r="AE483" s="240"/>
      <c r="AF483" s="240"/>
      <c r="AG483" s="240"/>
      <c r="AH483" s="240"/>
    </row>
    <row r="484" spans="2:34" ht="18" customHeight="1" x14ac:dyDescent="0.25">
      <c r="B484" s="494" t="str">
        <f>IF(COUNTBLANK(E484:N484)&lt;10,"","w")</f>
        <v>w</v>
      </c>
      <c r="C484" s="3037" t="s">
        <v>1575</v>
      </c>
      <c r="D484" s="3038"/>
      <c r="E484" s="744"/>
      <c r="F484" s="745"/>
      <c r="G484" s="745"/>
      <c r="H484" s="745"/>
      <c r="I484" s="745"/>
      <c r="J484" s="745"/>
      <c r="K484" s="745"/>
      <c r="L484" s="745"/>
      <c r="M484" s="745"/>
      <c r="N484" s="746"/>
      <c r="O484" s="3161">
        <f t="shared" si="79"/>
        <v>0</v>
      </c>
      <c r="P484" s="3162"/>
      <c r="Q484" s="263"/>
      <c r="S484" s="2899"/>
    </row>
    <row r="485" spans="2:34" ht="18" customHeight="1" x14ac:dyDescent="0.25">
      <c r="B485" s="494" t="str">
        <f>IF(COUNTBLANK(E485:N485)&lt;10,"","w")</f>
        <v>w</v>
      </c>
      <c r="C485" s="3039" t="s">
        <v>1577</v>
      </c>
      <c r="D485" s="3040"/>
      <c r="E485" s="751"/>
      <c r="F485" s="752"/>
      <c r="G485" s="752"/>
      <c r="H485" s="752"/>
      <c r="I485" s="752"/>
      <c r="J485" s="752"/>
      <c r="K485" s="752"/>
      <c r="L485" s="752"/>
      <c r="M485" s="752"/>
      <c r="N485" s="753"/>
      <c r="O485" s="3197">
        <f t="shared" si="79"/>
        <v>0</v>
      </c>
      <c r="P485" s="3198"/>
      <c r="Q485" s="263"/>
      <c r="S485" s="2899"/>
    </row>
    <row r="486" spans="2:34" ht="18" customHeight="1" thickBot="1" x14ac:dyDescent="0.3">
      <c r="B486" s="494" t="str">
        <f>IF(COUNTBLANK(E486:N486)&lt;10,"","w")</f>
        <v>w</v>
      </c>
      <c r="C486" s="3246" t="s">
        <v>1576</v>
      </c>
      <c r="D486" s="3247"/>
      <c r="E486" s="768"/>
      <c r="F486" s="769"/>
      <c r="G486" s="769"/>
      <c r="H486" s="769"/>
      <c r="I486" s="769"/>
      <c r="J486" s="769"/>
      <c r="K486" s="769"/>
      <c r="L486" s="769"/>
      <c r="M486" s="769"/>
      <c r="N486" s="770"/>
      <c r="O486" s="3152">
        <f>SUM(E486:N486)</f>
        <v>0</v>
      </c>
      <c r="P486" s="3153"/>
      <c r="Q486" s="263"/>
      <c r="S486" s="2899"/>
    </row>
    <row r="487" spans="2:34" ht="22.5" customHeight="1" x14ac:dyDescent="0.25">
      <c r="B487" s="259"/>
      <c r="C487" s="1097" t="s">
        <v>4</v>
      </c>
      <c r="D487" s="750" t="s">
        <v>1536</v>
      </c>
      <c r="E487" s="748">
        <f>SUM(E488:E489)</f>
        <v>0</v>
      </c>
      <c r="F487" s="749">
        <f t="shared" ref="F487" si="80">SUM(F488:F489)</f>
        <v>0</v>
      </c>
      <c r="G487" s="749">
        <f t="shared" ref="G487" si="81">SUM(G488:G489)</f>
        <v>0</v>
      </c>
      <c r="H487" s="749">
        <f t="shared" ref="H487" si="82">SUM(H488:H489)</f>
        <v>0</v>
      </c>
      <c r="I487" s="749">
        <f t="shared" ref="I487" si="83">SUM(I488:I489)</f>
        <v>0</v>
      </c>
      <c r="J487" s="749">
        <f t="shared" ref="J487" si="84">SUM(J488:J489)</f>
        <v>0</v>
      </c>
      <c r="K487" s="749">
        <f t="shared" ref="K487" si="85">SUM(K488:K489)</f>
        <v>0</v>
      </c>
      <c r="L487" s="749">
        <f t="shared" ref="L487" si="86">SUM(L488:L489)</f>
        <v>0</v>
      </c>
      <c r="M487" s="749">
        <f t="shared" ref="M487" si="87">SUM(M488:M489)</f>
        <v>0</v>
      </c>
      <c r="N487" s="749">
        <f t="shared" ref="N487" si="88">SUM(N488:N489)</f>
        <v>0</v>
      </c>
      <c r="O487" s="3148">
        <f>SUM(E487:N487)</f>
        <v>0</v>
      </c>
      <c r="P487" s="3149"/>
      <c r="Q487" s="263"/>
      <c r="S487" s="2899"/>
      <c r="T487" s="675"/>
      <c r="U487" s="332"/>
      <c r="V487" s="333"/>
      <c r="W487" s="333"/>
      <c r="X487" s="333"/>
      <c r="Y487" s="333"/>
      <c r="Z487" s="333"/>
      <c r="AA487" s="333"/>
      <c r="AB487" s="333"/>
      <c r="AC487" s="333"/>
      <c r="AD487" s="333"/>
      <c r="AE487" s="675"/>
      <c r="AF487" s="675"/>
      <c r="AG487" s="675"/>
      <c r="AH487" s="675"/>
    </row>
    <row r="488" spans="2:34" ht="18" customHeight="1" x14ac:dyDescent="0.25">
      <c r="B488" s="494" t="str">
        <f>IF(COUNTBLANK(E488:N488)&lt;10,"","u")</f>
        <v>u</v>
      </c>
      <c r="C488" s="3142" t="s">
        <v>1578</v>
      </c>
      <c r="D488" s="3143"/>
      <c r="E488" s="585"/>
      <c r="F488" s="586"/>
      <c r="G488" s="586"/>
      <c r="H488" s="586"/>
      <c r="I488" s="586"/>
      <c r="J488" s="586"/>
      <c r="K488" s="586"/>
      <c r="L488" s="586"/>
      <c r="M488" s="586"/>
      <c r="N488" s="587"/>
      <c r="O488" s="3167">
        <f>SUM(E488:N488)</f>
        <v>0</v>
      </c>
      <c r="P488" s="3168"/>
      <c r="Q488" s="263"/>
      <c r="S488" s="2899"/>
    </row>
    <row r="489" spans="2:34" ht="18" customHeight="1" x14ac:dyDescent="0.25">
      <c r="B489" s="494" t="str">
        <f>IF(COUNTBLANK(E489:N489)&lt;10,"","u")</f>
        <v>u</v>
      </c>
      <c r="C489" s="1098" t="s">
        <v>1588</v>
      </c>
      <c r="D489" s="990" t="s">
        <v>87</v>
      </c>
      <c r="E489" s="741"/>
      <c r="F489" s="742"/>
      <c r="G489" s="742"/>
      <c r="H489" s="742"/>
      <c r="I489" s="742"/>
      <c r="J489" s="742"/>
      <c r="K489" s="742"/>
      <c r="L489" s="742"/>
      <c r="M489" s="742"/>
      <c r="N489" s="743"/>
      <c r="O489" s="3167">
        <f t="shared" ref="O489:O491" si="89">SUM(E489:N489)</f>
        <v>0</v>
      </c>
      <c r="P489" s="3168"/>
      <c r="Q489" s="263"/>
      <c r="S489" s="2899"/>
      <c r="T489" s="334"/>
      <c r="U489" s="240"/>
      <c r="V489" s="240"/>
      <c r="W489" s="240"/>
      <c r="X489" s="240"/>
      <c r="Y489" s="240"/>
      <c r="Z489" s="240"/>
      <c r="AA489" s="240"/>
      <c r="AB489" s="240"/>
      <c r="AC489" s="240"/>
      <c r="AD489" s="240"/>
      <c r="AE489" s="240"/>
      <c r="AF489" s="240"/>
      <c r="AG489" s="240"/>
      <c r="AH489" s="240"/>
    </row>
    <row r="490" spans="2:34" ht="18" customHeight="1" x14ac:dyDescent="0.25">
      <c r="B490" s="494" t="str">
        <f>IF(COUNTBLANK(E490:N490)&lt;10,"","w")</f>
        <v>w</v>
      </c>
      <c r="C490" s="3037" t="s">
        <v>1575</v>
      </c>
      <c r="D490" s="3038"/>
      <c r="E490" s="744"/>
      <c r="F490" s="745"/>
      <c r="G490" s="745"/>
      <c r="H490" s="745"/>
      <c r="I490" s="745"/>
      <c r="J490" s="745"/>
      <c r="K490" s="745"/>
      <c r="L490" s="745"/>
      <c r="M490" s="745"/>
      <c r="N490" s="746"/>
      <c r="O490" s="3161">
        <f t="shared" si="89"/>
        <v>0</v>
      </c>
      <c r="P490" s="3162"/>
      <c r="Q490" s="263"/>
      <c r="S490" s="2899"/>
    </row>
    <row r="491" spans="2:34" ht="18" customHeight="1" x14ac:dyDescent="0.25">
      <c r="B491" s="494" t="str">
        <f>IF(COUNTBLANK(E491:N491)&lt;10,"","w")</f>
        <v>w</v>
      </c>
      <c r="C491" s="3039" t="s">
        <v>1577</v>
      </c>
      <c r="D491" s="3040"/>
      <c r="E491" s="751"/>
      <c r="F491" s="752"/>
      <c r="G491" s="752"/>
      <c r="H491" s="752"/>
      <c r="I491" s="752"/>
      <c r="J491" s="752"/>
      <c r="K491" s="752"/>
      <c r="L491" s="752"/>
      <c r="M491" s="752"/>
      <c r="N491" s="753"/>
      <c r="O491" s="3197">
        <f t="shared" si="89"/>
        <v>0</v>
      </c>
      <c r="P491" s="3198"/>
      <c r="Q491" s="263"/>
      <c r="S491" s="2899"/>
    </row>
    <row r="492" spans="2:34" ht="18" customHeight="1" thickBot="1" x14ac:dyDescent="0.3">
      <c r="B492" s="494" t="str">
        <f>IF(COUNTBLANK(E492:N492)&lt;10,"","w")</f>
        <v>w</v>
      </c>
      <c r="C492" s="3039" t="s">
        <v>1576</v>
      </c>
      <c r="D492" s="3040"/>
      <c r="E492" s="732"/>
      <c r="F492" s="733"/>
      <c r="G492" s="733"/>
      <c r="H492" s="733"/>
      <c r="I492" s="733"/>
      <c r="J492" s="733"/>
      <c r="K492" s="733"/>
      <c r="L492" s="733"/>
      <c r="M492" s="733"/>
      <c r="N492" s="734"/>
      <c r="O492" s="3138">
        <f>SUM(E492:N492)</f>
        <v>0</v>
      </c>
      <c r="P492" s="3139"/>
      <c r="Q492" s="263"/>
      <c r="S492" s="2899"/>
    </row>
    <row r="493" spans="2:34" ht="37.5" customHeight="1" thickBot="1" x14ac:dyDescent="0.3">
      <c r="B493" s="259"/>
      <c r="C493" s="3061" t="s">
        <v>130</v>
      </c>
      <c r="D493" s="3062"/>
      <c r="E493" s="3158"/>
      <c r="F493" s="3159"/>
      <c r="G493" s="3159"/>
      <c r="H493" s="3159"/>
      <c r="I493" s="3159"/>
      <c r="J493" s="3159"/>
      <c r="K493" s="3159"/>
      <c r="L493" s="3159"/>
      <c r="M493" s="3159"/>
      <c r="N493" s="3159"/>
      <c r="O493" s="3159"/>
      <c r="P493" s="3160"/>
      <c r="Q493" s="263"/>
      <c r="S493" s="2899"/>
    </row>
    <row r="494" spans="2:34" ht="30" customHeight="1" thickBot="1" x14ac:dyDescent="0.3">
      <c r="B494" s="259"/>
      <c r="C494" s="3256" t="s">
        <v>1538</v>
      </c>
      <c r="D494" s="3257"/>
      <c r="E494" s="1182">
        <f t="shared" ref="E494:N494" si="90">E456+E472+E480</f>
        <v>0</v>
      </c>
      <c r="F494" s="1183">
        <f t="shared" si="90"/>
        <v>0</v>
      </c>
      <c r="G494" s="1183">
        <f t="shared" si="90"/>
        <v>0</v>
      </c>
      <c r="H494" s="1183">
        <f t="shared" si="90"/>
        <v>0</v>
      </c>
      <c r="I494" s="1183">
        <f t="shared" si="90"/>
        <v>0</v>
      </c>
      <c r="J494" s="1183">
        <f t="shared" si="90"/>
        <v>0</v>
      </c>
      <c r="K494" s="1183">
        <f t="shared" si="90"/>
        <v>0</v>
      </c>
      <c r="L494" s="1183">
        <f t="shared" si="90"/>
        <v>0</v>
      </c>
      <c r="M494" s="1183">
        <f t="shared" si="90"/>
        <v>0</v>
      </c>
      <c r="N494" s="1184">
        <f t="shared" si="90"/>
        <v>0</v>
      </c>
      <c r="O494" s="3258">
        <f t="shared" si="66"/>
        <v>0</v>
      </c>
      <c r="P494" s="3259"/>
      <c r="Q494" s="263"/>
      <c r="S494" s="2899"/>
    </row>
    <row r="495" spans="2:34" ht="16.5" customHeight="1" x14ac:dyDescent="0.25">
      <c r="B495" s="259"/>
      <c r="C495" s="372"/>
      <c r="D495" s="262"/>
      <c r="E495" s="262"/>
      <c r="F495" s="262"/>
      <c r="G495" s="262"/>
      <c r="H495" s="262"/>
      <c r="I495" s="262"/>
      <c r="J495" s="262"/>
      <c r="K495" s="262"/>
      <c r="L495" s="262"/>
      <c r="M495" s="262"/>
      <c r="N495" s="262"/>
      <c r="O495" s="262"/>
      <c r="P495" s="262"/>
      <c r="Q495" s="263"/>
      <c r="S495" s="2899"/>
    </row>
    <row r="496" spans="2:34" ht="17.25" customHeight="1" x14ac:dyDescent="0.25">
      <c r="B496" s="259"/>
      <c r="C496" s="681" t="s">
        <v>188</v>
      </c>
      <c r="D496" s="262"/>
      <c r="E496" s="262"/>
      <c r="F496" s="262"/>
      <c r="G496" s="262"/>
      <c r="H496" s="262"/>
      <c r="I496" s="262"/>
      <c r="J496" s="262"/>
      <c r="K496" s="262"/>
      <c r="L496" s="262"/>
      <c r="M496" s="262"/>
      <c r="N496" s="262"/>
      <c r="O496" s="262"/>
      <c r="P496" s="262"/>
      <c r="Q496" s="263"/>
      <c r="S496" s="2899"/>
    </row>
    <row r="497" spans="1:19" ht="18" customHeight="1" x14ac:dyDescent="0.25">
      <c r="B497" s="259"/>
      <c r="C497" s="166"/>
      <c r="D497" s="663"/>
      <c r="E497" s="2921" t="s">
        <v>185</v>
      </c>
      <c r="F497" s="2921"/>
      <c r="G497" s="2921"/>
      <c r="H497" s="2922"/>
      <c r="I497" s="359" t="str">
        <f>IF((OR(ISBLANK(F626),ISBLANK(F627),ISBLANK(F631),ISBLANK(#REF!),ISBLANK(K626),ISBLANK(K627),ISBLANK(K631),ISBLANK(#REF!))=FALSE),"Complété","À compléter")</f>
        <v>À compléter</v>
      </c>
      <c r="J497" s="2923" t="s">
        <v>186</v>
      </c>
      <c r="K497" s="2923"/>
      <c r="L497" s="2923"/>
      <c r="M497" s="2923"/>
      <c r="N497" s="2923"/>
      <c r="O497" s="2923"/>
      <c r="P497" s="2923"/>
      <c r="Q497" s="263"/>
      <c r="S497" s="2899"/>
    </row>
    <row r="498" spans="1:19" ht="6.75" customHeight="1" x14ac:dyDescent="0.25">
      <c r="B498" s="259"/>
      <c r="C498" s="262"/>
      <c r="D498" s="663"/>
      <c r="E498" s="663"/>
      <c r="F498" s="663"/>
      <c r="G498" s="663"/>
      <c r="H498" s="663"/>
      <c r="I498" s="262"/>
      <c r="J498" s="361"/>
      <c r="K498" s="361"/>
      <c r="L498" s="361"/>
      <c r="M498" s="361"/>
      <c r="N498" s="361"/>
      <c r="O498" s="361"/>
      <c r="P498" s="361"/>
      <c r="Q498" s="263"/>
      <c r="S498" s="2899"/>
    </row>
    <row r="499" spans="1:19" ht="18" customHeight="1" x14ac:dyDescent="0.25">
      <c r="B499" s="259"/>
      <c r="C499" s="262"/>
      <c r="D499" s="2921" t="s">
        <v>1594</v>
      </c>
      <c r="E499" s="2921"/>
      <c r="F499" s="2921"/>
      <c r="G499" s="2921"/>
      <c r="H499" s="2922"/>
      <c r="I499" s="359" t="str">
        <f>IF((OR(ISBLANK(F686),ISBLANK(F690),ISBLANK(K686),ISBLANK(K690))=FALSE),"Complété","À compléter")</f>
        <v>À compléter</v>
      </c>
      <c r="J499" s="2923" t="s">
        <v>187</v>
      </c>
      <c r="K499" s="2923"/>
      <c r="L499" s="2923"/>
      <c r="M499" s="2923"/>
      <c r="N499" s="2923"/>
      <c r="O499" s="2923"/>
      <c r="P499" s="2923"/>
      <c r="Q499" s="263"/>
      <c r="S499" s="2899"/>
    </row>
    <row r="500" spans="1:19" ht="17.25" customHeight="1" x14ac:dyDescent="0.25">
      <c r="B500" s="259"/>
      <c r="C500" s="262"/>
      <c r="D500" s="467"/>
      <c r="E500" s="467"/>
      <c r="F500" s="467"/>
      <c r="G500" s="467"/>
      <c r="H500" s="467"/>
      <c r="I500" s="469"/>
      <c r="J500" s="662"/>
      <c r="K500" s="662"/>
      <c r="L500" s="662"/>
      <c r="M500" s="662"/>
      <c r="N500" s="662"/>
      <c r="O500" s="662"/>
      <c r="P500" s="662"/>
      <c r="Q500" s="263"/>
      <c r="S500" s="2899"/>
    </row>
    <row r="501" spans="1:19" ht="18" customHeight="1" x14ac:dyDescent="0.25">
      <c r="B501" s="259"/>
      <c r="C501" s="680" t="s">
        <v>1573</v>
      </c>
      <c r="D501" s="467"/>
      <c r="E501" s="467"/>
      <c r="F501" s="467"/>
      <c r="G501" s="166"/>
      <c r="H501" s="2914" t="s">
        <v>1523</v>
      </c>
      <c r="I501" s="2914"/>
      <c r="J501" s="166"/>
      <c r="K501" s="166"/>
      <c r="L501" s="662"/>
      <c r="M501" s="662"/>
      <c r="N501" s="662"/>
      <c r="O501" s="662"/>
      <c r="P501" s="662"/>
      <c r="Q501" s="263"/>
      <c r="S501" s="2899"/>
    </row>
    <row r="502" spans="1:19" ht="15.75" thickBot="1" x14ac:dyDescent="0.3">
      <c r="B502" s="304"/>
      <c r="C502" s="305"/>
      <c r="D502" s="305"/>
      <c r="E502" s="305"/>
      <c r="F502" s="336"/>
      <c r="G502" s="336"/>
      <c r="H502" s="305"/>
      <c r="I502" s="336"/>
      <c r="J502" s="336"/>
      <c r="K502" s="305"/>
      <c r="L502" s="336"/>
      <c r="M502" s="305"/>
      <c r="N502" s="336"/>
      <c r="O502" s="336"/>
      <c r="P502" s="336"/>
      <c r="Q502" s="306"/>
      <c r="S502" s="2904"/>
    </row>
    <row r="503" spans="1:19" ht="15.75" thickBot="1" x14ac:dyDescent="0.3">
      <c r="B503" s="699"/>
      <c r="S503" s="627"/>
    </row>
    <row r="504" spans="1:19" ht="22.5" customHeight="1" thickBot="1" x14ac:dyDescent="0.3">
      <c r="A504" s="1225"/>
      <c r="B504" s="243" t="s">
        <v>86</v>
      </c>
      <c r="C504" s="243"/>
      <c r="D504" s="243"/>
      <c r="E504" s="243"/>
      <c r="F504" s="243"/>
      <c r="G504" s="243"/>
      <c r="H504" s="243"/>
      <c r="I504" s="243"/>
      <c r="J504" s="243"/>
      <c r="K504" s="243"/>
      <c r="L504" s="244"/>
      <c r="M504" s="244"/>
      <c r="N504" s="244"/>
      <c r="O504" s="3265" t="s">
        <v>1641</v>
      </c>
      <c r="P504" s="3265"/>
      <c r="Q504" s="3265"/>
      <c r="S504" s="628" t="s">
        <v>1537</v>
      </c>
    </row>
    <row r="505" spans="1:19" ht="9.75" customHeight="1" thickBot="1" x14ac:dyDescent="0.3">
      <c r="S505" s="629"/>
    </row>
    <row r="506" spans="1:19" ht="8.25" customHeight="1" x14ac:dyDescent="0.25">
      <c r="B506" s="247"/>
      <c r="C506" s="248"/>
      <c r="D506" s="248"/>
      <c r="E506" s="249"/>
      <c r="F506" s="250"/>
      <c r="G506" s="250"/>
      <c r="H506" s="250"/>
      <c r="I506" s="250"/>
      <c r="J506" s="250"/>
      <c r="K506" s="250"/>
      <c r="L506" s="250"/>
      <c r="M506" s="250"/>
      <c r="N506" s="250"/>
      <c r="O506" s="250"/>
      <c r="P506" s="250"/>
      <c r="Q506" s="251"/>
      <c r="S506" s="2900"/>
    </row>
    <row r="507" spans="1:19" ht="18" customHeight="1" x14ac:dyDescent="0.25">
      <c r="B507" s="290"/>
      <c r="C507" s="253" t="s">
        <v>275</v>
      </c>
      <c r="D507" s="253"/>
      <c r="E507" s="292"/>
      <c r="F507" s="293"/>
      <c r="G507" s="293"/>
      <c r="H507" s="293"/>
      <c r="I507" s="293"/>
      <c r="J507" s="293"/>
      <c r="K507" s="293"/>
      <c r="L507" s="293"/>
      <c r="M507" s="293"/>
      <c r="N507" s="255" t="s">
        <v>59</v>
      </c>
      <c r="O507" s="359" t="str">
        <f>IF((COUNTBLANK(B515:B567)=ROWS(B515:B567)),"Complété","À compléter")</f>
        <v>À compléter</v>
      </c>
      <c r="P507" s="293"/>
      <c r="Q507" s="294"/>
      <c r="S507" s="2899"/>
    </row>
    <row r="508" spans="1:19" ht="6.75" customHeight="1" x14ac:dyDescent="0.25">
      <c r="B508" s="290"/>
      <c r="C508" s="292"/>
      <c r="D508" s="292"/>
      <c r="E508" s="292"/>
      <c r="F508" s="293"/>
      <c r="G508" s="293"/>
      <c r="H508" s="293"/>
      <c r="I508" s="293"/>
      <c r="J508" s="293"/>
      <c r="K508" s="293"/>
      <c r="L508" s="293"/>
      <c r="M508" s="293"/>
      <c r="N508" s="293"/>
      <c r="O508" s="293"/>
      <c r="P508" s="293"/>
      <c r="Q508" s="294"/>
      <c r="S508" s="2899"/>
    </row>
    <row r="509" spans="1:19" ht="17.25" customHeight="1" x14ac:dyDescent="0.25">
      <c r="B509" s="257"/>
      <c r="C509" s="3020" t="s">
        <v>1590</v>
      </c>
      <c r="D509" s="3020"/>
      <c r="E509" s="3020"/>
      <c r="F509" s="3020"/>
      <c r="G509" s="3020"/>
      <c r="H509" s="3020"/>
      <c r="I509" s="3020"/>
      <c r="J509" s="3020"/>
      <c r="K509" s="3020"/>
      <c r="L509" s="3020"/>
      <c r="M509" s="3020"/>
      <c r="N509" s="166"/>
      <c r="O509" s="166"/>
      <c r="P509" s="166"/>
      <c r="Q509" s="256"/>
      <c r="S509" s="2899"/>
    </row>
    <row r="510" spans="1:19" ht="15" customHeight="1" x14ac:dyDescent="0.25">
      <c r="B510" s="257"/>
      <c r="C510" s="258"/>
      <c r="D510" s="258"/>
      <c r="E510" s="258"/>
      <c r="F510" s="166"/>
      <c r="G510" s="166"/>
      <c r="H510" s="166"/>
      <c r="I510" s="166"/>
      <c r="J510" s="166"/>
      <c r="K510" s="166"/>
      <c r="L510" s="166"/>
      <c r="M510" s="166"/>
      <c r="N510" s="166"/>
      <c r="O510" s="166"/>
      <c r="P510" s="166"/>
      <c r="Q510" s="256"/>
      <c r="S510" s="2899"/>
    </row>
    <row r="511" spans="1:19" ht="17.25" customHeight="1" x14ac:dyDescent="0.25">
      <c r="B511" s="259"/>
      <c r="C511" s="258" t="s">
        <v>1544</v>
      </c>
      <c r="D511" s="261"/>
      <c r="E511" s="262"/>
      <c r="F511" s="262"/>
      <c r="G511" s="262"/>
      <c r="H511" s="262"/>
      <c r="I511" s="262"/>
      <c r="J511" s="262"/>
      <c r="K511" s="262"/>
      <c r="L511" s="262"/>
      <c r="M511" s="262"/>
      <c r="N511" s="262"/>
      <c r="O511" s="262"/>
      <c r="P511" s="262"/>
      <c r="Q511" s="263"/>
      <c r="S511" s="2899"/>
    </row>
    <row r="512" spans="1:19" ht="23.25" customHeight="1" x14ac:dyDescent="0.25">
      <c r="B512" s="259"/>
      <c r="C512" s="624" t="s">
        <v>1425</v>
      </c>
      <c r="D512" s="261"/>
      <c r="E512" s="262"/>
      <c r="F512" s="262"/>
      <c r="G512" s="262"/>
      <c r="H512" s="262"/>
      <c r="I512" s="262"/>
      <c r="J512" s="262"/>
      <c r="K512" s="262"/>
      <c r="L512" s="262"/>
      <c r="M512" s="262"/>
      <c r="N512" s="262"/>
      <c r="O512" s="262"/>
      <c r="P512" s="262"/>
      <c r="Q512" s="263"/>
      <c r="S512" s="2899"/>
    </row>
    <row r="513" spans="2:19" ht="16.5" customHeight="1" x14ac:dyDescent="0.25">
      <c r="B513" s="259"/>
      <c r="C513" s="610" t="s">
        <v>1609</v>
      </c>
      <c r="D513" s="322"/>
      <c r="E513" s="262"/>
      <c r="F513" s="262"/>
      <c r="G513" s="262"/>
      <c r="H513" s="262"/>
      <c r="I513" s="262"/>
      <c r="J513" s="262"/>
      <c r="K513" s="262"/>
      <c r="L513" s="262"/>
      <c r="M513" s="262"/>
      <c r="N513" s="262"/>
      <c r="O513" s="262"/>
      <c r="P513" s="262"/>
      <c r="Q513" s="263"/>
      <c r="S513" s="2899"/>
    </row>
    <row r="514" spans="2:19" ht="16.5" customHeight="1" thickBot="1" x14ac:dyDescent="0.3">
      <c r="B514" s="259"/>
      <c r="C514" s="261"/>
      <c r="D514" s="261"/>
      <c r="E514" s="262"/>
      <c r="F514" s="262"/>
      <c r="G514" s="262"/>
      <c r="H514" s="262"/>
      <c r="I514" s="262"/>
      <c r="J514" s="262"/>
      <c r="K514" s="262"/>
      <c r="L514" s="262"/>
      <c r="M514" s="262"/>
      <c r="N514" s="262"/>
      <c r="O514" s="262"/>
      <c r="P514" s="262"/>
      <c r="Q514" s="263"/>
      <c r="S514" s="2899"/>
    </row>
    <row r="515" spans="2:19" ht="30" customHeight="1" x14ac:dyDescent="0.25">
      <c r="B515" s="259"/>
      <c r="C515" s="3192" t="s">
        <v>84</v>
      </c>
      <c r="D515" s="3193"/>
      <c r="E515" s="3193"/>
      <c r="F515" s="3194"/>
      <c r="G515" s="1091"/>
      <c r="H515" s="1091"/>
      <c r="I515" s="1091"/>
      <c r="J515" s="1091"/>
      <c r="K515" s="1091"/>
      <c r="L515" s="1091"/>
      <c r="M515" s="1091"/>
      <c r="N515" s="1091"/>
      <c r="O515" s="1092"/>
      <c r="P515" s="1091"/>
      <c r="Q515" s="263"/>
      <c r="S515" s="2899"/>
    </row>
    <row r="516" spans="2:19" ht="3" customHeight="1" thickBot="1" x14ac:dyDescent="0.3">
      <c r="B516" s="259"/>
      <c r="C516" s="1094"/>
      <c r="D516" s="1093"/>
      <c r="E516" s="1093"/>
      <c r="F516" s="1095"/>
      <c r="G516" s="305"/>
      <c r="H516" s="305"/>
      <c r="I516" s="305"/>
      <c r="J516" s="305"/>
      <c r="K516" s="305"/>
      <c r="L516" s="305"/>
      <c r="M516" s="305"/>
      <c r="N516" s="305"/>
      <c r="O516" s="305"/>
      <c r="P516" s="305"/>
      <c r="Q516" s="263"/>
      <c r="S516" s="2899"/>
    </row>
    <row r="517" spans="2:19" ht="19.5" customHeight="1" x14ac:dyDescent="0.25">
      <c r="B517" s="259"/>
      <c r="C517" s="3032" t="s">
        <v>291</v>
      </c>
      <c r="D517" s="3033"/>
      <c r="E517" s="3169" t="s">
        <v>1608</v>
      </c>
      <c r="F517" s="3170"/>
      <c r="G517" s="3170"/>
      <c r="H517" s="3170"/>
      <c r="I517" s="3170"/>
      <c r="J517" s="3170"/>
      <c r="K517" s="3170"/>
      <c r="L517" s="3170"/>
      <c r="M517" s="3170"/>
      <c r="N517" s="3170"/>
      <c r="O517" s="3180" t="s">
        <v>79</v>
      </c>
      <c r="P517" s="3181"/>
      <c r="Q517" s="263"/>
      <c r="S517" s="2899"/>
    </row>
    <row r="518" spans="2:19" ht="19.5" customHeight="1" thickBot="1" x14ac:dyDescent="0.3">
      <c r="B518" s="259"/>
      <c r="C518" s="3150"/>
      <c r="D518" s="3151"/>
      <c r="E518" s="757">
        <f>IF(E51="",0,E51)</f>
        <v>0</v>
      </c>
      <c r="F518" s="758">
        <f t="shared" ref="F518:N518" si="91">E518+1</f>
        <v>1</v>
      </c>
      <c r="G518" s="758">
        <f t="shared" si="91"/>
        <v>2</v>
      </c>
      <c r="H518" s="758">
        <f t="shared" si="91"/>
        <v>3</v>
      </c>
      <c r="I518" s="758">
        <f t="shared" si="91"/>
        <v>4</v>
      </c>
      <c r="J518" s="758">
        <f t="shared" si="91"/>
        <v>5</v>
      </c>
      <c r="K518" s="758">
        <f t="shared" si="91"/>
        <v>6</v>
      </c>
      <c r="L518" s="758">
        <f t="shared" si="91"/>
        <v>7</v>
      </c>
      <c r="M518" s="758">
        <f t="shared" si="91"/>
        <v>8</v>
      </c>
      <c r="N518" s="1185">
        <f t="shared" si="91"/>
        <v>9</v>
      </c>
      <c r="O518" s="3182"/>
      <c r="P518" s="3183"/>
      <c r="Q518" s="263"/>
      <c r="S518" s="2899"/>
    </row>
    <row r="519" spans="2:19" ht="18" customHeight="1" thickBot="1" x14ac:dyDescent="0.3">
      <c r="B519" s="290"/>
      <c r="C519" s="1096" t="s">
        <v>55</v>
      </c>
      <c r="D519" s="1186"/>
      <c r="E519" s="1186"/>
      <c r="F519" s="1186"/>
      <c r="G519" s="1186"/>
      <c r="H519" s="1186"/>
      <c r="I519" s="1186"/>
      <c r="J519" s="1186"/>
      <c r="K519" s="1186"/>
      <c r="L519" s="1186"/>
      <c r="M519" s="1186"/>
      <c r="N519" s="1186"/>
      <c r="O519" s="1186"/>
      <c r="P519" s="1187"/>
      <c r="Q519" s="263"/>
      <c r="S519" s="2899"/>
    </row>
    <row r="520" spans="2:19" ht="18" customHeight="1" x14ac:dyDescent="0.25">
      <c r="B520" s="290"/>
      <c r="C520" s="3163" t="s">
        <v>1497</v>
      </c>
      <c r="D520" s="3164"/>
      <c r="E520" s="715">
        <f t="shared" ref="E520:N520" si="92">E411</f>
        <v>0</v>
      </c>
      <c r="F520" s="716">
        <f t="shared" si="92"/>
        <v>0</v>
      </c>
      <c r="G520" s="716">
        <f t="shared" si="92"/>
        <v>0</v>
      </c>
      <c r="H520" s="716">
        <f t="shared" si="92"/>
        <v>0</v>
      </c>
      <c r="I520" s="716">
        <f t="shared" si="92"/>
        <v>0</v>
      </c>
      <c r="J520" s="716">
        <f t="shared" si="92"/>
        <v>0</v>
      </c>
      <c r="K520" s="716">
        <f t="shared" si="92"/>
        <v>0</v>
      </c>
      <c r="L520" s="716">
        <f t="shared" si="92"/>
        <v>0</v>
      </c>
      <c r="M520" s="716">
        <f t="shared" si="92"/>
        <v>0</v>
      </c>
      <c r="N520" s="717">
        <f t="shared" si="92"/>
        <v>0</v>
      </c>
      <c r="O520" s="3111">
        <f>SUM(E520:N520)</f>
        <v>0</v>
      </c>
      <c r="P520" s="3112"/>
      <c r="Q520" s="263"/>
      <c r="S520" s="2899"/>
    </row>
    <row r="521" spans="2:19" ht="18" customHeight="1" x14ac:dyDescent="0.25">
      <c r="B521" s="494" t="str">
        <f>IF(COUNTBLANK(E521:N521)&lt;10,"","u")</f>
        <v>u</v>
      </c>
      <c r="C521" s="3154" t="s">
        <v>276</v>
      </c>
      <c r="D521" s="3155"/>
      <c r="E521" s="582"/>
      <c r="F521" s="583"/>
      <c r="G521" s="583"/>
      <c r="H521" s="583"/>
      <c r="I521" s="583"/>
      <c r="J521" s="583"/>
      <c r="K521" s="583"/>
      <c r="L521" s="583"/>
      <c r="M521" s="583"/>
      <c r="N521" s="584"/>
      <c r="O521" s="3174">
        <f>SUM(E521:N521)</f>
        <v>0</v>
      </c>
      <c r="P521" s="3175"/>
      <c r="Q521" s="263"/>
      <c r="S521" s="2899"/>
    </row>
    <row r="522" spans="2:19" ht="18" customHeight="1" x14ac:dyDescent="0.25">
      <c r="B522" s="494" t="str">
        <f>IF(COUNTBLANK(E522:N522)&lt;10,"","u")</f>
        <v>u</v>
      </c>
      <c r="C522" s="3156" t="s">
        <v>1545</v>
      </c>
      <c r="D522" s="3157"/>
      <c r="E522" s="620"/>
      <c r="F522" s="621"/>
      <c r="G522" s="621"/>
      <c r="H522" s="621"/>
      <c r="I522" s="621"/>
      <c r="J522" s="621"/>
      <c r="K522" s="621"/>
      <c r="L522" s="621"/>
      <c r="M522" s="621"/>
      <c r="N522" s="622"/>
      <c r="O522" s="3098">
        <f>SUM(E522:N522)</f>
        <v>0</v>
      </c>
      <c r="P522" s="3099"/>
      <c r="Q522" s="263"/>
      <c r="S522" s="2899"/>
    </row>
    <row r="523" spans="2:19" ht="18" customHeight="1" x14ac:dyDescent="0.25">
      <c r="B523" s="494"/>
      <c r="C523" s="1196" t="s">
        <v>1546</v>
      </c>
      <c r="D523" s="616"/>
      <c r="E523" s="703">
        <f>E521+E522</f>
        <v>0</v>
      </c>
      <c r="F523" s="704">
        <f t="shared" ref="F523:N523" si="93">F521+F522</f>
        <v>0</v>
      </c>
      <c r="G523" s="704">
        <f t="shared" si="93"/>
        <v>0</v>
      </c>
      <c r="H523" s="704">
        <f t="shared" si="93"/>
        <v>0</v>
      </c>
      <c r="I523" s="704">
        <f t="shared" si="93"/>
        <v>0</v>
      </c>
      <c r="J523" s="704">
        <f t="shared" si="93"/>
        <v>0</v>
      </c>
      <c r="K523" s="704">
        <f t="shared" si="93"/>
        <v>0</v>
      </c>
      <c r="L523" s="704">
        <f t="shared" si="93"/>
        <v>0</v>
      </c>
      <c r="M523" s="704">
        <f t="shared" si="93"/>
        <v>0</v>
      </c>
      <c r="N523" s="705">
        <f t="shared" si="93"/>
        <v>0</v>
      </c>
      <c r="O523" s="3136">
        <f>SUM(E523:N523)</f>
        <v>0</v>
      </c>
      <c r="P523" s="3137"/>
      <c r="Q523" s="263"/>
      <c r="S523" s="2899"/>
    </row>
    <row r="524" spans="2:19" ht="18" customHeight="1" thickBot="1" x14ac:dyDescent="0.3">
      <c r="B524" s="495"/>
      <c r="C524" s="3130" t="s">
        <v>132</v>
      </c>
      <c r="D524" s="3131"/>
      <c r="E524" s="706">
        <f t="shared" ref="E524:N524" si="94">IF((E520-E521-E522)&lt;0,0,(E520-E521-E522))</f>
        <v>0</v>
      </c>
      <c r="F524" s="707">
        <f t="shared" si="94"/>
        <v>0</v>
      </c>
      <c r="G524" s="707">
        <f t="shared" si="94"/>
        <v>0</v>
      </c>
      <c r="H524" s="707">
        <f t="shared" si="94"/>
        <v>0</v>
      </c>
      <c r="I524" s="707">
        <f t="shared" si="94"/>
        <v>0</v>
      </c>
      <c r="J524" s="707">
        <f t="shared" si="94"/>
        <v>0</v>
      </c>
      <c r="K524" s="707">
        <f t="shared" si="94"/>
        <v>0</v>
      </c>
      <c r="L524" s="707">
        <f t="shared" si="94"/>
        <v>0</v>
      </c>
      <c r="M524" s="707">
        <f t="shared" si="94"/>
        <v>0</v>
      </c>
      <c r="N524" s="708">
        <f t="shared" si="94"/>
        <v>0</v>
      </c>
      <c r="O524" s="3134">
        <f>SUM(E524:N524)</f>
        <v>0</v>
      </c>
      <c r="P524" s="3135"/>
      <c r="Q524" s="319"/>
      <c r="S524" s="2899"/>
    </row>
    <row r="525" spans="2:19" ht="32.25" customHeight="1" thickBot="1" x14ac:dyDescent="0.3">
      <c r="B525" s="495"/>
      <c r="C525" s="3061" t="s">
        <v>130</v>
      </c>
      <c r="D525" s="3062"/>
      <c r="E525" s="3121"/>
      <c r="F525" s="3122"/>
      <c r="G525" s="3122"/>
      <c r="H525" s="3122"/>
      <c r="I525" s="3122"/>
      <c r="J525" s="3122"/>
      <c r="K525" s="3122"/>
      <c r="L525" s="3122"/>
      <c r="M525" s="3122"/>
      <c r="N525" s="3122"/>
      <c r="O525" s="3122"/>
      <c r="P525" s="3123"/>
      <c r="Q525" s="319"/>
      <c r="S525" s="2899"/>
    </row>
    <row r="526" spans="2:19" ht="18" customHeight="1" thickBot="1" x14ac:dyDescent="0.3">
      <c r="B526" s="495"/>
      <c r="C526" s="1096" t="s">
        <v>123</v>
      </c>
      <c r="D526" s="1186"/>
      <c r="E526" s="1186"/>
      <c r="F526" s="1186"/>
      <c r="G526" s="1186"/>
      <c r="H526" s="1186"/>
      <c r="I526" s="1186"/>
      <c r="J526" s="1186"/>
      <c r="K526" s="1186"/>
      <c r="L526" s="1186"/>
      <c r="M526" s="1186"/>
      <c r="N526" s="1186"/>
      <c r="O526" s="1186"/>
      <c r="P526" s="1187"/>
      <c r="Q526" s="263"/>
      <c r="S526" s="2899"/>
    </row>
    <row r="527" spans="2:19" ht="18" customHeight="1" x14ac:dyDescent="0.25">
      <c r="B527" s="495"/>
      <c r="C527" s="3119" t="s">
        <v>1497</v>
      </c>
      <c r="D527" s="3120"/>
      <c r="E527" s="709">
        <f t="shared" ref="E527:N527" si="95">E427</f>
        <v>0</v>
      </c>
      <c r="F527" s="710">
        <f t="shared" si="95"/>
        <v>0</v>
      </c>
      <c r="G527" s="710">
        <f t="shared" si="95"/>
        <v>0</v>
      </c>
      <c r="H527" s="710">
        <f t="shared" si="95"/>
        <v>0</v>
      </c>
      <c r="I527" s="710">
        <f t="shared" si="95"/>
        <v>0</v>
      </c>
      <c r="J527" s="710">
        <f t="shared" si="95"/>
        <v>0</v>
      </c>
      <c r="K527" s="710">
        <f t="shared" si="95"/>
        <v>0</v>
      </c>
      <c r="L527" s="710">
        <f t="shared" si="95"/>
        <v>0</v>
      </c>
      <c r="M527" s="710">
        <f t="shared" si="95"/>
        <v>0</v>
      </c>
      <c r="N527" s="711">
        <f t="shared" si="95"/>
        <v>0</v>
      </c>
      <c r="O527" s="3190">
        <f t="shared" ref="O527:O532" si="96">SUM(E527:N527)</f>
        <v>0</v>
      </c>
      <c r="P527" s="3191"/>
      <c r="Q527" s="263"/>
      <c r="S527" s="2899"/>
    </row>
    <row r="528" spans="2:19" ht="18" customHeight="1" x14ac:dyDescent="0.25">
      <c r="B528" s="337"/>
      <c r="C528" s="1188" t="s">
        <v>144</v>
      </c>
      <c r="D528" s="539"/>
      <c r="E528" s="712">
        <f t="shared" ref="E528:N528" si="97">IF((E520-E521-E522)&lt;0,-(E520-E521-E522),0)</f>
        <v>0</v>
      </c>
      <c r="F528" s="713">
        <f t="shared" si="97"/>
        <v>0</v>
      </c>
      <c r="G528" s="713">
        <f t="shared" si="97"/>
        <v>0</v>
      </c>
      <c r="H528" s="713">
        <f t="shared" si="97"/>
        <v>0</v>
      </c>
      <c r="I528" s="713">
        <f t="shared" si="97"/>
        <v>0</v>
      </c>
      <c r="J528" s="713">
        <f t="shared" si="97"/>
        <v>0</v>
      </c>
      <c r="K528" s="713">
        <f t="shared" si="97"/>
        <v>0</v>
      </c>
      <c r="L528" s="713">
        <f t="shared" si="97"/>
        <v>0</v>
      </c>
      <c r="M528" s="713">
        <f t="shared" si="97"/>
        <v>0</v>
      </c>
      <c r="N528" s="714">
        <f t="shared" si="97"/>
        <v>0</v>
      </c>
      <c r="O528" s="3128">
        <f t="shared" si="96"/>
        <v>0</v>
      </c>
      <c r="P528" s="3129"/>
      <c r="Q528" s="263"/>
      <c r="S528" s="2899"/>
    </row>
    <row r="529" spans="2:19" ht="18" customHeight="1" x14ac:dyDescent="0.25">
      <c r="B529" s="494" t="str">
        <f>IF(COUNTBLANK(E529:N529)&lt;10,"","u")</f>
        <v>u</v>
      </c>
      <c r="C529" s="3124" t="s">
        <v>145</v>
      </c>
      <c r="D529" s="3125"/>
      <c r="E529" s="585"/>
      <c r="F529" s="586"/>
      <c r="G529" s="586"/>
      <c r="H529" s="586"/>
      <c r="I529" s="586"/>
      <c r="J529" s="586"/>
      <c r="K529" s="586"/>
      <c r="L529" s="586"/>
      <c r="M529" s="586"/>
      <c r="N529" s="587"/>
      <c r="O529" s="3098">
        <f t="shared" si="96"/>
        <v>0</v>
      </c>
      <c r="P529" s="3099"/>
      <c r="Q529" s="263"/>
      <c r="S529" s="2899"/>
    </row>
    <row r="530" spans="2:19" ht="18" customHeight="1" x14ac:dyDescent="0.25">
      <c r="B530" s="494" t="str">
        <f>IF(COUNTBLANK(E530:N530)&lt;10,"","u")</f>
        <v>u</v>
      </c>
      <c r="C530" s="3132" t="s">
        <v>292</v>
      </c>
      <c r="D530" s="3133"/>
      <c r="E530" s="579"/>
      <c r="F530" s="580"/>
      <c r="G530" s="580"/>
      <c r="H530" s="580"/>
      <c r="I530" s="580"/>
      <c r="J530" s="580"/>
      <c r="K530" s="580"/>
      <c r="L530" s="580"/>
      <c r="M530" s="580"/>
      <c r="N530" s="581"/>
      <c r="O530" s="3188">
        <f t="shared" si="96"/>
        <v>0</v>
      </c>
      <c r="P530" s="3189"/>
      <c r="Q530" s="263"/>
      <c r="S530" s="2899"/>
    </row>
    <row r="531" spans="2:19" ht="18" customHeight="1" x14ac:dyDescent="0.25">
      <c r="B531" s="494"/>
      <c r="C531" s="1188" t="s">
        <v>1546</v>
      </c>
      <c r="D531" s="539"/>
      <c r="E531" s="715">
        <f>E529+E530</f>
        <v>0</v>
      </c>
      <c r="F531" s="716">
        <f t="shared" ref="F531" si="98">F529+F530</f>
        <v>0</v>
      </c>
      <c r="G531" s="716">
        <f t="shared" ref="G531" si="99">G529+G530</f>
        <v>0</v>
      </c>
      <c r="H531" s="716">
        <f t="shared" ref="H531" si="100">H529+H530</f>
        <v>0</v>
      </c>
      <c r="I531" s="716">
        <f t="shared" ref="I531" si="101">I529+I530</f>
        <v>0</v>
      </c>
      <c r="J531" s="716">
        <f t="shared" ref="J531" si="102">J529+J530</f>
        <v>0</v>
      </c>
      <c r="K531" s="716">
        <f t="shared" ref="K531" si="103">K529+K530</f>
        <v>0</v>
      </c>
      <c r="L531" s="716">
        <f t="shared" ref="L531" si="104">L529+L530</f>
        <v>0</v>
      </c>
      <c r="M531" s="716">
        <f t="shared" ref="M531" si="105">M529+M530</f>
        <v>0</v>
      </c>
      <c r="N531" s="717">
        <f t="shared" ref="N531" si="106">N529+N530</f>
        <v>0</v>
      </c>
      <c r="O531" s="3111">
        <f t="shared" si="96"/>
        <v>0</v>
      </c>
      <c r="P531" s="3112"/>
      <c r="Q531" s="263"/>
      <c r="S531" s="2899"/>
    </row>
    <row r="532" spans="2:19" ht="18" customHeight="1" thickBot="1" x14ac:dyDescent="0.3">
      <c r="B532" s="290"/>
      <c r="C532" s="3130" t="s">
        <v>132</v>
      </c>
      <c r="D532" s="3131"/>
      <c r="E532" s="718">
        <f t="shared" ref="E532:N532" si="107">E527-E528-E529-E530</f>
        <v>0</v>
      </c>
      <c r="F532" s="719">
        <f t="shared" si="107"/>
        <v>0</v>
      </c>
      <c r="G532" s="719">
        <f t="shared" si="107"/>
        <v>0</v>
      </c>
      <c r="H532" s="719">
        <f t="shared" si="107"/>
        <v>0</v>
      </c>
      <c r="I532" s="719">
        <f t="shared" si="107"/>
        <v>0</v>
      </c>
      <c r="J532" s="719">
        <f t="shared" si="107"/>
        <v>0</v>
      </c>
      <c r="K532" s="719">
        <f t="shared" si="107"/>
        <v>0</v>
      </c>
      <c r="L532" s="719">
        <f t="shared" si="107"/>
        <v>0</v>
      </c>
      <c r="M532" s="719">
        <f t="shared" si="107"/>
        <v>0</v>
      </c>
      <c r="N532" s="720">
        <f t="shared" si="107"/>
        <v>0</v>
      </c>
      <c r="O532" s="3134">
        <f t="shared" si="96"/>
        <v>0</v>
      </c>
      <c r="P532" s="3135"/>
      <c r="Q532" s="319"/>
      <c r="S532" s="2899"/>
    </row>
    <row r="533" spans="2:19" ht="32.25" customHeight="1" thickBot="1" x14ac:dyDescent="0.3">
      <c r="B533" s="290"/>
      <c r="C533" s="3061" t="s">
        <v>130</v>
      </c>
      <c r="D533" s="3062"/>
      <c r="E533" s="3121"/>
      <c r="F533" s="3122"/>
      <c r="G533" s="3122"/>
      <c r="H533" s="3122"/>
      <c r="I533" s="3122"/>
      <c r="J533" s="3122"/>
      <c r="K533" s="3122"/>
      <c r="L533" s="3122"/>
      <c r="M533" s="3122"/>
      <c r="N533" s="3122"/>
      <c r="O533" s="3122"/>
      <c r="P533" s="3123"/>
      <c r="Q533" s="319"/>
      <c r="S533" s="2899"/>
    </row>
    <row r="534" spans="2:19" ht="18" customHeight="1" thickBot="1" x14ac:dyDescent="0.3">
      <c r="B534" s="290"/>
      <c r="C534" s="1096" t="s">
        <v>133</v>
      </c>
      <c r="D534" s="1186"/>
      <c r="E534" s="1186"/>
      <c r="F534" s="1186"/>
      <c r="G534" s="1186"/>
      <c r="H534" s="1186"/>
      <c r="I534" s="1186"/>
      <c r="J534" s="1186"/>
      <c r="K534" s="1186"/>
      <c r="L534" s="1186"/>
      <c r="M534" s="1186"/>
      <c r="N534" s="1186"/>
      <c r="O534" s="1186"/>
      <c r="P534" s="1187"/>
      <c r="Q534" s="263"/>
      <c r="S534" s="2899"/>
    </row>
    <row r="535" spans="2:19" ht="18" customHeight="1" x14ac:dyDescent="0.25">
      <c r="B535" s="290"/>
      <c r="C535" s="3126" t="s">
        <v>1497</v>
      </c>
      <c r="D535" s="3127"/>
      <c r="E535" s="700">
        <f t="shared" ref="E535:N535" si="108">E435</f>
        <v>0</v>
      </c>
      <c r="F535" s="701">
        <f t="shared" si="108"/>
        <v>0</v>
      </c>
      <c r="G535" s="701">
        <f t="shared" si="108"/>
        <v>0</v>
      </c>
      <c r="H535" s="701">
        <f t="shared" si="108"/>
        <v>0</v>
      </c>
      <c r="I535" s="701">
        <f t="shared" si="108"/>
        <v>0</v>
      </c>
      <c r="J535" s="701">
        <f t="shared" si="108"/>
        <v>0</v>
      </c>
      <c r="K535" s="701">
        <f t="shared" si="108"/>
        <v>0</v>
      </c>
      <c r="L535" s="701">
        <f t="shared" si="108"/>
        <v>0</v>
      </c>
      <c r="M535" s="701">
        <f t="shared" si="108"/>
        <v>0</v>
      </c>
      <c r="N535" s="702">
        <f t="shared" si="108"/>
        <v>0</v>
      </c>
      <c r="O535" s="3117">
        <f>SUM(E535:N535)</f>
        <v>0</v>
      </c>
      <c r="P535" s="3118"/>
      <c r="Q535" s="263"/>
      <c r="S535" s="2899"/>
    </row>
    <row r="536" spans="2:19" ht="18" customHeight="1" x14ac:dyDescent="0.25">
      <c r="B536" s="494" t="str">
        <f>IF(COUNTBLANK(E536:N536)&lt;10,"","u")</f>
        <v>u</v>
      </c>
      <c r="C536" s="3124" t="s">
        <v>145</v>
      </c>
      <c r="D536" s="3125"/>
      <c r="E536" s="585"/>
      <c r="F536" s="586"/>
      <c r="G536" s="586"/>
      <c r="H536" s="586"/>
      <c r="I536" s="586"/>
      <c r="J536" s="586"/>
      <c r="K536" s="586"/>
      <c r="L536" s="586"/>
      <c r="M536" s="586"/>
      <c r="N536" s="587"/>
      <c r="O536" s="3098">
        <f>SUM(E536:N536)</f>
        <v>0</v>
      </c>
      <c r="P536" s="3099"/>
      <c r="Q536" s="263"/>
      <c r="S536" s="2899"/>
    </row>
    <row r="537" spans="2:19" ht="18" customHeight="1" x14ac:dyDescent="0.25">
      <c r="B537" s="494" t="str">
        <f>IF(COUNTBLANK(E537:N537)&lt;10,"","u")</f>
        <v>u</v>
      </c>
      <c r="C537" s="3132" t="s">
        <v>292</v>
      </c>
      <c r="D537" s="3133"/>
      <c r="E537" s="579"/>
      <c r="F537" s="580"/>
      <c r="G537" s="580"/>
      <c r="H537" s="580"/>
      <c r="I537" s="580"/>
      <c r="J537" s="580"/>
      <c r="K537" s="580"/>
      <c r="L537" s="580"/>
      <c r="M537" s="580"/>
      <c r="N537" s="581"/>
      <c r="O537" s="3071">
        <f>SUM(E537:N537)</f>
        <v>0</v>
      </c>
      <c r="P537" s="3072"/>
      <c r="Q537" s="263"/>
      <c r="S537" s="2899"/>
    </row>
    <row r="538" spans="2:19" ht="18" customHeight="1" x14ac:dyDescent="0.25">
      <c r="B538" s="494"/>
      <c r="C538" s="1188" t="s">
        <v>1546</v>
      </c>
      <c r="D538" s="539"/>
      <c r="E538" s="715">
        <f>E536+E537</f>
        <v>0</v>
      </c>
      <c r="F538" s="716">
        <f t="shared" ref="F538" si="109">F536+F537</f>
        <v>0</v>
      </c>
      <c r="G538" s="716">
        <f t="shared" ref="G538" si="110">G536+G537</f>
        <v>0</v>
      </c>
      <c r="H538" s="716">
        <f t="shared" ref="H538" si="111">H536+H537</f>
        <v>0</v>
      </c>
      <c r="I538" s="716">
        <f t="shared" ref="I538" si="112">I536+I537</f>
        <v>0</v>
      </c>
      <c r="J538" s="716">
        <f t="shared" ref="J538" si="113">J536+J537</f>
        <v>0</v>
      </c>
      <c r="K538" s="716">
        <f t="shared" ref="K538" si="114">K536+K537</f>
        <v>0</v>
      </c>
      <c r="L538" s="716">
        <f t="shared" ref="L538" si="115">L536+L537</f>
        <v>0</v>
      </c>
      <c r="M538" s="716">
        <f t="shared" ref="M538" si="116">M536+M537</f>
        <v>0</v>
      </c>
      <c r="N538" s="717">
        <f t="shared" ref="N538" si="117">N536+N537</f>
        <v>0</v>
      </c>
      <c r="O538" s="3111">
        <f>SUM(E538:N538)</f>
        <v>0</v>
      </c>
      <c r="P538" s="3112"/>
      <c r="Q538" s="263"/>
      <c r="S538" s="2899"/>
    </row>
    <row r="539" spans="2:19" ht="18" customHeight="1" thickBot="1" x14ac:dyDescent="0.3">
      <c r="B539" s="290"/>
      <c r="C539" s="3130" t="s">
        <v>132</v>
      </c>
      <c r="D539" s="3131"/>
      <c r="E539" s="700">
        <f t="shared" ref="E539:N539" si="118">E535-E536-E537</f>
        <v>0</v>
      </c>
      <c r="F539" s="701">
        <f t="shared" si="118"/>
        <v>0</v>
      </c>
      <c r="G539" s="701">
        <f t="shared" si="118"/>
        <v>0</v>
      </c>
      <c r="H539" s="701">
        <f t="shared" si="118"/>
        <v>0</v>
      </c>
      <c r="I539" s="701">
        <f t="shared" si="118"/>
        <v>0</v>
      </c>
      <c r="J539" s="701">
        <f t="shared" si="118"/>
        <v>0</v>
      </c>
      <c r="K539" s="701">
        <f t="shared" si="118"/>
        <v>0</v>
      </c>
      <c r="L539" s="701">
        <f t="shared" si="118"/>
        <v>0</v>
      </c>
      <c r="M539" s="701">
        <f t="shared" si="118"/>
        <v>0</v>
      </c>
      <c r="N539" s="701">
        <f t="shared" si="118"/>
        <v>0</v>
      </c>
      <c r="O539" s="3134">
        <f>SUM(E539:N539)</f>
        <v>0</v>
      </c>
      <c r="P539" s="3135"/>
      <c r="Q539" s="319"/>
      <c r="S539" s="2899"/>
    </row>
    <row r="540" spans="2:19" ht="32.25" customHeight="1" thickBot="1" x14ac:dyDescent="0.3">
      <c r="B540" s="290"/>
      <c r="C540" s="3061" t="s">
        <v>130</v>
      </c>
      <c r="D540" s="3062"/>
      <c r="E540" s="3121"/>
      <c r="F540" s="3122"/>
      <c r="G540" s="3122"/>
      <c r="H540" s="3122"/>
      <c r="I540" s="3122"/>
      <c r="J540" s="3122"/>
      <c r="K540" s="3122"/>
      <c r="L540" s="3122"/>
      <c r="M540" s="3122"/>
      <c r="N540" s="3122"/>
      <c r="O540" s="3122"/>
      <c r="P540" s="3123"/>
      <c r="Q540" s="319"/>
      <c r="S540" s="2899"/>
    </row>
    <row r="541" spans="2:19" ht="18.75" customHeight="1" thickBot="1" x14ac:dyDescent="0.3">
      <c r="B541" s="259"/>
      <c r="C541" s="261"/>
      <c r="D541" s="261"/>
      <c r="E541" s="262"/>
      <c r="F541" s="262"/>
      <c r="G541" s="262"/>
      <c r="H541" s="262"/>
      <c r="I541" s="262"/>
      <c r="J541" s="262"/>
      <c r="K541" s="262"/>
      <c r="L541" s="262"/>
      <c r="M541" s="262"/>
      <c r="N541" s="262"/>
      <c r="O541" s="262"/>
      <c r="P541" s="262"/>
      <c r="Q541" s="263"/>
      <c r="S541" s="2899"/>
    </row>
    <row r="542" spans="2:19" ht="30" customHeight="1" x14ac:dyDescent="0.25">
      <c r="B542" s="259"/>
      <c r="C542" s="3192" t="s">
        <v>85</v>
      </c>
      <c r="D542" s="3193"/>
      <c r="E542" s="3193"/>
      <c r="F542" s="3194"/>
      <c r="G542" s="1091"/>
      <c r="H542" s="1091"/>
      <c r="I542" s="1091"/>
      <c r="J542" s="1091"/>
      <c r="K542" s="1091"/>
      <c r="L542" s="1091"/>
      <c r="M542" s="1091"/>
      <c r="N542" s="1091"/>
      <c r="O542" s="1092"/>
      <c r="P542" s="1091"/>
      <c r="Q542" s="263"/>
      <c r="S542" s="2899"/>
    </row>
    <row r="543" spans="2:19" ht="3" customHeight="1" thickBot="1" x14ac:dyDescent="0.3">
      <c r="B543" s="259"/>
      <c r="C543" s="1094"/>
      <c r="D543" s="1093"/>
      <c r="E543" s="1093"/>
      <c r="F543" s="1095"/>
      <c r="G543" s="305"/>
      <c r="H543" s="305"/>
      <c r="I543" s="305"/>
      <c r="J543" s="305"/>
      <c r="K543" s="305"/>
      <c r="L543" s="305"/>
      <c r="M543" s="305"/>
      <c r="N543" s="305"/>
      <c r="O543" s="305"/>
      <c r="P543" s="305"/>
      <c r="Q543" s="263"/>
      <c r="S543" s="2899"/>
    </row>
    <row r="544" spans="2:19" ht="19.5" customHeight="1" x14ac:dyDescent="0.25">
      <c r="B544" s="259"/>
      <c r="C544" s="3032" t="s">
        <v>291</v>
      </c>
      <c r="D544" s="3033"/>
      <c r="E544" s="3169" t="s">
        <v>1608</v>
      </c>
      <c r="F544" s="3170"/>
      <c r="G544" s="3170"/>
      <c r="H544" s="3170"/>
      <c r="I544" s="3170"/>
      <c r="J544" s="3170"/>
      <c r="K544" s="3170"/>
      <c r="L544" s="3170"/>
      <c r="M544" s="3170"/>
      <c r="N544" s="3170"/>
      <c r="O544" s="3180" t="s">
        <v>79</v>
      </c>
      <c r="P544" s="3181"/>
      <c r="Q544" s="263"/>
      <c r="S544" s="2899"/>
    </row>
    <row r="545" spans="2:19" ht="19.5" customHeight="1" thickBot="1" x14ac:dyDescent="0.3">
      <c r="B545" s="259"/>
      <c r="C545" s="3186"/>
      <c r="D545" s="3187"/>
      <c r="E545" s="1191">
        <f>IF(E51="",0,E51)</f>
        <v>0</v>
      </c>
      <c r="F545" s="1192">
        <f t="shared" ref="F545:N545" si="119">E545+1</f>
        <v>1</v>
      </c>
      <c r="G545" s="1192">
        <f t="shared" si="119"/>
        <v>2</v>
      </c>
      <c r="H545" s="1192">
        <f t="shared" si="119"/>
        <v>3</v>
      </c>
      <c r="I545" s="1192">
        <f t="shared" si="119"/>
        <v>4</v>
      </c>
      <c r="J545" s="1192">
        <f t="shared" si="119"/>
        <v>5</v>
      </c>
      <c r="K545" s="1192">
        <f t="shared" si="119"/>
        <v>6</v>
      </c>
      <c r="L545" s="1192">
        <f t="shared" si="119"/>
        <v>7</v>
      </c>
      <c r="M545" s="1192">
        <f t="shared" si="119"/>
        <v>8</v>
      </c>
      <c r="N545" s="1193">
        <f t="shared" si="119"/>
        <v>9</v>
      </c>
      <c r="O545" s="3184"/>
      <c r="P545" s="3185"/>
      <c r="Q545" s="263"/>
      <c r="S545" s="2899"/>
    </row>
    <row r="546" spans="2:19" ht="18.75" customHeight="1" thickBot="1" x14ac:dyDescent="0.3">
      <c r="B546" s="290"/>
      <c r="C546" s="1178" t="s">
        <v>55</v>
      </c>
      <c r="D546" s="1189"/>
      <c r="E546" s="1189"/>
      <c r="F546" s="1189"/>
      <c r="G546" s="1189"/>
      <c r="H546" s="1189"/>
      <c r="I546" s="1189"/>
      <c r="J546" s="1189"/>
      <c r="K546" s="1189"/>
      <c r="L546" s="1189"/>
      <c r="M546" s="1189"/>
      <c r="N546" s="1189"/>
      <c r="O546" s="1189"/>
      <c r="P546" s="1190"/>
      <c r="Q546" s="263"/>
      <c r="S546" s="2899"/>
    </row>
    <row r="547" spans="2:19" ht="18.75" customHeight="1" x14ac:dyDescent="0.25">
      <c r="B547" s="290"/>
      <c r="C547" s="3126" t="s">
        <v>1497</v>
      </c>
      <c r="D547" s="3127"/>
      <c r="E547" s="700">
        <f t="shared" ref="E547:N547" si="120">E456</f>
        <v>0</v>
      </c>
      <c r="F547" s="701">
        <f t="shared" si="120"/>
        <v>0</v>
      </c>
      <c r="G547" s="701">
        <f t="shared" si="120"/>
        <v>0</v>
      </c>
      <c r="H547" s="701">
        <f t="shared" si="120"/>
        <v>0</v>
      </c>
      <c r="I547" s="701">
        <f t="shared" si="120"/>
        <v>0</v>
      </c>
      <c r="J547" s="701">
        <f t="shared" si="120"/>
        <v>0</v>
      </c>
      <c r="K547" s="701">
        <f t="shared" si="120"/>
        <v>0</v>
      </c>
      <c r="L547" s="701">
        <f t="shared" si="120"/>
        <v>0</v>
      </c>
      <c r="M547" s="701">
        <f t="shared" si="120"/>
        <v>0</v>
      </c>
      <c r="N547" s="702">
        <f t="shared" si="120"/>
        <v>0</v>
      </c>
      <c r="O547" s="3117">
        <f>SUM(E547:N547)</f>
        <v>0</v>
      </c>
      <c r="P547" s="3118"/>
      <c r="Q547" s="263"/>
      <c r="S547" s="2899"/>
    </row>
    <row r="548" spans="2:19" ht="18.75" customHeight="1" x14ac:dyDescent="0.25">
      <c r="B548" s="494" t="str">
        <f>IF(COUNTBLANK(E548:N548)&lt;10,"","u")</f>
        <v>u</v>
      </c>
      <c r="C548" s="3154" t="s">
        <v>276</v>
      </c>
      <c r="D548" s="3155"/>
      <c r="E548" s="582"/>
      <c r="F548" s="583"/>
      <c r="G548" s="583"/>
      <c r="H548" s="583"/>
      <c r="I548" s="583"/>
      <c r="J548" s="583"/>
      <c r="K548" s="583"/>
      <c r="L548" s="583"/>
      <c r="M548" s="583"/>
      <c r="N548" s="588"/>
      <c r="O548" s="3174">
        <f>SUM(E548:N548)</f>
        <v>0</v>
      </c>
      <c r="P548" s="3175"/>
      <c r="Q548" s="263"/>
      <c r="S548" s="2899"/>
    </row>
    <row r="549" spans="2:19" ht="18" customHeight="1" x14ac:dyDescent="0.25">
      <c r="B549" s="494" t="str">
        <f>IF(COUNTBLANK(E549:N549)&lt;10,"","u")</f>
        <v>u</v>
      </c>
      <c r="C549" s="3156" t="s">
        <v>1545</v>
      </c>
      <c r="D549" s="3157"/>
      <c r="E549" s="620"/>
      <c r="F549" s="621"/>
      <c r="G549" s="621"/>
      <c r="H549" s="621"/>
      <c r="I549" s="621"/>
      <c r="J549" s="621"/>
      <c r="K549" s="621"/>
      <c r="L549" s="621"/>
      <c r="M549" s="621"/>
      <c r="N549" s="622"/>
      <c r="O549" s="3098">
        <f>SUM(E549:N549)</f>
        <v>0</v>
      </c>
      <c r="P549" s="3099"/>
      <c r="Q549" s="263"/>
      <c r="S549" s="2899"/>
    </row>
    <row r="550" spans="2:19" ht="18" customHeight="1" x14ac:dyDescent="0.25">
      <c r="B550" s="494"/>
      <c r="C550" s="1188" t="s">
        <v>1546</v>
      </c>
      <c r="D550" s="539"/>
      <c r="E550" s="715">
        <f>E548+E549</f>
        <v>0</v>
      </c>
      <c r="F550" s="716">
        <f t="shared" ref="F550" si="121">F548+F549</f>
        <v>0</v>
      </c>
      <c r="G550" s="716">
        <f t="shared" ref="G550" si="122">G548+G549</f>
        <v>0</v>
      </c>
      <c r="H550" s="716">
        <f t="shared" ref="H550" si="123">H548+H549</f>
        <v>0</v>
      </c>
      <c r="I550" s="716">
        <f t="shared" ref="I550" si="124">I548+I549</f>
        <v>0</v>
      </c>
      <c r="J550" s="716">
        <f t="shared" ref="J550" si="125">J548+J549</f>
        <v>0</v>
      </c>
      <c r="K550" s="716">
        <f t="shared" ref="K550" si="126">K548+K549</f>
        <v>0</v>
      </c>
      <c r="L550" s="716">
        <f t="shared" ref="L550" si="127">L548+L549</f>
        <v>0</v>
      </c>
      <c r="M550" s="716">
        <f t="shared" ref="M550" si="128">M548+M549</f>
        <v>0</v>
      </c>
      <c r="N550" s="717">
        <f t="shared" ref="N550" si="129">N548+N549</f>
        <v>0</v>
      </c>
      <c r="O550" s="3111">
        <f>SUM(E550:N550)</f>
        <v>0</v>
      </c>
      <c r="P550" s="3112"/>
      <c r="Q550" s="263"/>
      <c r="S550" s="2899"/>
    </row>
    <row r="551" spans="2:19" ht="18" customHeight="1" thickBot="1" x14ac:dyDescent="0.3">
      <c r="B551" s="290"/>
      <c r="C551" s="3059" t="s">
        <v>132</v>
      </c>
      <c r="D551" s="3060"/>
      <c r="E551" s="1194">
        <f t="shared" ref="E551:N551" si="130">IF((E547-E548-E549)&lt;0,0,(E547-E548-E549))</f>
        <v>0</v>
      </c>
      <c r="F551" s="1195">
        <f t="shared" si="130"/>
        <v>0</v>
      </c>
      <c r="G551" s="1195">
        <f t="shared" si="130"/>
        <v>0</v>
      </c>
      <c r="H551" s="1195">
        <f t="shared" si="130"/>
        <v>0</v>
      </c>
      <c r="I551" s="1195">
        <f t="shared" si="130"/>
        <v>0</v>
      </c>
      <c r="J551" s="1195">
        <f t="shared" si="130"/>
        <v>0</v>
      </c>
      <c r="K551" s="1195">
        <f t="shared" si="130"/>
        <v>0</v>
      </c>
      <c r="L551" s="1195">
        <f t="shared" si="130"/>
        <v>0</v>
      </c>
      <c r="M551" s="1195">
        <f t="shared" si="130"/>
        <v>0</v>
      </c>
      <c r="N551" s="1195">
        <f t="shared" si="130"/>
        <v>0</v>
      </c>
      <c r="O551" s="3088">
        <f>SUM(E551:N551)</f>
        <v>0</v>
      </c>
      <c r="P551" s="3089"/>
      <c r="Q551" s="319"/>
      <c r="S551" s="2899"/>
    </row>
    <row r="552" spans="2:19" ht="32.25" customHeight="1" thickBot="1" x14ac:dyDescent="0.3">
      <c r="B552" s="290"/>
      <c r="C552" s="3061" t="s">
        <v>130</v>
      </c>
      <c r="D552" s="3062"/>
      <c r="E552" s="3121"/>
      <c r="F552" s="3122"/>
      <c r="G552" s="3122"/>
      <c r="H552" s="3122"/>
      <c r="I552" s="3122"/>
      <c r="J552" s="3122"/>
      <c r="K552" s="3122"/>
      <c r="L552" s="3122"/>
      <c r="M552" s="3122"/>
      <c r="N552" s="3122"/>
      <c r="O552" s="3122"/>
      <c r="P552" s="3123"/>
      <c r="Q552" s="319"/>
      <c r="S552" s="2899"/>
    </row>
    <row r="553" spans="2:19" ht="18" customHeight="1" thickBot="1" x14ac:dyDescent="0.3">
      <c r="B553" s="290"/>
      <c r="C553" s="1178" t="s">
        <v>123</v>
      </c>
      <c r="D553" s="1189"/>
      <c r="E553" s="1189"/>
      <c r="F553" s="1189"/>
      <c r="G553" s="1189"/>
      <c r="H553" s="1189"/>
      <c r="I553" s="1189"/>
      <c r="J553" s="1189"/>
      <c r="K553" s="1189"/>
      <c r="L553" s="1189"/>
      <c r="M553" s="1189"/>
      <c r="N553" s="1189"/>
      <c r="O553" s="1189"/>
      <c r="P553" s="1190"/>
      <c r="Q553" s="263"/>
      <c r="S553" s="2899"/>
    </row>
    <row r="554" spans="2:19" ht="18" customHeight="1" x14ac:dyDescent="0.25">
      <c r="B554" s="290"/>
      <c r="C554" s="3119" t="s">
        <v>1497</v>
      </c>
      <c r="D554" s="3120"/>
      <c r="E554" s="721">
        <f t="shared" ref="E554:N554" si="131">E472</f>
        <v>0</v>
      </c>
      <c r="F554" s="722">
        <f t="shared" si="131"/>
        <v>0</v>
      </c>
      <c r="G554" s="722">
        <f t="shared" si="131"/>
        <v>0</v>
      </c>
      <c r="H554" s="722">
        <f t="shared" si="131"/>
        <v>0</v>
      </c>
      <c r="I554" s="722">
        <f t="shared" si="131"/>
        <v>0</v>
      </c>
      <c r="J554" s="722">
        <f t="shared" si="131"/>
        <v>0</v>
      </c>
      <c r="K554" s="722">
        <f t="shared" si="131"/>
        <v>0</v>
      </c>
      <c r="L554" s="722">
        <f t="shared" si="131"/>
        <v>0</v>
      </c>
      <c r="M554" s="722">
        <f t="shared" si="131"/>
        <v>0</v>
      </c>
      <c r="N554" s="723">
        <f t="shared" si="131"/>
        <v>0</v>
      </c>
      <c r="O554" s="3115">
        <f t="shared" ref="O554:O559" si="132">SUM(E554:N554)</f>
        <v>0</v>
      </c>
      <c r="P554" s="3116"/>
      <c r="Q554" s="263"/>
      <c r="S554" s="2899"/>
    </row>
    <row r="555" spans="2:19" ht="18" customHeight="1" x14ac:dyDescent="0.25">
      <c r="B555" s="337"/>
      <c r="C555" s="1188" t="s">
        <v>144</v>
      </c>
      <c r="D555" s="539"/>
      <c r="E555" s="724">
        <f t="shared" ref="E555:N555" si="133">IF((E547-E548-E549)&lt;0,-(E547-E548-E549),0)</f>
        <v>0</v>
      </c>
      <c r="F555" s="725">
        <f t="shared" si="133"/>
        <v>0</v>
      </c>
      <c r="G555" s="725">
        <f t="shared" si="133"/>
        <v>0</v>
      </c>
      <c r="H555" s="725">
        <f t="shared" si="133"/>
        <v>0</v>
      </c>
      <c r="I555" s="725">
        <f t="shared" si="133"/>
        <v>0</v>
      </c>
      <c r="J555" s="725">
        <f t="shared" si="133"/>
        <v>0</v>
      </c>
      <c r="K555" s="725">
        <f t="shared" si="133"/>
        <v>0</v>
      </c>
      <c r="L555" s="725">
        <f t="shared" si="133"/>
        <v>0</v>
      </c>
      <c r="M555" s="725">
        <f t="shared" si="133"/>
        <v>0</v>
      </c>
      <c r="N555" s="726">
        <f t="shared" si="133"/>
        <v>0</v>
      </c>
      <c r="O555" s="3113">
        <f t="shared" si="132"/>
        <v>0</v>
      </c>
      <c r="P555" s="3114"/>
      <c r="Q555" s="263"/>
      <c r="S555" s="2899"/>
    </row>
    <row r="556" spans="2:19" ht="18" customHeight="1" x14ac:dyDescent="0.25">
      <c r="B556" s="494" t="str">
        <f>IF(COUNTBLANK(E556:N556)&lt;10,"","u")</f>
        <v>u</v>
      </c>
      <c r="C556" s="3124" t="s">
        <v>145</v>
      </c>
      <c r="D556" s="3125"/>
      <c r="E556" s="585"/>
      <c r="F556" s="586"/>
      <c r="G556" s="586"/>
      <c r="H556" s="586"/>
      <c r="I556" s="586"/>
      <c r="J556" s="586"/>
      <c r="K556" s="586"/>
      <c r="L556" s="586"/>
      <c r="M556" s="586"/>
      <c r="N556" s="587"/>
      <c r="O556" s="3098">
        <f t="shared" si="132"/>
        <v>0</v>
      </c>
      <c r="P556" s="3099"/>
      <c r="Q556" s="263"/>
      <c r="S556" s="2899"/>
    </row>
    <row r="557" spans="2:19" ht="18" customHeight="1" x14ac:dyDescent="0.25">
      <c r="B557" s="494" t="str">
        <f>IF(COUNTBLANK(E557:N557)&lt;10,"","u")</f>
        <v>u</v>
      </c>
      <c r="C557" s="3132" t="s">
        <v>292</v>
      </c>
      <c r="D557" s="3133"/>
      <c r="E557" s="585"/>
      <c r="F557" s="586"/>
      <c r="G557" s="586"/>
      <c r="H557" s="586"/>
      <c r="I557" s="586"/>
      <c r="J557" s="586"/>
      <c r="K557" s="586"/>
      <c r="L557" s="586"/>
      <c r="M557" s="586"/>
      <c r="N557" s="587"/>
      <c r="O557" s="3098">
        <f t="shared" si="132"/>
        <v>0</v>
      </c>
      <c r="P557" s="3099"/>
      <c r="Q557" s="263"/>
      <c r="S557" s="2899"/>
    </row>
    <row r="558" spans="2:19" ht="18" customHeight="1" x14ac:dyDescent="0.25">
      <c r="B558" s="494"/>
      <c r="C558" s="1188" t="s">
        <v>1546</v>
      </c>
      <c r="D558" s="539"/>
      <c r="E558" s="715">
        <f>E556+E557</f>
        <v>0</v>
      </c>
      <c r="F558" s="716">
        <f t="shared" ref="F558" si="134">F556+F557</f>
        <v>0</v>
      </c>
      <c r="G558" s="716">
        <f t="shared" ref="G558" si="135">G556+G557</f>
        <v>0</v>
      </c>
      <c r="H558" s="716">
        <f t="shared" ref="H558" si="136">H556+H557</f>
        <v>0</v>
      </c>
      <c r="I558" s="716">
        <f t="shared" ref="I558" si="137">I556+I557</f>
        <v>0</v>
      </c>
      <c r="J558" s="716">
        <f t="shared" ref="J558" si="138">J556+J557</f>
        <v>0</v>
      </c>
      <c r="K558" s="716">
        <f t="shared" ref="K558" si="139">K556+K557</f>
        <v>0</v>
      </c>
      <c r="L558" s="716">
        <f t="shared" ref="L558" si="140">L556+L557</f>
        <v>0</v>
      </c>
      <c r="M558" s="716">
        <f t="shared" ref="M558" si="141">M556+M557</f>
        <v>0</v>
      </c>
      <c r="N558" s="717">
        <f t="shared" ref="N558" si="142">N556+N557</f>
        <v>0</v>
      </c>
      <c r="O558" s="3111">
        <f t="shared" si="132"/>
        <v>0</v>
      </c>
      <c r="P558" s="3112"/>
      <c r="Q558" s="263"/>
      <c r="S558" s="2899"/>
    </row>
    <row r="559" spans="2:19" ht="18" customHeight="1" thickBot="1" x14ac:dyDescent="0.3">
      <c r="B559" s="290"/>
      <c r="C559" s="3059" t="s">
        <v>132</v>
      </c>
      <c r="D559" s="3060"/>
      <c r="E559" s="1194">
        <f>E554-E555-E556-E557</f>
        <v>0</v>
      </c>
      <c r="F559" s="1195">
        <f t="shared" ref="F559:N559" si="143">F554-F555-F556-F557</f>
        <v>0</v>
      </c>
      <c r="G559" s="1195">
        <f t="shared" si="143"/>
        <v>0</v>
      </c>
      <c r="H559" s="1195">
        <f t="shared" si="143"/>
        <v>0</v>
      </c>
      <c r="I559" s="1195">
        <f t="shared" si="143"/>
        <v>0</v>
      </c>
      <c r="J559" s="1195">
        <f t="shared" si="143"/>
        <v>0</v>
      </c>
      <c r="K559" s="1195">
        <f t="shared" si="143"/>
        <v>0</v>
      </c>
      <c r="L559" s="1195">
        <f t="shared" si="143"/>
        <v>0</v>
      </c>
      <c r="M559" s="1195">
        <f t="shared" si="143"/>
        <v>0</v>
      </c>
      <c r="N559" s="1195">
        <f t="shared" si="143"/>
        <v>0</v>
      </c>
      <c r="O559" s="3088">
        <f t="shared" si="132"/>
        <v>0</v>
      </c>
      <c r="P559" s="3089"/>
      <c r="Q559" s="319"/>
      <c r="S559" s="2899"/>
    </row>
    <row r="560" spans="2:19" ht="32.25" customHeight="1" thickBot="1" x14ac:dyDescent="0.3">
      <c r="B560" s="290"/>
      <c r="C560" s="3061" t="s">
        <v>130</v>
      </c>
      <c r="D560" s="3062"/>
      <c r="E560" s="3121"/>
      <c r="F560" s="3122"/>
      <c r="G560" s="3122"/>
      <c r="H560" s="3122"/>
      <c r="I560" s="3122"/>
      <c r="J560" s="3122"/>
      <c r="K560" s="3122"/>
      <c r="L560" s="3122"/>
      <c r="M560" s="3122"/>
      <c r="N560" s="3122"/>
      <c r="O560" s="3122"/>
      <c r="P560" s="3123"/>
      <c r="Q560" s="319"/>
      <c r="S560" s="2899"/>
    </row>
    <row r="561" spans="2:19" ht="18" customHeight="1" thickBot="1" x14ac:dyDescent="0.3">
      <c r="B561" s="290"/>
      <c r="C561" s="1178" t="s">
        <v>133</v>
      </c>
      <c r="D561" s="1189"/>
      <c r="E561" s="1189"/>
      <c r="F561" s="1189"/>
      <c r="G561" s="1189"/>
      <c r="H561" s="1189"/>
      <c r="I561" s="1189"/>
      <c r="J561" s="1189"/>
      <c r="K561" s="1189"/>
      <c r="L561" s="1189"/>
      <c r="M561" s="1189"/>
      <c r="N561" s="1189"/>
      <c r="O561" s="1189"/>
      <c r="P561" s="1190"/>
      <c r="Q561" s="263"/>
      <c r="S561" s="2899"/>
    </row>
    <row r="562" spans="2:19" ht="18" customHeight="1" x14ac:dyDescent="0.25">
      <c r="B562" s="290"/>
      <c r="C562" s="3126" t="s">
        <v>1497</v>
      </c>
      <c r="D562" s="3127"/>
      <c r="E562" s="700">
        <f t="shared" ref="E562:N562" si="144">E480</f>
        <v>0</v>
      </c>
      <c r="F562" s="701">
        <f t="shared" si="144"/>
        <v>0</v>
      </c>
      <c r="G562" s="701">
        <f t="shared" si="144"/>
        <v>0</v>
      </c>
      <c r="H562" s="701">
        <f t="shared" si="144"/>
        <v>0</v>
      </c>
      <c r="I562" s="701">
        <f t="shared" si="144"/>
        <v>0</v>
      </c>
      <c r="J562" s="701">
        <f t="shared" si="144"/>
        <v>0</v>
      </c>
      <c r="K562" s="701">
        <f t="shared" si="144"/>
        <v>0</v>
      </c>
      <c r="L562" s="701">
        <f t="shared" si="144"/>
        <v>0</v>
      </c>
      <c r="M562" s="701">
        <f t="shared" si="144"/>
        <v>0</v>
      </c>
      <c r="N562" s="702">
        <f t="shared" si="144"/>
        <v>0</v>
      </c>
      <c r="O562" s="3117">
        <f>SUM(E562:N562)</f>
        <v>0</v>
      </c>
      <c r="P562" s="3118"/>
      <c r="Q562" s="263"/>
      <c r="S562" s="2899"/>
    </row>
    <row r="563" spans="2:19" ht="18" customHeight="1" x14ac:dyDescent="0.25">
      <c r="B563" s="494" t="str">
        <f>IF(COUNTBLANK(E563:N563)&lt;10,"","u")</f>
        <v>u</v>
      </c>
      <c r="C563" s="3124" t="s">
        <v>145</v>
      </c>
      <c r="D563" s="3125"/>
      <c r="E563" s="585"/>
      <c r="F563" s="586"/>
      <c r="G563" s="586"/>
      <c r="H563" s="586"/>
      <c r="I563" s="586"/>
      <c r="J563" s="586"/>
      <c r="K563" s="586"/>
      <c r="L563" s="586"/>
      <c r="M563" s="586"/>
      <c r="N563" s="587"/>
      <c r="O563" s="3098">
        <f>SUM(E563:N563)</f>
        <v>0</v>
      </c>
      <c r="P563" s="3099"/>
      <c r="Q563" s="263"/>
      <c r="S563" s="2899"/>
    </row>
    <row r="564" spans="2:19" ht="18" customHeight="1" x14ac:dyDescent="0.25">
      <c r="B564" s="494" t="str">
        <f>IF(COUNTBLANK(E564:N564)&lt;10,"","u")</f>
        <v>u</v>
      </c>
      <c r="C564" s="3132" t="s">
        <v>292</v>
      </c>
      <c r="D564" s="3133"/>
      <c r="E564" s="585"/>
      <c r="F564" s="586"/>
      <c r="G564" s="586"/>
      <c r="H564" s="586"/>
      <c r="I564" s="586"/>
      <c r="J564" s="586"/>
      <c r="K564" s="586"/>
      <c r="L564" s="586"/>
      <c r="M564" s="586"/>
      <c r="N564" s="587"/>
      <c r="O564" s="3071">
        <f>SUM(E564:N564)</f>
        <v>0</v>
      </c>
      <c r="P564" s="3072"/>
      <c r="Q564" s="263"/>
      <c r="S564" s="2899"/>
    </row>
    <row r="565" spans="2:19" ht="18" customHeight="1" x14ac:dyDescent="0.25">
      <c r="B565" s="494"/>
      <c r="C565" s="1188" t="s">
        <v>1546</v>
      </c>
      <c r="D565" s="539"/>
      <c r="E565" s="715">
        <f>E563+E564</f>
        <v>0</v>
      </c>
      <c r="F565" s="716">
        <f t="shared" ref="F565" si="145">F563+F564</f>
        <v>0</v>
      </c>
      <c r="G565" s="716">
        <f t="shared" ref="G565" si="146">G563+G564</f>
        <v>0</v>
      </c>
      <c r="H565" s="716">
        <f t="shared" ref="H565" si="147">H563+H564</f>
        <v>0</v>
      </c>
      <c r="I565" s="716">
        <f t="shared" ref="I565" si="148">I563+I564</f>
        <v>0</v>
      </c>
      <c r="J565" s="716">
        <f t="shared" ref="J565" si="149">J563+J564</f>
        <v>0</v>
      </c>
      <c r="K565" s="716">
        <f t="shared" ref="K565" si="150">K563+K564</f>
        <v>0</v>
      </c>
      <c r="L565" s="716">
        <f t="shared" ref="L565" si="151">L563+L564</f>
        <v>0</v>
      </c>
      <c r="M565" s="716">
        <f t="shared" ref="M565" si="152">M563+M564</f>
        <v>0</v>
      </c>
      <c r="N565" s="717">
        <f t="shared" ref="N565" si="153">N563+N564</f>
        <v>0</v>
      </c>
      <c r="O565" s="3111">
        <f>SUM(E565:N565)</f>
        <v>0</v>
      </c>
      <c r="P565" s="3112"/>
      <c r="Q565" s="263"/>
      <c r="S565" s="2899"/>
    </row>
    <row r="566" spans="2:19" ht="18" customHeight="1" thickBot="1" x14ac:dyDescent="0.3">
      <c r="B566" s="290"/>
      <c r="C566" s="3059" t="s">
        <v>132</v>
      </c>
      <c r="D566" s="3060"/>
      <c r="E566" s="1194">
        <f t="shared" ref="E566:N566" si="154">E562-E563-E564</f>
        <v>0</v>
      </c>
      <c r="F566" s="1195">
        <f t="shared" si="154"/>
        <v>0</v>
      </c>
      <c r="G566" s="1195">
        <f t="shared" si="154"/>
        <v>0</v>
      </c>
      <c r="H566" s="1195">
        <f t="shared" si="154"/>
        <v>0</v>
      </c>
      <c r="I566" s="1195">
        <f t="shared" si="154"/>
        <v>0</v>
      </c>
      <c r="J566" s="1195">
        <f t="shared" si="154"/>
        <v>0</v>
      </c>
      <c r="K566" s="1195">
        <f t="shared" si="154"/>
        <v>0</v>
      </c>
      <c r="L566" s="1195">
        <f t="shared" si="154"/>
        <v>0</v>
      </c>
      <c r="M566" s="1195">
        <f t="shared" si="154"/>
        <v>0</v>
      </c>
      <c r="N566" s="1195">
        <f t="shared" si="154"/>
        <v>0</v>
      </c>
      <c r="O566" s="3088">
        <f>SUM(E566:N566)</f>
        <v>0</v>
      </c>
      <c r="P566" s="3089"/>
      <c r="Q566" s="319"/>
      <c r="S566" s="2899"/>
    </row>
    <row r="567" spans="2:19" ht="32.25" customHeight="1" thickBot="1" x14ac:dyDescent="0.3">
      <c r="B567" s="290"/>
      <c r="C567" s="3061" t="s">
        <v>130</v>
      </c>
      <c r="D567" s="3062"/>
      <c r="E567" s="3121"/>
      <c r="F567" s="3122"/>
      <c r="G567" s="3122"/>
      <c r="H567" s="3122"/>
      <c r="I567" s="3122"/>
      <c r="J567" s="3122"/>
      <c r="K567" s="3122"/>
      <c r="L567" s="3122"/>
      <c r="M567" s="3122"/>
      <c r="N567" s="3122"/>
      <c r="O567" s="3122"/>
      <c r="P567" s="3123"/>
      <c r="Q567" s="319"/>
      <c r="S567" s="2899"/>
    </row>
    <row r="568" spans="2:19" ht="16.5" customHeight="1" x14ac:dyDescent="0.25">
      <c r="B568" s="259"/>
      <c r="C568" s="372"/>
      <c r="D568" s="262"/>
      <c r="E568" s="262"/>
      <c r="F568" s="262"/>
      <c r="G568" s="262"/>
      <c r="H568" s="262"/>
      <c r="I568" s="262"/>
      <c r="J568" s="262"/>
      <c r="K568" s="262"/>
      <c r="L568" s="262"/>
      <c r="M568" s="262"/>
      <c r="N568" s="262"/>
      <c r="O568" s="262"/>
      <c r="P568" s="262"/>
      <c r="Q568" s="263"/>
      <c r="S568" s="2899"/>
    </row>
    <row r="569" spans="2:19" ht="17.25" customHeight="1" x14ac:dyDescent="0.25">
      <c r="B569" s="259"/>
      <c r="C569" s="681" t="s">
        <v>188</v>
      </c>
      <c r="D569" s="262"/>
      <c r="E569" s="262"/>
      <c r="F569" s="262"/>
      <c r="G569" s="262"/>
      <c r="H569" s="262"/>
      <c r="I569" s="262"/>
      <c r="J569" s="262"/>
      <c r="K569" s="262"/>
      <c r="L569" s="262"/>
      <c r="M569" s="262"/>
      <c r="N569" s="262"/>
      <c r="O569" s="262"/>
      <c r="P569" s="262"/>
      <c r="Q569" s="263"/>
      <c r="S569" s="2899"/>
    </row>
    <row r="570" spans="2:19" ht="18" customHeight="1" x14ac:dyDescent="0.25">
      <c r="B570" s="259"/>
      <c r="C570" s="166"/>
      <c r="D570" s="663"/>
      <c r="E570" s="2921" t="s">
        <v>185</v>
      </c>
      <c r="F570" s="2921"/>
      <c r="G570" s="2921"/>
      <c r="H570" s="2922"/>
      <c r="I570" s="359" t="str">
        <f>IF((OR(ISBLANK(F634),ISBLANK(F635),ISBLANK(F636),ISBLANK(K634),ISBLANK(K635),ISBLANK(K636))=FALSE),"Complété","À compléter")</f>
        <v>À compléter</v>
      </c>
      <c r="J570" s="2923" t="s">
        <v>186</v>
      </c>
      <c r="K570" s="2923"/>
      <c r="L570" s="2923"/>
      <c r="M570" s="2923"/>
      <c r="N570" s="2923"/>
      <c r="O570" s="2923"/>
      <c r="P570" s="2923"/>
      <c r="Q570" s="263"/>
      <c r="S570" s="2899"/>
    </row>
    <row r="571" spans="2:19" ht="6.75" customHeight="1" x14ac:dyDescent="0.25">
      <c r="B571" s="259"/>
      <c r="C571" s="262"/>
      <c r="D571" s="663"/>
      <c r="E571" s="663"/>
      <c r="F571" s="663"/>
      <c r="G571" s="663"/>
      <c r="H571" s="663"/>
      <c r="I571" s="262"/>
      <c r="J571" s="361"/>
      <c r="K571" s="361"/>
      <c r="L571" s="361"/>
      <c r="M571" s="361"/>
      <c r="N571" s="361"/>
      <c r="O571" s="361"/>
      <c r="P571" s="361"/>
      <c r="Q571" s="263"/>
      <c r="S571" s="2899"/>
    </row>
    <row r="572" spans="2:19" ht="18" customHeight="1" x14ac:dyDescent="0.25">
      <c r="B572" s="259"/>
      <c r="C572" s="262"/>
      <c r="D572" s="2921" t="s">
        <v>1594</v>
      </c>
      <c r="E572" s="2921"/>
      <c r="F572" s="2921"/>
      <c r="G572" s="2921"/>
      <c r="H572" s="2922"/>
      <c r="I572" s="359" t="str">
        <f>IF((OR(ISBLANK(F693),ISBLANK(F694),ISBLANK(F695),ISBLANK(K693),ISBLANK(K694),ISBLANK(K695))=FALSE),"Complété","À compléter")</f>
        <v>À compléter</v>
      </c>
      <c r="J572" s="2923" t="s">
        <v>187</v>
      </c>
      <c r="K572" s="2923"/>
      <c r="L572" s="2923"/>
      <c r="M572" s="2923"/>
      <c r="N572" s="2923"/>
      <c r="O572" s="2923"/>
      <c r="P572" s="2923"/>
      <c r="Q572" s="263"/>
      <c r="S572" s="2899"/>
    </row>
    <row r="573" spans="2:19" ht="22.5" customHeight="1" x14ac:dyDescent="0.25">
      <c r="B573" s="259"/>
      <c r="C573" s="262"/>
      <c r="D573" s="467"/>
      <c r="E573" s="467"/>
      <c r="F573" s="467"/>
      <c r="G573" s="467"/>
      <c r="H573" s="467"/>
      <c r="I573" s="469"/>
      <c r="J573" s="662"/>
      <c r="K573" s="662"/>
      <c r="L573" s="662"/>
      <c r="M573" s="662"/>
      <c r="N573" s="662"/>
      <c r="O573" s="662"/>
      <c r="P573" s="662"/>
      <c r="Q573" s="263"/>
      <c r="S573" s="2899"/>
    </row>
    <row r="574" spans="2:19" ht="18" customHeight="1" x14ac:dyDescent="0.25">
      <c r="B574" s="259"/>
      <c r="C574" s="680" t="s">
        <v>1573</v>
      </c>
      <c r="D574" s="467"/>
      <c r="E574" s="467"/>
      <c r="F574" s="467"/>
      <c r="G574" s="166"/>
      <c r="H574" s="2914" t="s">
        <v>1522</v>
      </c>
      <c r="I574" s="2914"/>
      <c r="J574" s="166"/>
      <c r="K574" s="166"/>
      <c r="L574" s="662"/>
      <c r="M574" s="662"/>
      <c r="N574" s="662"/>
      <c r="O574" s="662"/>
      <c r="P574" s="662"/>
      <c r="Q574" s="263"/>
      <c r="S574" s="2899"/>
    </row>
    <row r="575" spans="2:19" ht="15.75" thickBot="1" x14ac:dyDescent="0.3">
      <c r="B575" s="304"/>
      <c r="C575" s="305"/>
      <c r="D575" s="305"/>
      <c r="E575" s="305"/>
      <c r="F575" s="336"/>
      <c r="G575" s="336"/>
      <c r="H575" s="305"/>
      <c r="I575" s="336"/>
      <c r="J575" s="336"/>
      <c r="K575" s="305"/>
      <c r="L575" s="336"/>
      <c r="M575" s="305"/>
      <c r="N575" s="336"/>
      <c r="O575" s="336"/>
      <c r="P575" s="336"/>
      <c r="Q575" s="306"/>
      <c r="S575" s="2904"/>
    </row>
    <row r="576" spans="2:19" ht="15.75" thickBot="1" x14ac:dyDescent="0.3">
      <c r="S576" s="627"/>
    </row>
    <row r="577" spans="1:19" ht="22.5" customHeight="1" thickBot="1" x14ac:dyDescent="0.3">
      <c r="A577" s="1225"/>
      <c r="B577" s="243" t="s">
        <v>88</v>
      </c>
      <c r="C577" s="243"/>
      <c r="D577" s="243"/>
      <c r="E577" s="243"/>
      <c r="F577" s="243"/>
      <c r="G577" s="243"/>
      <c r="H577" s="243"/>
      <c r="I577" s="243"/>
      <c r="J577" s="243"/>
      <c r="K577" s="243"/>
      <c r="L577" s="244"/>
      <c r="M577" s="244"/>
      <c r="N577" s="244"/>
      <c r="O577" s="3265" t="s">
        <v>1641</v>
      </c>
      <c r="P577" s="3265"/>
      <c r="Q577" s="3265"/>
      <c r="S577" s="628" t="s">
        <v>1537</v>
      </c>
    </row>
    <row r="578" spans="1:19" ht="9.75" customHeight="1" thickBot="1" x14ac:dyDescent="0.3">
      <c r="S578" s="629"/>
    </row>
    <row r="579" spans="1:19" ht="8.25" customHeight="1" x14ac:dyDescent="0.25">
      <c r="B579" s="247"/>
      <c r="C579" s="248"/>
      <c r="D579" s="248"/>
      <c r="E579" s="249"/>
      <c r="F579" s="250"/>
      <c r="G579" s="250"/>
      <c r="H579" s="250"/>
      <c r="I579" s="250"/>
      <c r="J579" s="250"/>
      <c r="K579" s="250"/>
      <c r="L579" s="250"/>
      <c r="M579" s="250"/>
      <c r="N579" s="250"/>
      <c r="O579" s="250"/>
      <c r="P579" s="250"/>
      <c r="Q579" s="251"/>
      <c r="S579" s="2900"/>
    </row>
    <row r="580" spans="1:19" ht="18" customHeight="1" x14ac:dyDescent="0.25">
      <c r="B580" s="290"/>
      <c r="C580" s="253" t="s">
        <v>89</v>
      </c>
      <c r="D580" s="253"/>
      <c r="E580" s="292"/>
      <c r="F580" s="293"/>
      <c r="G580" s="293"/>
      <c r="H580" s="293"/>
      <c r="I580" s="293"/>
      <c r="J580" s="293"/>
      <c r="K580" s="293"/>
      <c r="L580" s="293"/>
      <c r="M580" s="293"/>
      <c r="N580" s="255" t="s">
        <v>59</v>
      </c>
      <c r="O580" s="359" t="str">
        <f>IF((COUNTBLANK(B602:B638)=ROWS(B602:B638)),"Complété","À compléter")</f>
        <v>À compléter</v>
      </c>
      <c r="P580" s="293"/>
      <c r="Q580" s="294"/>
      <c r="S580" s="2899"/>
    </row>
    <row r="581" spans="1:19" ht="9.75" customHeight="1" x14ac:dyDescent="0.25">
      <c r="B581" s="290"/>
      <c r="C581" s="292"/>
      <c r="D581" s="292"/>
      <c r="E581" s="292"/>
      <c r="F581" s="293"/>
      <c r="G581" s="293"/>
      <c r="H581" s="293"/>
      <c r="I581" s="293"/>
      <c r="J581" s="293"/>
      <c r="K581" s="293"/>
      <c r="L581" s="293"/>
      <c r="M581" s="293"/>
      <c r="N581" s="293"/>
      <c r="O581" s="293"/>
      <c r="P581" s="293"/>
      <c r="Q581" s="294"/>
      <c r="S581" s="2899"/>
    </row>
    <row r="582" spans="1:19" ht="17.25" customHeight="1" x14ac:dyDescent="0.25">
      <c r="B582" s="257"/>
      <c r="C582" s="3020" t="s">
        <v>1590</v>
      </c>
      <c r="D582" s="3020"/>
      <c r="E582" s="3020"/>
      <c r="F582" s="3020"/>
      <c r="G582" s="3020"/>
      <c r="H582" s="3020"/>
      <c r="I582" s="3020"/>
      <c r="J582" s="3020"/>
      <c r="K582" s="3020"/>
      <c r="L582" s="3020"/>
      <c r="M582" s="3020"/>
      <c r="N582" s="166"/>
      <c r="O582" s="166"/>
      <c r="P582" s="166"/>
      <c r="Q582" s="256"/>
      <c r="S582" s="2899"/>
    </row>
    <row r="583" spans="1:19" ht="15" customHeight="1" x14ac:dyDescent="0.25">
      <c r="B583" s="257"/>
      <c r="C583" s="258"/>
      <c r="D583" s="258"/>
      <c r="E583" s="258"/>
      <c r="F583" s="166"/>
      <c r="G583" s="166"/>
      <c r="H583" s="166"/>
      <c r="I583" s="166"/>
      <c r="J583" s="166"/>
      <c r="K583" s="166"/>
      <c r="L583" s="166"/>
      <c r="M583" s="166"/>
      <c r="N583" s="166"/>
      <c r="O583" s="166"/>
      <c r="P583" s="166"/>
      <c r="Q583" s="256"/>
      <c r="S583" s="2899"/>
    </row>
    <row r="584" spans="1:19" x14ac:dyDescent="0.25">
      <c r="B584" s="259"/>
      <c r="C584" s="485" t="s">
        <v>1626</v>
      </c>
      <c r="D584" s="261"/>
      <c r="E584" s="262"/>
      <c r="F584" s="262"/>
      <c r="G584" s="262"/>
      <c r="H584" s="262"/>
      <c r="I584" s="262"/>
      <c r="J584" s="262"/>
      <c r="K584" s="262"/>
      <c r="L584" s="262"/>
      <c r="M584" s="262"/>
      <c r="N584" s="262"/>
      <c r="O584" s="262"/>
      <c r="P584" s="262"/>
      <c r="Q584" s="263"/>
      <c r="S584" s="2899"/>
    </row>
    <row r="585" spans="1:19" ht="9" customHeight="1" x14ac:dyDescent="0.25">
      <c r="B585" s="259"/>
      <c r="C585" s="261"/>
      <c r="D585" s="261"/>
      <c r="E585" s="262"/>
      <c r="F585" s="262"/>
      <c r="G585" s="262"/>
      <c r="H585" s="262"/>
      <c r="I585" s="262"/>
      <c r="J585" s="262"/>
      <c r="K585" s="262"/>
      <c r="L585" s="262"/>
      <c r="M585" s="262"/>
      <c r="N585" s="262"/>
      <c r="O585" s="262"/>
      <c r="P585" s="262"/>
      <c r="Q585" s="263"/>
      <c r="S585" s="2899"/>
    </row>
    <row r="586" spans="1:19" ht="9" customHeight="1" x14ac:dyDescent="0.25">
      <c r="B586" s="259"/>
      <c r="C586" s="264"/>
      <c r="D586" s="265"/>
      <c r="E586" s="266"/>
      <c r="F586" s="266"/>
      <c r="G586" s="266"/>
      <c r="H586" s="266"/>
      <c r="I586" s="266"/>
      <c r="J586" s="266"/>
      <c r="K586" s="266"/>
      <c r="L586" s="266"/>
      <c r="M586" s="266"/>
      <c r="N586" s="266"/>
      <c r="O586" s="266"/>
      <c r="P586" s="267"/>
      <c r="Q586" s="263"/>
      <c r="S586" s="2899"/>
    </row>
    <row r="587" spans="1:19" ht="16.5" customHeight="1" x14ac:dyDescent="0.25">
      <c r="B587" s="259"/>
      <c r="C587" s="3108" t="s">
        <v>1625</v>
      </c>
      <c r="D587" s="3109"/>
      <c r="E587" s="338" t="s">
        <v>13</v>
      </c>
      <c r="F587" s="339" t="s">
        <v>1849</v>
      </c>
      <c r="G587" s="340"/>
      <c r="H587" s="341"/>
      <c r="I587" s="341"/>
      <c r="J587" s="341"/>
      <c r="K587" s="341"/>
      <c r="L587" s="341"/>
      <c r="M587" s="341"/>
      <c r="N587" s="341"/>
      <c r="O587" s="341"/>
      <c r="P587" s="272"/>
      <c r="Q587" s="263"/>
      <c r="S587" s="2899"/>
    </row>
    <row r="588" spans="1:19" ht="16.5" customHeight="1" x14ac:dyDescent="0.25">
      <c r="B588" s="259"/>
      <c r="C588" s="3096" t="s">
        <v>1561</v>
      </c>
      <c r="D588" s="3097"/>
      <c r="E588" s="205" t="s">
        <v>19</v>
      </c>
      <c r="F588" s="342" t="s">
        <v>1850</v>
      </c>
      <c r="G588" s="343"/>
      <c r="H588" s="344"/>
      <c r="I588" s="344"/>
      <c r="J588" s="344"/>
      <c r="K588" s="344"/>
      <c r="L588" s="344"/>
      <c r="M588" s="344"/>
      <c r="N588" s="344"/>
      <c r="O588" s="344"/>
      <c r="P588" s="272"/>
      <c r="Q588" s="263"/>
      <c r="S588" s="2899"/>
    </row>
    <row r="589" spans="1:19" ht="16.5" customHeight="1" x14ac:dyDescent="0.25">
      <c r="B589" s="259"/>
      <c r="C589" s="308"/>
      <c r="D589" s="309"/>
      <c r="E589" s="202" t="s">
        <v>17</v>
      </c>
      <c r="F589" s="342" t="s">
        <v>1627</v>
      </c>
      <c r="G589" s="343"/>
      <c r="H589" s="344"/>
      <c r="I589" s="344"/>
      <c r="J589" s="344"/>
      <c r="K589" s="344"/>
      <c r="L589" s="344"/>
      <c r="M589" s="344"/>
      <c r="N589" s="344"/>
      <c r="O589" s="344"/>
      <c r="P589" s="272"/>
      <c r="Q589" s="263"/>
      <c r="S589" s="2899"/>
    </row>
    <row r="590" spans="1:19" ht="16.5" customHeight="1" x14ac:dyDescent="0.25">
      <c r="B590" s="259"/>
      <c r="C590" s="308"/>
      <c r="D590" s="309"/>
      <c r="E590" s="198" t="s">
        <v>14</v>
      </c>
      <c r="F590" s="342" t="s">
        <v>1628</v>
      </c>
      <c r="G590" s="343"/>
      <c r="H590" s="344"/>
      <c r="I590" s="344"/>
      <c r="J590" s="344"/>
      <c r="K590" s="344"/>
      <c r="L590" s="344"/>
      <c r="M590" s="344"/>
      <c r="N590" s="344"/>
      <c r="O590" s="344"/>
      <c r="P590" s="272"/>
      <c r="Q590" s="263"/>
      <c r="S590" s="2899"/>
    </row>
    <row r="591" spans="1:19" ht="16.5" customHeight="1" x14ac:dyDescent="0.25">
      <c r="B591" s="259"/>
      <c r="C591" s="308"/>
      <c r="D591" s="309"/>
      <c r="E591" s="195" t="s">
        <v>21</v>
      </c>
      <c r="F591" s="342" t="s">
        <v>1629</v>
      </c>
      <c r="G591" s="343"/>
      <c r="H591" s="344"/>
      <c r="I591" s="344"/>
      <c r="J591" s="344"/>
      <c r="K591" s="344"/>
      <c r="L591" s="344"/>
      <c r="M591" s="344"/>
      <c r="N591" s="344"/>
      <c r="O591" s="344"/>
      <c r="P591" s="272"/>
      <c r="Q591" s="263"/>
      <c r="S591" s="2899"/>
    </row>
    <row r="592" spans="1:19" ht="12" customHeight="1" x14ac:dyDescent="0.25">
      <c r="B592" s="259"/>
      <c r="C592" s="310"/>
      <c r="D592" s="311"/>
      <c r="E592" s="277"/>
      <c r="F592" s="345"/>
      <c r="G592" s="346"/>
      <c r="H592" s="277"/>
      <c r="I592" s="312"/>
      <c r="J592" s="312"/>
      <c r="K592" s="312"/>
      <c r="L592" s="312"/>
      <c r="M592" s="312"/>
      <c r="N592" s="312"/>
      <c r="O592" s="312"/>
      <c r="P592" s="313"/>
      <c r="Q592" s="263"/>
      <c r="S592" s="2899"/>
    </row>
    <row r="593" spans="2:19" ht="18" customHeight="1" x14ac:dyDescent="0.25">
      <c r="B593" s="259"/>
      <c r="C593" s="261"/>
      <c r="D593" s="261"/>
      <c r="E593" s="262"/>
      <c r="F593" s="262"/>
      <c r="G593" s="262"/>
      <c r="H593" s="262"/>
      <c r="I593" s="262"/>
      <c r="J593" s="262"/>
      <c r="K593" s="262"/>
      <c r="L593" s="262"/>
      <c r="M593" s="262"/>
      <c r="N593" s="262"/>
      <c r="O593" s="262"/>
      <c r="P593" s="262"/>
      <c r="Q593" s="263"/>
      <c r="S593" s="2899"/>
    </row>
    <row r="594" spans="2:19" ht="16.5" customHeight="1" x14ac:dyDescent="0.25">
      <c r="B594" s="259"/>
      <c r="C594" s="485" t="s">
        <v>1630</v>
      </c>
      <c r="D594" s="261"/>
      <c r="E594" s="262"/>
      <c r="F594" s="262"/>
      <c r="G594" s="262"/>
      <c r="H594" s="262"/>
      <c r="I594" s="262"/>
      <c r="J594" s="262"/>
      <c r="K594" s="262"/>
      <c r="L594" s="262"/>
      <c r="M594" s="262"/>
      <c r="N594" s="262"/>
      <c r="O594" s="262"/>
      <c r="P594" s="262"/>
      <c r="Q594" s="263"/>
      <c r="S594" s="2899"/>
    </row>
    <row r="595" spans="2:19" ht="4.5" customHeight="1" x14ac:dyDescent="0.25">
      <c r="B595" s="259"/>
      <c r="C595" s="485"/>
      <c r="D595" s="261"/>
      <c r="E595" s="262"/>
      <c r="F595" s="262"/>
      <c r="G595" s="262"/>
      <c r="H595" s="262"/>
      <c r="I595" s="262"/>
      <c r="J595" s="262"/>
      <c r="K595" s="262"/>
      <c r="L595" s="262"/>
      <c r="M595" s="262"/>
      <c r="N595" s="262"/>
      <c r="O595" s="262"/>
      <c r="P595" s="262"/>
      <c r="Q595" s="263"/>
      <c r="S595" s="2899"/>
    </row>
    <row r="596" spans="2:19" ht="16.5" customHeight="1" x14ac:dyDescent="0.25">
      <c r="B596" s="259"/>
      <c r="C596" s="485" t="s">
        <v>1622</v>
      </c>
      <c r="D596" s="261"/>
      <c r="E596" s="262"/>
      <c r="F596" s="262"/>
      <c r="G596" s="262"/>
      <c r="H596" s="262"/>
      <c r="I596" s="262"/>
      <c r="J596" s="262"/>
      <c r="K596" s="262"/>
      <c r="L596" s="166"/>
      <c r="M596" s="262"/>
      <c r="N596" s="166"/>
      <c r="O596" s="262"/>
      <c r="P596" s="262"/>
      <c r="Q596" s="263"/>
      <c r="S596" s="2899"/>
    </row>
    <row r="597" spans="2:19" ht="24.75" customHeight="1" x14ac:dyDescent="0.25">
      <c r="B597" s="259"/>
      <c r="C597" s="347" t="s">
        <v>1623</v>
      </c>
      <c r="D597" s="261"/>
      <c r="E597" s="262"/>
      <c r="F597" s="262"/>
      <c r="G597" s="262"/>
      <c r="H597" s="262"/>
      <c r="I597" s="262"/>
      <c r="J597" s="262"/>
      <c r="K597" s="262"/>
      <c r="L597" s="262"/>
      <c r="M597" s="262"/>
      <c r="N597" s="262"/>
      <c r="O597" s="262"/>
      <c r="P597" s="262"/>
      <c r="Q597" s="263"/>
      <c r="S597" s="2899"/>
    </row>
    <row r="598" spans="2:19" ht="24" customHeight="1" x14ac:dyDescent="0.25">
      <c r="B598" s="259"/>
      <c r="C598" s="626" t="s">
        <v>1624</v>
      </c>
      <c r="D598" s="261"/>
      <c r="E598" s="262"/>
      <c r="F598" s="262"/>
      <c r="G598" s="262"/>
      <c r="H598" s="262"/>
      <c r="I598" s="262"/>
      <c r="J598" s="262"/>
      <c r="K598" s="262"/>
      <c r="L598" s="262"/>
      <c r="M598" s="262"/>
      <c r="N598" s="262"/>
      <c r="O598" s="262"/>
      <c r="P598" s="262"/>
      <c r="Q598" s="263"/>
      <c r="S598" s="2899"/>
    </row>
    <row r="599" spans="2:19" ht="18.75" customHeight="1" x14ac:dyDescent="0.25">
      <c r="B599" s="259"/>
      <c r="C599" s="261"/>
      <c r="D599" s="261"/>
      <c r="E599" s="262"/>
      <c r="F599" s="262"/>
      <c r="G599" s="262"/>
      <c r="H599" s="262"/>
      <c r="I599" s="262"/>
      <c r="J599" s="262"/>
      <c r="K599" s="262"/>
      <c r="L599" s="262"/>
      <c r="M599" s="262"/>
      <c r="N599" s="262"/>
      <c r="O599" s="262"/>
      <c r="P599" s="262"/>
      <c r="Q599" s="263"/>
      <c r="S599" s="2899"/>
    </row>
    <row r="600" spans="2:19" ht="22.5" customHeight="1" x14ac:dyDescent="0.25">
      <c r="B600" s="259"/>
      <c r="C600" s="166" t="s">
        <v>124</v>
      </c>
      <c r="D600" s="166"/>
      <c r="E600" s="166"/>
      <c r="F600" s="3080" t="s">
        <v>84</v>
      </c>
      <c r="G600" s="3081"/>
      <c r="H600" s="3081"/>
      <c r="I600" s="3081"/>
      <c r="J600" s="3081"/>
      <c r="K600" s="3080" t="s">
        <v>85</v>
      </c>
      <c r="L600" s="3081"/>
      <c r="M600" s="3081"/>
      <c r="N600" s="3081"/>
      <c r="O600" s="3081"/>
      <c r="P600" s="317"/>
      <c r="Q600" s="263"/>
      <c r="S600" s="2899"/>
    </row>
    <row r="601" spans="2:19" ht="3" customHeight="1" x14ac:dyDescent="0.25">
      <c r="B601" s="259"/>
      <c r="C601" s="262"/>
      <c r="D601" s="262"/>
      <c r="E601" s="262"/>
      <c r="F601" s="262"/>
      <c r="G601" s="262"/>
      <c r="H601" s="262"/>
      <c r="I601" s="262"/>
      <c r="J601" s="262"/>
      <c r="K601" s="262"/>
      <c r="L601" s="262"/>
      <c r="M601" s="262"/>
      <c r="N601" s="262"/>
      <c r="O601" s="262"/>
      <c r="P601" s="262"/>
      <c r="Q601" s="263"/>
      <c r="S601" s="2899"/>
    </row>
    <row r="602" spans="2:19" ht="23.25" customHeight="1" x14ac:dyDescent="0.25">
      <c r="B602" s="259"/>
      <c r="C602" s="3102" t="s">
        <v>90</v>
      </c>
      <c r="D602" s="3103"/>
      <c r="E602" s="3104"/>
      <c r="F602" s="3075" t="s">
        <v>1871</v>
      </c>
      <c r="G602" s="3076"/>
      <c r="H602" s="3077" t="s">
        <v>134</v>
      </c>
      <c r="I602" s="3077"/>
      <c r="J602" s="3077"/>
      <c r="K602" s="3075" t="s">
        <v>1871</v>
      </c>
      <c r="L602" s="3076"/>
      <c r="M602" s="3077" t="s">
        <v>134</v>
      </c>
      <c r="N602" s="3077"/>
      <c r="O602" s="3077"/>
      <c r="P602" s="348"/>
      <c r="Q602" s="263"/>
      <c r="S602" s="2899"/>
    </row>
    <row r="603" spans="2:19" ht="29.25" customHeight="1" x14ac:dyDescent="0.25">
      <c r="B603" s="259"/>
      <c r="C603" s="3105"/>
      <c r="D603" s="3106"/>
      <c r="E603" s="3107"/>
      <c r="F603" s="479" t="s">
        <v>1426</v>
      </c>
      <c r="G603" s="349" t="s">
        <v>122</v>
      </c>
      <c r="H603" s="471" t="s">
        <v>299</v>
      </c>
      <c r="I603" s="3066" t="s">
        <v>301</v>
      </c>
      <c r="J603" s="3067"/>
      <c r="K603" s="479" t="s">
        <v>1426</v>
      </c>
      <c r="L603" s="349" t="s">
        <v>122</v>
      </c>
      <c r="M603" s="471" t="s">
        <v>299</v>
      </c>
      <c r="N603" s="3066" t="s">
        <v>301</v>
      </c>
      <c r="O603" s="3110"/>
      <c r="P603" s="3067"/>
      <c r="Q603" s="263"/>
      <c r="S603" s="2899"/>
    </row>
    <row r="604" spans="2:19" ht="21.75" customHeight="1" x14ac:dyDescent="0.25">
      <c r="B604" s="1278"/>
      <c r="C604" s="694" t="s">
        <v>91</v>
      </c>
      <c r="D604" s="533"/>
      <c r="E604" s="534" t="s">
        <v>135</v>
      </c>
      <c r="F604" s="535" t="str">
        <f>IF(H604=1,"1- Très faible",IF(H604=2,"2- Faible",IF(H604=3,"3- Moyen",IF(H604=4,"4- Bon",IF(H604=5,"5- Excellent","")))))</f>
        <v/>
      </c>
      <c r="G604" s="13" t="str">
        <f>IF(OR(SUM(G605:G610)=0,H604=0),"",(SUM(G605:G610)/(6-I604)*6))</f>
        <v/>
      </c>
      <c r="H604" s="536">
        <f>IF(I604=6,0,IF(I604=0,ROUNDDOWN(AVERAGE(G605:G610),0),ROUNDDOWN((SUM(G605:G610)/(6-I604)),0)))</f>
        <v>0</v>
      </c>
      <c r="I604" s="731">
        <f>COUNTIF(F605:F610,"Ne s'applique pas")</f>
        <v>0</v>
      </c>
      <c r="J604" s="537"/>
      <c r="K604" s="535" t="str">
        <f>IF(M604=1,"1- Très faible",IF(M604=2,"2- Faible",IF(M604=3,"3- Moyen",IF(M604=4,"4- Bon",IF(M604=5,"5- Excellent","")))))</f>
        <v/>
      </c>
      <c r="L604" s="13" t="str">
        <f>IF(OR(SUM(L605:L610)=0,M604=0),"",(SUM(L605:L610)/(6-N604)*6))</f>
        <v/>
      </c>
      <c r="M604" s="536">
        <f>IF(N604=6,0,IF(N604=0,ROUNDDOWN(AVERAGE(L605:L610),0),ROUNDDOWN((SUM(L605:L610)/(6-N604)),0)))</f>
        <v>0</v>
      </c>
      <c r="N604" s="731">
        <f>COUNTIF(K605:K610,"Ne s'applique pas")</f>
        <v>0</v>
      </c>
      <c r="O604" s="3073"/>
      <c r="P604" s="3074"/>
      <c r="Q604" s="263"/>
      <c r="S604" s="2899"/>
    </row>
    <row r="605" spans="2:19" ht="18" customHeight="1" x14ac:dyDescent="0.25">
      <c r="B605" s="494" t="str">
        <f t="shared" ref="B605:B610" si="155">IF(OR(ISBLANK(F605),ISBLANK(K605))=FALSE,"","u")</f>
        <v>u</v>
      </c>
      <c r="C605" s="3090" t="s">
        <v>92</v>
      </c>
      <c r="D605" s="3091"/>
      <c r="E605" s="3092"/>
      <c r="F605" s="691"/>
      <c r="G605" s="532">
        <f>IF(F605=$E$587,1,IF(F605=$E$588,2,IF(F605=$E$589,3,IF(F605=$E$590,4,IF(F605=$E$591,5,0)))))</f>
        <v>0</v>
      </c>
      <c r="H605" s="689"/>
      <c r="I605" s="3068"/>
      <c r="J605" s="3069"/>
      <c r="K605" s="691"/>
      <c r="L605" s="532">
        <f t="shared" ref="L605:L610" si="156">IF(K605=$E$587,1,IF(K605=$E$588,2,IF(K605=$E$589,3,IF(K605=$E$590,4,IF(K605=$E$591,5,0)))))</f>
        <v>0</v>
      </c>
      <c r="M605" s="689"/>
      <c r="N605" s="3068"/>
      <c r="O605" s="3179"/>
      <c r="P605" s="3069"/>
      <c r="Q605" s="263"/>
      <c r="R605" s="302"/>
      <c r="S605" s="2899"/>
    </row>
    <row r="606" spans="2:19" ht="18" customHeight="1" x14ac:dyDescent="0.25">
      <c r="B606" s="494" t="str">
        <f t="shared" si="155"/>
        <v>u</v>
      </c>
      <c r="C606" s="3063" t="s">
        <v>93</v>
      </c>
      <c r="D606" s="3064"/>
      <c r="E606" s="3065"/>
      <c r="F606" s="691"/>
      <c r="G606" s="14">
        <f t="shared" ref="G606:G610" si="157">IF(F606=$E$587,1,IF(F606=$E$588,2,IF(F606=$E$589,3,IF(F606=$E$590,4,IF(F606=$E$591,5,0)))))</f>
        <v>0</v>
      </c>
      <c r="H606" s="687"/>
      <c r="I606" s="3051"/>
      <c r="J606" s="3052"/>
      <c r="K606" s="688"/>
      <c r="L606" s="14">
        <f t="shared" si="156"/>
        <v>0</v>
      </c>
      <c r="M606" s="687"/>
      <c r="N606" s="3051"/>
      <c r="O606" s="3070"/>
      <c r="P606" s="3052"/>
      <c r="Q606" s="263"/>
      <c r="S606" s="2899"/>
    </row>
    <row r="607" spans="2:19" ht="18" customHeight="1" x14ac:dyDescent="0.25">
      <c r="B607" s="494" t="str">
        <f t="shared" si="155"/>
        <v>u</v>
      </c>
      <c r="C607" s="3063" t="s">
        <v>94</v>
      </c>
      <c r="D607" s="3064"/>
      <c r="E607" s="3065"/>
      <c r="F607" s="691"/>
      <c r="G607" s="14">
        <f t="shared" si="157"/>
        <v>0</v>
      </c>
      <c r="H607" s="687"/>
      <c r="I607" s="3051"/>
      <c r="J607" s="3052"/>
      <c r="K607" s="688"/>
      <c r="L607" s="14">
        <f t="shared" si="156"/>
        <v>0</v>
      </c>
      <c r="M607" s="687"/>
      <c r="N607" s="3051"/>
      <c r="O607" s="3070"/>
      <c r="P607" s="3052"/>
      <c r="Q607" s="263"/>
      <c r="S607" s="2899"/>
    </row>
    <row r="608" spans="2:19" ht="18" customHeight="1" x14ac:dyDescent="0.25">
      <c r="B608" s="494" t="str">
        <f t="shared" si="155"/>
        <v>u</v>
      </c>
      <c r="C608" s="3063" t="s">
        <v>95</v>
      </c>
      <c r="D608" s="3064"/>
      <c r="E608" s="3065"/>
      <c r="F608" s="691"/>
      <c r="G608" s="14">
        <f t="shared" si="157"/>
        <v>0</v>
      </c>
      <c r="H608" s="687"/>
      <c r="I608" s="3051"/>
      <c r="J608" s="3052"/>
      <c r="K608" s="688"/>
      <c r="L608" s="14">
        <f t="shared" si="156"/>
        <v>0</v>
      </c>
      <c r="M608" s="687"/>
      <c r="N608" s="3051"/>
      <c r="O608" s="3070"/>
      <c r="P608" s="3052"/>
      <c r="Q608" s="263"/>
      <c r="S608" s="2899"/>
    </row>
    <row r="609" spans="2:19" ht="18" customHeight="1" x14ac:dyDescent="0.25">
      <c r="B609" s="494" t="str">
        <f t="shared" si="155"/>
        <v>u</v>
      </c>
      <c r="C609" s="3063" t="s">
        <v>96</v>
      </c>
      <c r="D609" s="3064"/>
      <c r="E609" s="3065"/>
      <c r="F609" s="691"/>
      <c r="G609" s="14">
        <f t="shared" si="157"/>
        <v>0</v>
      </c>
      <c r="H609" s="687"/>
      <c r="I609" s="3051"/>
      <c r="J609" s="3052"/>
      <c r="K609" s="688"/>
      <c r="L609" s="14">
        <f t="shared" si="156"/>
        <v>0</v>
      </c>
      <c r="M609" s="687"/>
      <c r="N609" s="3051"/>
      <c r="O609" s="3070"/>
      <c r="P609" s="3052"/>
      <c r="Q609" s="263"/>
      <c r="S609" s="2899"/>
    </row>
    <row r="610" spans="2:19" ht="18" customHeight="1" x14ac:dyDescent="0.25">
      <c r="B610" s="494" t="str">
        <f t="shared" si="155"/>
        <v>u</v>
      </c>
      <c r="C610" s="3093" t="s">
        <v>97</v>
      </c>
      <c r="D610" s="3094"/>
      <c r="E610" s="3095"/>
      <c r="F610" s="691"/>
      <c r="G610" s="531">
        <f t="shared" si="157"/>
        <v>0</v>
      </c>
      <c r="H610" s="690"/>
      <c r="I610" s="3085"/>
      <c r="J610" s="3087"/>
      <c r="K610" s="692"/>
      <c r="L610" s="531">
        <f t="shared" si="156"/>
        <v>0</v>
      </c>
      <c r="M610" s="690"/>
      <c r="N610" s="3085"/>
      <c r="O610" s="3086"/>
      <c r="P610" s="3087"/>
      <c r="Q610" s="263"/>
      <c r="S610" s="2899"/>
    </row>
    <row r="611" spans="2:19" ht="35.25" customHeight="1" x14ac:dyDescent="0.25">
      <c r="B611" s="494"/>
      <c r="C611" s="3082" t="s">
        <v>1873</v>
      </c>
      <c r="D611" s="3083"/>
      <c r="E611" s="3084"/>
      <c r="F611" s="3053"/>
      <c r="G611" s="3054"/>
      <c r="H611" s="3054"/>
      <c r="I611" s="3054"/>
      <c r="J611" s="3054"/>
      <c r="K611" s="3053"/>
      <c r="L611" s="3054"/>
      <c r="M611" s="3054"/>
      <c r="N611" s="3054"/>
      <c r="O611" s="3054"/>
      <c r="P611" s="3055"/>
      <c r="Q611" s="263"/>
      <c r="S611" s="2899"/>
    </row>
    <row r="612" spans="2:19" ht="21.75" customHeight="1" x14ac:dyDescent="0.25">
      <c r="B612" s="1278"/>
      <c r="C612" s="693" t="s">
        <v>1631</v>
      </c>
      <c r="D612" s="334"/>
      <c r="E612" s="8" t="s">
        <v>136</v>
      </c>
      <c r="F612" s="12" t="str">
        <f>IF(H612=1,"1- Très faible",IF(H612=2,"2- Faible",IF(H612=3,"3- Moyen",IF(H612=4,"4- Bon",IF(H612=5,"5- Excellent","")))))</f>
        <v/>
      </c>
      <c r="G612" s="529" t="str">
        <f>IF(SUM(G613:G614)=0,"",SUM(G613:G614))</f>
        <v/>
      </c>
      <c r="H612" s="15">
        <f>ROUNDDOWN(AVERAGE(G613:G614),0)</f>
        <v>0</v>
      </c>
      <c r="I612" s="16"/>
      <c r="J612" s="18"/>
      <c r="K612" s="12" t="str">
        <f>IF(M612=1,"1- Très faible",IF(M612=2,"2- Faible",IF(M612=3,"3- Moyen",IF(M612=4,"4- Bon",IF(M612=5,"5- Excellent","")))))</f>
        <v/>
      </c>
      <c r="L612" s="529" t="str">
        <f>IF(SUM(L613:L614)=0,"",SUM(L613:L614))</f>
        <v/>
      </c>
      <c r="M612" s="15">
        <f>ROUNDDOWN(AVERAGE(L613:L614),0)</f>
        <v>0</v>
      </c>
      <c r="N612" s="16"/>
      <c r="O612" s="3100"/>
      <c r="P612" s="3101"/>
      <c r="Q612" s="263"/>
      <c r="S612" s="2899"/>
    </row>
    <row r="613" spans="2:19" ht="18" customHeight="1" x14ac:dyDescent="0.25">
      <c r="B613" s="494" t="str">
        <f>IF(OR(ISBLANK(F613),ISBLANK(K613))=FALSE,"","u")</f>
        <v>u</v>
      </c>
      <c r="C613" s="3176" t="s">
        <v>1532</v>
      </c>
      <c r="D613" s="3177"/>
      <c r="E613" s="3178"/>
      <c r="F613" s="688"/>
      <c r="G613" s="14">
        <f>IF(F613=$E$587,1,IF(F613=$E$588,2,IF(F613=$E$589,3,IF(F613=$E$590,4,IF(F613=$E$591,5,0)))))</f>
        <v>0</v>
      </c>
      <c r="H613" s="687"/>
      <c r="I613" s="3051"/>
      <c r="J613" s="3052"/>
      <c r="K613" s="688"/>
      <c r="L613" s="14">
        <f>IF(K613=$E$587,1,IF(K613=$E$588,2,IF(K613=$E$589,3,IF(K613=$E$590,4,IF(K613=$E$591,5,0)))))</f>
        <v>0</v>
      </c>
      <c r="M613" s="687"/>
      <c r="N613" s="3051"/>
      <c r="O613" s="3070"/>
      <c r="P613" s="3052"/>
      <c r="Q613" s="263"/>
      <c r="S613" s="2899"/>
    </row>
    <row r="614" spans="2:19" ht="18" customHeight="1" x14ac:dyDescent="0.25">
      <c r="B614" s="494" t="str">
        <f>IF(OR(ISBLANK(F614),ISBLANK(K614))=FALSE,"","u")</f>
        <v>u</v>
      </c>
      <c r="C614" s="3063" t="s">
        <v>1781</v>
      </c>
      <c r="D614" s="3064"/>
      <c r="E614" s="3065"/>
      <c r="F614" s="688"/>
      <c r="G614" s="530">
        <f>IF(F614=$E$587,1,IF(F614=$E$588,2,IF(F614=$E$589,3,IF(F614=$E$590,4,IF(F614=$E$591,5,0)))))</f>
        <v>0</v>
      </c>
      <c r="H614" s="687"/>
      <c r="I614" s="3051"/>
      <c r="J614" s="3052"/>
      <c r="K614" s="688"/>
      <c r="L614" s="530">
        <f>IF(K614=$E$587,1,IF(K614=$E$588,2,IF(K614=$E$589,3,IF(K614=$E$590,4,IF(K614=$E$591,5,0)))))</f>
        <v>0</v>
      </c>
      <c r="M614" s="687"/>
      <c r="N614" s="3051"/>
      <c r="O614" s="3070"/>
      <c r="P614" s="3052"/>
      <c r="Q614" s="263"/>
      <c r="S614" s="2899"/>
    </row>
    <row r="615" spans="2:19" ht="35.25" customHeight="1" x14ac:dyDescent="0.25">
      <c r="B615" s="494"/>
      <c r="C615" s="3082" t="s">
        <v>1873</v>
      </c>
      <c r="D615" s="3083"/>
      <c r="E615" s="3084"/>
      <c r="F615" s="3053"/>
      <c r="G615" s="3054"/>
      <c r="H615" s="3054"/>
      <c r="I615" s="3054"/>
      <c r="J615" s="3054"/>
      <c r="K615" s="3053"/>
      <c r="L615" s="3054"/>
      <c r="M615" s="3054"/>
      <c r="N615" s="3054"/>
      <c r="O615" s="3054"/>
      <c r="P615" s="3055"/>
      <c r="Q615" s="263"/>
      <c r="S615" s="2899"/>
    </row>
    <row r="616" spans="2:19" ht="21.75" customHeight="1" x14ac:dyDescent="0.25">
      <c r="B616" s="1278"/>
      <c r="C616" s="693" t="s">
        <v>34</v>
      </c>
      <c r="D616" s="334"/>
      <c r="E616" s="8" t="s">
        <v>136</v>
      </c>
      <c r="F616" s="12" t="str">
        <f>IF(H616=1,"1- Très faible",IF(H616=2,"2- Faible",IF(H616=3,"3- Moyen",IF(H616=4,"4- Bon",IF(H616=5,"5- Excellent","")))))</f>
        <v/>
      </c>
      <c r="G616" s="13" t="str">
        <f>IF(SUM(G617:G618)=0,"",SUM(G617:G618))</f>
        <v/>
      </c>
      <c r="H616" s="15">
        <f>ROUNDDOWN(AVERAGE(G617:G618),0)</f>
        <v>0</v>
      </c>
      <c r="I616" s="16"/>
      <c r="J616" s="18"/>
      <c r="K616" s="12" t="str">
        <f>IF(M616=1,"1- Très faible",IF(M616=2,"2- Faible",IF(M616=3,"3- Moyen",IF(M616=4,"4- Bon",IF(M616=5,"5- Excellent","")))))</f>
        <v/>
      </c>
      <c r="L616" s="13" t="str">
        <f>IF(SUM(L617:L618)=0,"",SUM(L617:L618))</f>
        <v/>
      </c>
      <c r="M616" s="15">
        <f>ROUNDDOWN(AVERAGE(L617:L618),0)</f>
        <v>0</v>
      </c>
      <c r="N616" s="16"/>
      <c r="O616" s="3073"/>
      <c r="P616" s="3074"/>
      <c r="Q616" s="263"/>
      <c r="S616" s="2899"/>
    </row>
    <row r="617" spans="2:19" ht="18" customHeight="1" x14ac:dyDescent="0.25">
      <c r="B617" s="494" t="str">
        <f>IF(OR(ISBLANK(F617),ISBLANK(K617))=FALSE,"","u")</f>
        <v>u</v>
      </c>
      <c r="C617" s="3171" t="s">
        <v>1533</v>
      </c>
      <c r="D617" s="3172"/>
      <c r="E617" s="3173"/>
      <c r="F617" s="688"/>
      <c r="G617" s="14">
        <f>IF(F617=$E$587,1,IF(F617=$E$588,2,IF(F617=$E$589,3,IF(F617=$E$590,4,IF(F617=$E$591,5,0)))))</f>
        <v>0</v>
      </c>
      <c r="H617" s="687"/>
      <c r="I617" s="3051"/>
      <c r="J617" s="3052"/>
      <c r="K617" s="688"/>
      <c r="L617" s="14">
        <f>IF(K617=$E$587,1,IF(K617=$E$588,2,IF(K617=$E$589,3,IF(K617=$E$590,4,IF(K617=$E$591,5,0)))))</f>
        <v>0</v>
      </c>
      <c r="M617" s="687"/>
      <c r="N617" s="3051"/>
      <c r="O617" s="3070"/>
      <c r="P617" s="3052"/>
      <c r="Q617" s="263"/>
      <c r="S617" s="2899"/>
    </row>
    <row r="618" spans="2:19" ht="18" customHeight="1" x14ac:dyDescent="0.25">
      <c r="B618" s="494" t="str">
        <f>IF(OR(ISBLANK(F618),ISBLANK(K618))=FALSE,"","u")</f>
        <v>u</v>
      </c>
      <c r="C618" s="3063" t="s">
        <v>1782</v>
      </c>
      <c r="D618" s="3064"/>
      <c r="E618" s="3065"/>
      <c r="F618" s="688"/>
      <c r="G618" s="530">
        <f>IF(F618=$E$587,1,IF(F618=$E$588,2,IF(F618=$E$589,3,IF(F618=$E$590,4,IF(F618=$E$591,5,0)))))</f>
        <v>0</v>
      </c>
      <c r="H618" s="687"/>
      <c r="I618" s="3051"/>
      <c r="J618" s="3052"/>
      <c r="K618" s="688"/>
      <c r="L618" s="530">
        <f>IF(K618=$E$587,1,IF(K618=$E$588,2,IF(K618=$E$589,3,IF(K618=$E$590,4,IF(K618=$E$591,5,0)))))</f>
        <v>0</v>
      </c>
      <c r="M618" s="687"/>
      <c r="N618" s="3051"/>
      <c r="O618" s="3070"/>
      <c r="P618" s="3052"/>
      <c r="Q618" s="263"/>
      <c r="S618" s="2899"/>
    </row>
    <row r="619" spans="2:19" ht="35.25" customHeight="1" x14ac:dyDescent="0.25">
      <c r="B619" s="494"/>
      <c r="C619" s="3082" t="s">
        <v>1873</v>
      </c>
      <c r="D619" s="3083"/>
      <c r="E619" s="3084"/>
      <c r="F619" s="3053"/>
      <c r="G619" s="3054"/>
      <c r="H619" s="3054"/>
      <c r="I619" s="3054"/>
      <c r="J619" s="3054"/>
      <c r="K619" s="3053"/>
      <c r="L619" s="3054"/>
      <c r="M619" s="3054"/>
      <c r="N619" s="3054"/>
      <c r="O619" s="3054"/>
      <c r="P619" s="3055"/>
      <c r="Q619" s="263"/>
      <c r="S619" s="2899"/>
    </row>
    <row r="620" spans="2:19" ht="21.75" customHeight="1" x14ac:dyDescent="0.25">
      <c r="B620" s="1278"/>
      <c r="C620" s="693" t="s">
        <v>99</v>
      </c>
      <c r="D620" s="334"/>
      <c r="E620" s="8" t="s">
        <v>136</v>
      </c>
      <c r="F620" s="12" t="str">
        <f>IF(H620=1,"1- Très faible",IF(H620=2,"2- Faible",IF(H620=3,"3- Moyen",IF(H620=4,"4- Bon",IF(H620=5,"5- Excellent","")))))</f>
        <v/>
      </c>
      <c r="G620" s="529" t="str">
        <f>IF(SUM(G621:G622)=0,"",SUM(G621:G622))</f>
        <v/>
      </c>
      <c r="H620" s="15">
        <f>ROUNDDOWN(AVERAGE(G621:G622),0)</f>
        <v>0</v>
      </c>
      <c r="I620" s="16"/>
      <c r="J620" s="18"/>
      <c r="K620" s="12" t="str">
        <f>IF(M620=1,"1- Très faible",IF(M620=2,"2- Faible",IF(M620=3,"3- Moyen",IF(M620=4,"4- Bon",IF(M620=5,"5- Excellent","")))))</f>
        <v/>
      </c>
      <c r="L620" s="529" t="str">
        <f>IF(SUM(L621:L622)=0,"",SUM(L621:L622))</f>
        <v/>
      </c>
      <c r="M620" s="15">
        <f>ROUNDDOWN(AVERAGE(L621:L622),0)</f>
        <v>0</v>
      </c>
      <c r="N620" s="16"/>
      <c r="O620" s="3100"/>
      <c r="P620" s="3101"/>
      <c r="Q620" s="263"/>
      <c r="S620" s="2899"/>
    </row>
    <row r="621" spans="2:19" ht="18" customHeight="1" x14ac:dyDescent="0.25">
      <c r="B621" s="494" t="str">
        <f>IF(OR(ISBLANK(F621),ISBLANK(K621))=FALSE,"","u")</f>
        <v>u</v>
      </c>
      <c r="C621" s="3171" t="s">
        <v>1534</v>
      </c>
      <c r="D621" s="3172"/>
      <c r="E621" s="3173"/>
      <c r="F621" s="688"/>
      <c r="G621" s="530">
        <f>IF(F621=$E$587,1,IF(F621=$E$588,2,IF(F621=$E$589,3,IF(F621=$E$590,4,IF(F621=$E$591,5,0)))))</f>
        <v>0</v>
      </c>
      <c r="H621" s="687"/>
      <c r="I621" s="3051"/>
      <c r="J621" s="3052"/>
      <c r="K621" s="688"/>
      <c r="L621" s="530">
        <f>IF(K621=$E$587,1,IF(K621=$E$588,2,IF(K621=$E$589,3,IF(K621=$E$590,4,IF(K621=$E$591,5,0)))))</f>
        <v>0</v>
      </c>
      <c r="M621" s="687"/>
      <c r="N621" s="3051"/>
      <c r="O621" s="3070"/>
      <c r="P621" s="3052"/>
      <c r="Q621" s="263"/>
      <c r="S621" s="2899"/>
    </row>
    <row r="622" spans="2:19" ht="18" customHeight="1" x14ac:dyDescent="0.25">
      <c r="B622" s="494" t="str">
        <f>IF(OR(ISBLANK(F622),ISBLANK(K622))=FALSE,"","u")</f>
        <v>u</v>
      </c>
      <c r="C622" s="3063" t="s">
        <v>1783</v>
      </c>
      <c r="D622" s="3064"/>
      <c r="E622" s="3065"/>
      <c r="F622" s="688"/>
      <c r="G622" s="530">
        <f>IF(F622=$E$587,1,IF(F622=$E$588,2,IF(F622=$E$589,3,IF(F622=$E$590,4,IF(F622=$E$591,5,0)))))</f>
        <v>0</v>
      </c>
      <c r="H622" s="687"/>
      <c r="I622" s="3051"/>
      <c r="J622" s="3052"/>
      <c r="K622" s="688"/>
      <c r="L622" s="530">
        <f>IF(K622=$E$587,1,IF(K622=$E$588,2,IF(K622=$E$589,3,IF(K622=$E$590,4,IF(K622=$E$591,5,0)))))</f>
        <v>0</v>
      </c>
      <c r="M622" s="687"/>
      <c r="N622" s="3051"/>
      <c r="O622" s="3070"/>
      <c r="P622" s="3052"/>
      <c r="Q622" s="263"/>
      <c r="S622" s="2899"/>
    </row>
    <row r="623" spans="2:19" ht="35.25" customHeight="1" x14ac:dyDescent="0.25">
      <c r="B623" s="494"/>
      <c r="C623" s="3082" t="s">
        <v>1873</v>
      </c>
      <c r="D623" s="3083"/>
      <c r="E623" s="3084"/>
      <c r="F623" s="3053"/>
      <c r="G623" s="3054"/>
      <c r="H623" s="3054"/>
      <c r="I623" s="3054"/>
      <c r="J623" s="3054"/>
      <c r="K623" s="3053"/>
      <c r="L623" s="3054"/>
      <c r="M623" s="3054"/>
      <c r="N623" s="3054"/>
      <c r="O623" s="3054"/>
      <c r="P623" s="3055"/>
      <c r="Q623" s="263"/>
      <c r="S623" s="2899"/>
    </row>
    <row r="624" spans="2:19" ht="21.75" customHeight="1" x14ac:dyDescent="0.25">
      <c r="B624" s="1278"/>
      <c r="C624" s="693" t="s">
        <v>100</v>
      </c>
      <c r="D624" s="695"/>
      <c r="E624" s="8" t="s">
        <v>138</v>
      </c>
      <c r="F624" s="12" t="str">
        <f>IF(H624=1,"1- Très faible",IF(H624=2,"2- Faible",IF(H624=3,"3- Moyen",IF(H624=4,"4- Bon",IF(H624=5,"5- Excellent","")))))</f>
        <v/>
      </c>
      <c r="G624" s="13" t="str">
        <f>IF(SUM(G625:G627)=0,"",SUM(G625:G627))</f>
        <v/>
      </c>
      <c r="H624" s="15">
        <f>ROUNDDOWN(AVERAGE(G625:G627),0)</f>
        <v>0</v>
      </c>
      <c r="I624" s="16"/>
      <c r="J624" s="18"/>
      <c r="K624" s="12" t="str">
        <f>IF(M624=1,"1- Très faible",IF(M624=2,"2- Faible",IF(M624=3,"3- Moyen",IF(M624=4,"4- Bon",IF(M624=5,"5- Excellent","")))))</f>
        <v/>
      </c>
      <c r="L624" s="13" t="str">
        <f>IF(SUM(L625:L627)=0,"",SUM(L625:L627))</f>
        <v/>
      </c>
      <c r="M624" s="15">
        <f>ROUNDDOWN(AVERAGE(L625:L627),0)</f>
        <v>0</v>
      </c>
      <c r="N624" s="16"/>
      <c r="O624" s="3073"/>
      <c r="P624" s="3074"/>
      <c r="Q624" s="263"/>
      <c r="S624" s="2899"/>
    </row>
    <row r="625" spans="2:19" ht="18" customHeight="1" x14ac:dyDescent="0.25">
      <c r="B625" s="494" t="str">
        <f>IF(OR(ISBLANK(F625),ISBLANK(K625))=FALSE,"","u")</f>
        <v>u</v>
      </c>
      <c r="C625" s="3063" t="s">
        <v>101</v>
      </c>
      <c r="D625" s="3064"/>
      <c r="E625" s="3065"/>
      <c r="F625" s="688"/>
      <c r="G625" s="14">
        <f>IF(F625=$E$587,1,IF(F625=$E$588,2,IF(F625=$E$589,3,IF(F625=$E$590,4,IF(F625=$E$591,5,0)))))</f>
        <v>0</v>
      </c>
      <c r="H625" s="687"/>
      <c r="I625" s="3051"/>
      <c r="J625" s="3052"/>
      <c r="K625" s="688"/>
      <c r="L625" s="14">
        <f>IF(K625=$E$587,1,IF(K625=$E$588,2,IF(K625=$E$589,3,IF(K625=$E$590,4,IF(K625=$E$591,5,0)))))</f>
        <v>0</v>
      </c>
      <c r="M625" s="687"/>
      <c r="N625" s="3051"/>
      <c r="O625" s="3070"/>
      <c r="P625" s="3052"/>
      <c r="Q625" s="263"/>
      <c r="S625" s="2899"/>
    </row>
    <row r="626" spans="2:19" ht="18" customHeight="1" x14ac:dyDescent="0.25">
      <c r="B626" s="494" t="str">
        <f>IF(OR(ISBLANK(F626),ISBLANK(K626))=FALSE,"","u")</f>
        <v>u</v>
      </c>
      <c r="C626" s="3063" t="s">
        <v>102</v>
      </c>
      <c r="D626" s="3064"/>
      <c r="E626" s="3065"/>
      <c r="F626" s="688"/>
      <c r="G626" s="14">
        <f>IF(F626=$E$587,1,IF(F626=$E$588,2,IF(F626=$E$589,3,IF(F626=$E$590,4,IF(F626=$E$591,5,0)))))</f>
        <v>0</v>
      </c>
      <c r="H626" s="687"/>
      <c r="I626" s="3051"/>
      <c r="J626" s="3052"/>
      <c r="K626" s="688"/>
      <c r="L626" s="14">
        <f>IF(K626=$E$587,1,IF(K626=$E$588,2,IF(K626=$E$589,3,IF(K626=$E$590,4,IF(K626=$E$591,5,0)))))</f>
        <v>0</v>
      </c>
      <c r="M626" s="687"/>
      <c r="N626" s="3051"/>
      <c r="O626" s="3070"/>
      <c r="P626" s="3052"/>
      <c r="Q626" s="263"/>
      <c r="S626" s="2899"/>
    </row>
    <row r="627" spans="2:19" ht="18" customHeight="1" x14ac:dyDescent="0.25">
      <c r="B627" s="494" t="str">
        <f>IF(OR(ISBLANK(F627),ISBLANK(K627))=FALSE,"","u")</f>
        <v>u</v>
      </c>
      <c r="C627" s="3063" t="s">
        <v>103</v>
      </c>
      <c r="D627" s="3064"/>
      <c r="E627" s="3065"/>
      <c r="F627" s="688"/>
      <c r="G627" s="530">
        <f>IF(F627=$E$587,1,IF(F627=$E$588,2,IF(F627=$E$589,3,IF(F627=$E$590,4,IF(F627=$E$591,5,0)))))</f>
        <v>0</v>
      </c>
      <c r="H627" s="687"/>
      <c r="I627" s="3051"/>
      <c r="J627" s="3052"/>
      <c r="K627" s="688"/>
      <c r="L627" s="530">
        <f>IF(K627=$E$587,1,IF(K627=$E$588,2,IF(K627=$E$589,3,IF(K627=$E$590,4,IF(K627=$E$591,5,0)))))</f>
        <v>0</v>
      </c>
      <c r="M627" s="687"/>
      <c r="N627" s="3051"/>
      <c r="O627" s="3070"/>
      <c r="P627" s="3052"/>
      <c r="Q627" s="263"/>
      <c r="S627" s="2899"/>
    </row>
    <row r="628" spans="2:19" ht="35.25" customHeight="1" x14ac:dyDescent="0.25">
      <c r="B628" s="494"/>
      <c r="C628" s="3082" t="s">
        <v>1873</v>
      </c>
      <c r="D628" s="3083"/>
      <c r="E628" s="3084"/>
      <c r="F628" s="3053"/>
      <c r="G628" s="3054"/>
      <c r="H628" s="3054"/>
      <c r="I628" s="3054"/>
      <c r="J628" s="3054"/>
      <c r="K628" s="3053"/>
      <c r="L628" s="3054"/>
      <c r="M628" s="3054"/>
      <c r="N628" s="3054"/>
      <c r="O628" s="3054"/>
      <c r="P628" s="3055"/>
      <c r="Q628" s="263"/>
      <c r="S628" s="2899"/>
    </row>
    <row r="629" spans="2:19" ht="21.75" customHeight="1" x14ac:dyDescent="0.25">
      <c r="B629" s="1278"/>
      <c r="C629" s="693" t="s">
        <v>104</v>
      </c>
      <c r="D629" s="695"/>
      <c r="E629" s="8" t="s">
        <v>136</v>
      </c>
      <c r="F629" s="12" t="str">
        <f>IF(H629=1,"1- Très faible",IF(H629=2,"2- Faible",IF(H629=3,"3- Moyen",IF(H629=4,"4- Bon",IF(H629=5,"5- Excellent","")))))</f>
        <v/>
      </c>
      <c r="G629" s="13" t="str">
        <f>IF(SUM(G630:G631)=0,"",SUM(G630:G631))</f>
        <v/>
      </c>
      <c r="H629" s="15">
        <f>ROUNDDOWN(AVERAGE(G630:G631),0)</f>
        <v>0</v>
      </c>
      <c r="I629" s="16"/>
      <c r="J629" s="18"/>
      <c r="K629" s="12" t="str">
        <f>IF(M629=1,"1- Très faible",IF(M629=2,"2- Faible",IF(M629=3,"3- Moyen",IF(M629=4,"4- Bon",IF(M629=5,"5- Excellent","")))))</f>
        <v/>
      </c>
      <c r="L629" s="13" t="str">
        <f>IF(SUM(L630:L631)=0,"",SUM(L630:L631))</f>
        <v/>
      </c>
      <c r="M629" s="15">
        <f>ROUNDDOWN(AVERAGE(L630:L631),0)</f>
        <v>0</v>
      </c>
      <c r="N629" s="16"/>
      <c r="O629" s="3073"/>
      <c r="P629" s="3074"/>
      <c r="Q629" s="263"/>
      <c r="S629" s="2899"/>
    </row>
    <row r="630" spans="2:19" ht="18" customHeight="1" x14ac:dyDescent="0.25">
      <c r="B630" s="494" t="str">
        <f>IF(OR(ISBLANK(F630),ISBLANK(K630))=FALSE,"","u")</f>
        <v>u</v>
      </c>
      <c r="C630" s="3063" t="s">
        <v>105</v>
      </c>
      <c r="D630" s="3064"/>
      <c r="E630" s="3065"/>
      <c r="F630" s="688"/>
      <c r="G630" s="14">
        <f>IF(F630=$E$587,1,IF(F630=$E$588,2,IF(F630=$E$589,3,IF(F630=$E$590,4,IF(F630=$E$591,5,0)))))</f>
        <v>0</v>
      </c>
      <c r="H630" s="687"/>
      <c r="I630" s="3051"/>
      <c r="J630" s="3052"/>
      <c r="K630" s="688"/>
      <c r="L630" s="14">
        <f>IF(K630=$E$587,1,IF(K630=$E$588,2,IF(K630=$E$589,3,IF(K630=$E$590,4,IF(K630=$E$591,5,0)))))</f>
        <v>0</v>
      </c>
      <c r="M630" s="687"/>
      <c r="N630" s="3051"/>
      <c r="O630" s="3070"/>
      <c r="P630" s="3052"/>
      <c r="Q630" s="263"/>
      <c r="S630" s="2899"/>
    </row>
    <row r="631" spans="2:19" ht="18" customHeight="1" x14ac:dyDescent="0.25">
      <c r="B631" s="494" t="str">
        <f>IF(OR(ISBLANK(F631),ISBLANK(K631))=FALSE,"","u")</f>
        <v>u</v>
      </c>
      <c r="C631" s="3063" t="s">
        <v>1535</v>
      </c>
      <c r="D631" s="3064"/>
      <c r="E631" s="3065"/>
      <c r="F631" s="688"/>
      <c r="G631" s="14">
        <f>IF(F631=$E$587,1,IF(F631=$E$588,2,IF(F631=$E$589,3,IF(F631=$E$590,4,IF(F631=$E$591,5,0)))))</f>
        <v>0</v>
      </c>
      <c r="H631" s="687"/>
      <c r="I631" s="3051"/>
      <c r="J631" s="3052"/>
      <c r="K631" s="688"/>
      <c r="L631" s="14">
        <f>IF(K631=$E$587,1,IF(K631=$E$588,2,IF(K631=$E$589,3,IF(K631=$E$590,4,IF(K631=$E$591,5,0)))))</f>
        <v>0</v>
      </c>
      <c r="M631" s="687"/>
      <c r="N631" s="3051"/>
      <c r="O631" s="3070"/>
      <c r="P631" s="3052"/>
      <c r="Q631" s="263"/>
      <c r="S631" s="2899"/>
    </row>
    <row r="632" spans="2:19" ht="35.25" customHeight="1" x14ac:dyDescent="0.25">
      <c r="B632" s="494"/>
      <c r="C632" s="3082" t="s">
        <v>1873</v>
      </c>
      <c r="D632" s="3083"/>
      <c r="E632" s="3084"/>
      <c r="F632" s="3053"/>
      <c r="G632" s="3054"/>
      <c r="H632" s="3054"/>
      <c r="I632" s="3054"/>
      <c r="J632" s="3054"/>
      <c r="K632" s="3053"/>
      <c r="L632" s="3054"/>
      <c r="M632" s="3054"/>
      <c r="N632" s="3054"/>
      <c r="O632" s="3054"/>
      <c r="P632" s="3055"/>
      <c r="Q632" s="263"/>
      <c r="S632" s="2899"/>
    </row>
    <row r="633" spans="2:19" ht="21.75" customHeight="1" x14ac:dyDescent="0.25">
      <c r="B633" s="1278"/>
      <c r="C633" s="694" t="s">
        <v>106</v>
      </c>
      <c r="D633" s="334"/>
      <c r="E633" s="8" t="s">
        <v>138</v>
      </c>
      <c r="F633" s="12" t="str">
        <f>IF(H633=1,"1- Très faible",IF(H633=2,"2- Faible",IF(H633=3,"3- Moyen",IF(H633=4,"4- Bon",IF(H633=5,"5- Excellent","")))))</f>
        <v/>
      </c>
      <c r="G633" s="13" t="str">
        <f>IF(SUM(G634:G636)=0,"",SUM(G634:G636))</f>
        <v/>
      </c>
      <c r="H633" s="15">
        <f>ROUNDDOWN(AVERAGE(G634:G636),0)</f>
        <v>0</v>
      </c>
      <c r="I633" s="16"/>
      <c r="J633" s="18"/>
      <c r="K633" s="12" t="str">
        <f>IF(M633=1,"1- Très faible",IF(M633=2,"2- Faible",IF(M633=3,"3- Moyen",IF(M633=4,"4- Bon",IF(M633=5,"5- Excellent","")))))</f>
        <v/>
      </c>
      <c r="L633" s="13" t="str">
        <f>IF(SUM(L634:L636)=0,"",SUM(L634:L636))</f>
        <v/>
      </c>
      <c r="M633" s="15">
        <f>ROUNDDOWN(AVERAGE(L634:L636),0)</f>
        <v>0</v>
      </c>
      <c r="N633" s="16"/>
      <c r="O633" s="3073"/>
      <c r="P633" s="3074"/>
      <c r="Q633" s="263"/>
      <c r="S633" s="2899"/>
    </row>
    <row r="634" spans="2:19" ht="18" customHeight="1" x14ac:dyDescent="0.25">
      <c r="B634" s="494" t="str">
        <f>IF(OR(ISBLANK(F634),ISBLANK(K634))=FALSE,"","u")</f>
        <v>u</v>
      </c>
      <c r="C634" s="3063" t="s">
        <v>107</v>
      </c>
      <c r="D634" s="3064"/>
      <c r="E634" s="3065"/>
      <c r="F634" s="688"/>
      <c r="G634" s="14">
        <f>IF(F634=$E$587,1,IF(F634=$E$588,2,IF(F634=$E$589,3,IF(F634=$E$590,4,IF(F634=$E$591,5,0)))))</f>
        <v>0</v>
      </c>
      <c r="H634" s="687"/>
      <c r="I634" s="3051"/>
      <c r="J634" s="3052"/>
      <c r="K634" s="688"/>
      <c r="L634" s="14">
        <f>IF(K634=$E$587,1,IF(K634=$E$588,2,IF(K634=$E$589,3,IF(K634=$E$590,4,IF(K634=$E$591,5,0)))))</f>
        <v>0</v>
      </c>
      <c r="M634" s="687"/>
      <c r="N634" s="3051"/>
      <c r="O634" s="3070"/>
      <c r="P634" s="3052"/>
      <c r="Q634" s="263"/>
      <c r="S634" s="2899"/>
    </row>
    <row r="635" spans="2:19" ht="18" customHeight="1" x14ac:dyDescent="0.25">
      <c r="B635" s="494" t="str">
        <f>IF(OR(ISBLANK(F635),ISBLANK(K635))=FALSE,"","u")</f>
        <v>u</v>
      </c>
      <c r="C635" s="3063" t="s">
        <v>108</v>
      </c>
      <c r="D635" s="3064"/>
      <c r="E635" s="3065"/>
      <c r="F635" s="688"/>
      <c r="G635" s="14">
        <f>IF(F635=$E$587,1,IF(F635=$E$588,2,IF(F635=$E$589,3,IF(F635=$E$590,4,IF(F635=$E$591,5,0)))))</f>
        <v>0</v>
      </c>
      <c r="H635" s="687"/>
      <c r="I635" s="3051"/>
      <c r="J635" s="3052"/>
      <c r="K635" s="688"/>
      <c r="L635" s="14">
        <f>IF(K635=$E$587,1,IF(K635=$E$588,2,IF(K635=$E$589,3,IF(K635=$E$590,4,IF(K635=$E$591,5,0)))))</f>
        <v>0</v>
      </c>
      <c r="M635" s="687"/>
      <c r="N635" s="3051"/>
      <c r="O635" s="3070"/>
      <c r="P635" s="3052"/>
      <c r="Q635" s="263"/>
      <c r="S635" s="2899"/>
    </row>
    <row r="636" spans="2:19" ht="18" customHeight="1" x14ac:dyDescent="0.25">
      <c r="B636" s="494" t="str">
        <f>IF(OR(ISBLANK(F636),ISBLANK(K636))=FALSE,"","u")</f>
        <v>u</v>
      </c>
      <c r="C636" s="3063" t="s">
        <v>109</v>
      </c>
      <c r="D636" s="3064"/>
      <c r="E636" s="3065"/>
      <c r="F636" s="688"/>
      <c r="G636" s="530">
        <f>IF(F636=$E$587,1,IF(F636=$E$588,2,IF(F636=$E$589,3,IF(F636=$E$590,4,IF(F636=$E$591,5,0)))))</f>
        <v>0</v>
      </c>
      <c r="H636" s="687"/>
      <c r="I636" s="3051"/>
      <c r="J636" s="3052"/>
      <c r="K636" s="688"/>
      <c r="L636" s="530">
        <f>IF(K636=$E$587,1,IF(K636=$E$588,2,IF(K636=$E$589,3,IF(K636=$E$590,4,IF(K636=$E$591,5,0)))))</f>
        <v>0</v>
      </c>
      <c r="M636" s="687"/>
      <c r="N636" s="3051"/>
      <c r="O636" s="3070"/>
      <c r="P636" s="3052"/>
      <c r="Q636" s="263"/>
      <c r="S636" s="2899"/>
    </row>
    <row r="637" spans="2:19" ht="35.25" customHeight="1" x14ac:dyDescent="0.25">
      <c r="B637" s="494"/>
      <c r="C637" s="3082" t="s">
        <v>1873</v>
      </c>
      <c r="D637" s="3083"/>
      <c r="E637" s="3084"/>
      <c r="F637" s="3053"/>
      <c r="G637" s="3054"/>
      <c r="H637" s="3054"/>
      <c r="I637" s="3054"/>
      <c r="J637" s="3054"/>
      <c r="K637" s="3053"/>
      <c r="L637" s="3054"/>
      <c r="M637" s="3054"/>
      <c r="N637" s="3054"/>
      <c r="O637" s="3054"/>
      <c r="P637" s="3055"/>
      <c r="Q637" s="263"/>
      <c r="S637" s="2899"/>
    </row>
    <row r="638" spans="2:19" ht="22.5" customHeight="1" x14ac:dyDescent="0.25">
      <c r="B638" s="259"/>
      <c r="C638" s="668"/>
      <c r="D638" s="350"/>
      <c r="E638" s="9" t="s">
        <v>150</v>
      </c>
      <c r="F638" s="19" t="str">
        <f>IF(H638=1,"1- Très faible",IF(H638=2,"2- Faible",IF(H638=3,"3- Moyen",IF(H638=4,"4- Bon",IF(H638=5,"5- Excellent","")))))</f>
        <v/>
      </c>
      <c r="G638" s="417" t="str">
        <f>IF(ISERR(G612+G616+G620+G624+G629+G633)=TRUE,"",IF((G604=""),((G612+G616+G620+G624+G629+G633)/70*100),(G604+G612+G616+G620+G624+G629+G633)))</f>
        <v/>
      </c>
      <c r="H638" s="641">
        <f>ROUNDDOWN(AVERAGE(H604,H612,H616,H620,H624,H629,H633),0)</f>
        <v>0</v>
      </c>
      <c r="I638" s="17"/>
      <c r="J638" s="17"/>
      <c r="K638" s="19" t="str">
        <f>IF(M638=1,"1- Très faible",IF(M638=2,"2- Faible",IF(M638=3,"3- Moyen",IF(M638=4,"4- Bon",IF(M638=5,"5- Excellent","")))))</f>
        <v/>
      </c>
      <c r="L638" s="417" t="str">
        <f>IF(ISERR(L612+L616+L620+L624+L629+L633)=TRUE,"",IF((L604=""),((L612+L616+L620+L624+L629+L633)/70*100),(L604+L612+L616+L620+L624+L629+L633)))</f>
        <v/>
      </c>
      <c r="M638" s="641">
        <f>ROUNDDOWN(AVERAGE(M604,M612,M616,M620,M624,M629,M633),0)</f>
        <v>0</v>
      </c>
      <c r="N638" s="17"/>
      <c r="O638" s="3078"/>
      <c r="P638" s="3079"/>
      <c r="Q638" s="263"/>
      <c r="S638" s="2899"/>
    </row>
    <row r="639" spans="2:19" ht="27.75" customHeight="1" x14ac:dyDescent="0.25">
      <c r="B639" s="259"/>
      <c r="C639" s="262"/>
      <c r="D639" s="467"/>
      <c r="E639" s="467"/>
      <c r="F639" s="467"/>
      <c r="G639" s="467"/>
      <c r="H639" s="467"/>
      <c r="I639" s="469"/>
      <c r="J639" s="662"/>
      <c r="K639" s="662"/>
      <c r="L639" s="662"/>
      <c r="M639" s="662"/>
      <c r="N639" s="662"/>
      <c r="O639" s="662"/>
      <c r="P639" s="662"/>
      <c r="Q639" s="263"/>
      <c r="S639" s="2899"/>
    </row>
    <row r="640" spans="2:19" ht="18" customHeight="1" x14ac:dyDescent="0.25">
      <c r="B640" s="259"/>
      <c r="C640" s="680" t="s">
        <v>1573</v>
      </c>
      <c r="D640" s="467"/>
      <c r="E640" s="467"/>
      <c r="F640" s="467"/>
      <c r="G640" s="166"/>
      <c r="H640" s="2914" t="s">
        <v>1524</v>
      </c>
      <c r="I640" s="2914"/>
      <c r="J640" s="166"/>
      <c r="K640" s="166"/>
      <c r="L640" s="662"/>
      <c r="M640" s="662"/>
      <c r="N640" s="662"/>
      <c r="O640" s="662"/>
      <c r="P640" s="662"/>
      <c r="Q640" s="263"/>
      <c r="S640" s="2899"/>
    </row>
    <row r="641" spans="1:19" ht="21.75" customHeight="1" thickBot="1" x14ac:dyDescent="0.3">
      <c r="B641" s="290"/>
      <c r="C641" s="292"/>
      <c r="D641" s="292"/>
      <c r="E641" s="292"/>
      <c r="F641" s="293"/>
      <c r="G641" s="293"/>
      <c r="H641" s="293"/>
      <c r="I641" s="293"/>
      <c r="J641" s="293"/>
      <c r="K641" s="293"/>
      <c r="L641" s="293"/>
      <c r="M641" s="293"/>
      <c r="N641" s="293"/>
      <c r="O641" s="293"/>
      <c r="P641" s="293"/>
      <c r="Q641" s="294"/>
      <c r="S641" s="2904"/>
    </row>
    <row r="642" spans="1:19" ht="14.25" customHeight="1" thickBot="1" x14ac:dyDescent="0.3">
      <c r="B642" s="503"/>
      <c r="C642" s="503"/>
      <c r="D642" s="503"/>
      <c r="E642" s="503"/>
      <c r="F642" s="504"/>
      <c r="G642" s="504"/>
      <c r="H642" s="504"/>
      <c r="I642" s="504"/>
      <c r="J642" s="504"/>
      <c r="K642" s="504"/>
      <c r="L642" s="504"/>
      <c r="M642" s="504"/>
      <c r="N642" s="504"/>
      <c r="O642" s="504"/>
      <c r="P642" s="504"/>
      <c r="Q642" s="504"/>
      <c r="S642" s="627"/>
    </row>
    <row r="643" spans="1:19" ht="22.5" customHeight="1" thickBot="1" x14ac:dyDescent="0.3">
      <c r="A643" s="1225"/>
      <c r="B643" s="243" t="s">
        <v>1451</v>
      </c>
      <c r="C643" s="243"/>
      <c r="D643" s="243"/>
      <c r="E643" s="243"/>
      <c r="F643" s="243"/>
      <c r="G643" s="243"/>
      <c r="H643" s="243"/>
      <c r="I643" s="243"/>
      <c r="J643" s="243"/>
      <c r="K643" s="243"/>
      <c r="L643" s="244"/>
      <c r="M643" s="244"/>
      <c r="N643" s="244"/>
      <c r="O643" s="3265" t="s">
        <v>1641</v>
      </c>
      <c r="P643" s="3265"/>
      <c r="Q643" s="3265"/>
      <c r="S643" s="628" t="s">
        <v>1537</v>
      </c>
    </row>
    <row r="644" spans="1:19" ht="9.75" customHeight="1" thickBot="1" x14ac:dyDescent="0.3">
      <c r="S644" s="629"/>
    </row>
    <row r="645" spans="1:19" ht="8.25" customHeight="1" x14ac:dyDescent="0.25">
      <c r="B645" s="247"/>
      <c r="C645" s="248"/>
      <c r="D645" s="248"/>
      <c r="E645" s="249"/>
      <c r="F645" s="250"/>
      <c r="G645" s="250"/>
      <c r="H645" s="250"/>
      <c r="I645" s="250"/>
      <c r="J645" s="250"/>
      <c r="K645" s="250"/>
      <c r="L645" s="250"/>
      <c r="M645" s="250"/>
      <c r="N645" s="250"/>
      <c r="O645" s="250"/>
      <c r="P645" s="250"/>
      <c r="Q645" s="251"/>
      <c r="S645" s="2900"/>
    </row>
    <row r="646" spans="1:19" ht="18" customHeight="1" x14ac:dyDescent="0.25">
      <c r="B646" s="290"/>
      <c r="C646" s="253" t="s">
        <v>1595</v>
      </c>
      <c r="D646" s="253"/>
      <c r="E646" s="292"/>
      <c r="F646" s="293"/>
      <c r="G646" s="293"/>
      <c r="H646" s="293"/>
      <c r="I646" s="293"/>
      <c r="J646" s="293"/>
      <c r="K646" s="293"/>
      <c r="L646" s="293"/>
      <c r="M646" s="293"/>
      <c r="N646" s="255" t="s">
        <v>59</v>
      </c>
      <c r="O646" s="359" t="str">
        <f>IF((COUNTBLANK(B668:B700)=ROWS(B668:B700)),"Complété","À compléter")</f>
        <v>À compléter</v>
      </c>
      <c r="P646" s="293"/>
      <c r="Q646" s="294"/>
      <c r="S646" s="2899"/>
    </row>
    <row r="647" spans="1:19" ht="6.75" customHeight="1" x14ac:dyDescent="0.25">
      <c r="B647" s="290"/>
      <c r="C647" s="292"/>
      <c r="D647" s="292"/>
      <c r="E647" s="292"/>
      <c r="F647" s="293"/>
      <c r="G647" s="293"/>
      <c r="H647" s="293"/>
      <c r="I647" s="293"/>
      <c r="J647" s="293"/>
      <c r="K647" s="293"/>
      <c r="L647" s="293"/>
      <c r="M647" s="293"/>
      <c r="N647" s="293"/>
      <c r="O647" s="293"/>
      <c r="P647" s="293"/>
      <c r="Q647" s="294"/>
      <c r="S647" s="2899"/>
    </row>
    <row r="648" spans="1:19" ht="17.25" customHeight="1" x14ac:dyDescent="0.25">
      <c r="B648" s="257"/>
      <c r="C648" s="3020" t="s">
        <v>1590</v>
      </c>
      <c r="D648" s="3020"/>
      <c r="E648" s="3020"/>
      <c r="F648" s="3020"/>
      <c r="G648" s="3020"/>
      <c r="H648" s="3020"/>
      <c r="I648" s="3020"/>
      <c r="J648" s="3020"/>
      <c r="K648" s="3020"/>
      <c r="L648" s="3020"/>
      <c r="M648" s="3020"/>
      <c r="N648" s="166"/>
      <c r="O648" s="166"/>
      <c r="P648" s="166"/>
      <c r="Q648" s="256"/>
      <c r="S648" s="2899"/>
    </row>
    <row r="649" spans="1:19" ht="15" customHeight="1" x14ac:dyDescent="0.25">
      <c r="B649" s="257"/>
      <c r="C649" s="258"/>
      <c r="D649" s="258"/>
      <c r="E649" s="258"/>
      <c r="F649" s="166"/>
      <c r="G649" s="166"/>
      <c r="H649" s="166"/>
      <c r="I649" s="166"/>
      <c r="J649" s="166"/>
      <c r="K649" s="166"/>
      <c r="L649" s="166"/>
      <c r="M649" s="166"/>
      <c r="N649" s="166"/>
      <c r="O649" s="166"/>
      <c r="P649" s="166"/>
      <c r="Q649" s="256"/>
      <c r="S649" s="2899"/>
    </row>
    <row r="650" spans="1:19" ht="22.5" customHeight="1" x14ac:dyDescent="0.25">
      <c r="B650" s="259"/>
      <c r="C650" s="485" t="s">
        <v>1778</v>
      </c>
      <c r="D650" s="261"/>
      <c r="E650" s="262"/>
      <c r="F650" s="262"/>
      <c r="G650" s="262"/>
      <c r="H650" s="262"/>
      <c r="I650" s="262"/>
      <c r="J650" s="262"/>
      <c r="K650" s="262"/>
      <c r="L650" s="262"/>
      <c r="M650" s="262"/>
      <c r="N650" s="262"/>
      <c r="O650" s="262"/>
      <c r="P650" s="262"/>
      <c r="Q650" s="263"/>
      <c r="S650" s="2899"/>
    </row>
    <row r="651" spans="1:19" ht="9" customHeight="1" x14ac:dyDescent="0.25">
      <c r="B651" s="259"/>
      <c r="C651" s="261"/>
      <c r="D651" s="261"/>
      <c r="E651" s="262"/>
      <c r="F651" s="262"/>
      <c r="G651" s="262"/>
      <c r="H651" s="262"/>
      <c r="I651" s="262"/>
      <c r="J651" s="262"/>
      <c r="K651" s="262"/>
      <c r="L651" s="262"/>
      <c r="M651" s="262"/>
      <c r="N651" s="262"/>
      <c r="O651" s="262"/>
      <c r="P651" s="262"/>
      <c r="Q651" s="263"/>
      <c r="S651" s="2899"/>
    </row>
    <row r="652" spans="1:19" ht="9" customHeight="1" x14ac:dyDescent="0.25">
      <c r="B652" s="259"/>
      <c r="C652" s="264"/>
      <c r="D652" s="265"/>
      <c r="E652" s="266"/>
      <c r="F652" s="266"/>
      <c r="G652" s="266"/>
      <c r="H652" s="266"/>
      <c r="I652" s="266"/>
      <c r="J652" s="266"/>
      <c r="K652" s="266"/>
      <c r="L652" s="266"/>
      <c r="M652" s="266"/>
      <c r="N652" s="266"/>
      <c r="O652" s="266"/>
      <c r="P652" s="267"/>
      <c r="Q652" s="263"/>
      <c r="S652" s="2899"/>
    </row>
    <row r="653" spans="1:19" ht="16.5" customHeight="1" x14ac:dyDescent="0.25">
      <c r="B653" s="259"/>
      <c r="C653" s="3108" t="s">
        <v>1625</v>
      </c>
      <c r="D653" s="3109"/>
      <c r="E653" s="206" t="s">
        <v>16</v>
      </c>
      <c r="F653" s="351" t="s">
        <v>146</v>
      </c>
      <c r="G653" s="352"/>
      <c r="H653" s="353"/>
      <c r="I653" s="353"/>
      <c r="J653" s="353"/>
      <c r="K653" s="353"/>
      <c r="L653" s="353"/>
      <c r="M653" s="353"/>
      <c r="N653" s="353"/>
      <c r="O653" s="353"/>
      <c r="P653" s="272"/>
      <c r="Q653" s="263"/>
      <c r="S653" s="2899"/>
    </row>
    <row r="654" spans="1:19" ht="16.5" customHeight="1" x14ac:dyDescent="0.25">
      <c r="B654" s="259"/>
      <c r="C654" s="3096" t="s">
        <v>1562</v>
      </c>
      <c r="D654" s="3097"/>
      <c r="E654" s="203" t="s">
        <v>15</v>
      </c>
      <c r="F654" s="354" t="s">
        <v>147</v>
      </c>
      <c r="G654" s="355"/>
      <c r="H654" s="356"/>
      <c r="I654" s="356"/>
      <c r="J654" s="356"/>
      <c r="K654" s="356"/>
      <c r="L654" s="356"/>
      <c r="M654" s="356"/>
      <c r="N654" s="356"/>
      <c r="O654" s="356"/>
      <c r="P654" s="272"/>
      <c r="Q654" s="263"/>
      <c r="S654" s="2899"/>
    </row>
    <row r="655" spans="1:19" ht="16.5" customHeight="1" x14ac:dyDescent="0.25">
      <c r="B655" s="259"/>
      <c r="C655" s="308"/>
      <c r="D655" s="309"/>
      <c r="E655" s="199" t="s">
        <v>18</v>
      </c>
      <c r="F655" s="354" t="s">
        <v>148</v>
      </c>
      <c r="G655" s="355"/>
      <c r="H655" s="356"/>
      <c r="I655" s="356"/>
      <c r="J655" s="356"/>
      <c r="K655" s="356"/>
      <c r="L655" s="356"/>
      <c r="M655" s="356"/>
      <c r="N655" s="356"/>
      <c r="O655" s="356"/>
      <c r="P655" s="272"/>
      <c r="Q655" s="263"/>
      <c r="S655" s="2899"/>
    </row>
    <row r="656" spans="1:19" ht="16.5" customHeight="1" x14ac:dyDescent="0.25">
      <c r="B656" s="259"/>
      <c r="C656" s="308"/>
      <c r="D656" s="309"/>
      <c r="E656" s="196" t="s">
        <v>20</v>
      </c>
      <c r="F656" s="354" t="s">
        <v>1586</v>
      </c>
      <c r="G656" s="355"/>
      <c r="H656" s="356"/>
      <c r="I656" s="356"/>
      <c r="J656" s="356"/>
      <c r="K656" s="356"/>
      <c r="L656" s="356"/>
      <c r="M656" s="356"/>
      <c r="N656" s="356"/>
      <c r="O656" s="356"/>
      <c r="P656" s="272"/>
      <c r="Q656" s="263"/>
      <c r="S656" s="2899"/>
    </row>
    <row r="657" spans="2:19" ht="16.5" customHeight="1" x14ac:dyDescent="0.25">
      <c r="B657" s="259"/>
      <c r="C657" s="308"/>
      <c r="D657" s="309"/>
      <c r="E657" s="194" t="s">
        <v>22</v>
      </c>
      <c r="F657" s="354" t="s">
        <v>149</v>
      </c>
      <c r="G657" s="355"/>
      <c r="H657" s="356"/>
      <c r="I657" s="356"/>
      <c r="J657" s="356"/>
      <c r="K657" s="356"/>
      <c r="L657" s="356"/>
      <c r="M657" s="356"/>
      <c r="N657" s="356"/>
      <c r="O657" s="356"/>
      <c r="P657" s="272"/>
      <c r="Q657" s="263"/>
      <c r="S657" s="2899"/>
    </row>
    <row r="658" spans="2:19" ht="9.75" customHeight="1" x14ac:dyDescent="0.25">
      <c r="B658" s="259"/>
      <c r="C658" s="310"/>
      <c r="D658" s="311"/>
      <c r="E658" s="277"/>
      <c r="F658" s="345"/>
      <c r="G658" s="346"/>
      <c r="H658" s="277"/>
      <c r="I658" s="312"/>
      <c r="J658" s="312"/>
      <c r="K658" s="312"/>
      <c r="L658" s="312"/>
      <c r="M658" s="312"/>
      <c r="N658" s="312"/>
      <c r="O658" s="312"/>
      <c r="P658" s="313"/>
      <c r="Q658" s="263"/>
      <c r="S658" s="2899"/>
    </row>
    <row r="659" spans="2:19" ht="18" customHeight="1" x14ac:dyDescent="0.25">
      <c r="B659" s="259"/>
      <c r="C659" s="261"/>
      <c r="D659" s="261"/>
      <c r="E659" s="262"/>
      <c r="F659" s="262"/>
      <c r="G659" s="262"/>
      <c r="H659" s="262"/>
      <c r="I659" s="262"/>
      <c r="J659" s="262"/>
      <c r="K659" s="262"/>
      <c r="L659" s="262"/>
      <c r="M659" s="262"/>
      <c r="N659" s="262"/>
      <c r="O659" s="262"/>
      <c r="P659" s="262"/>
      <c r="Q659" s="263"/>
      <c r="S659" s="2899"/>
    </row>
    <row r="660" spans="2:19" ht="16.5" customHeight="1" x14ac:dyDescent="0.25">
      <c r="B660" s="259"/>
      <c r="C660" s="485" t="s">
        <v>1632</v>
      </c>
      <c r="D660" s="261"/>
      <c r="E660" s="262"/>
      <c r="F660" s="262"/>
      <c r="G660" s="262"/>
      <c r="H660" s="262"/>
      <c r="I660" s="262"/>
      <c r="J660" s="262"/>
      <c r="K660" s="262"/>
      <c r="L660" s="262"/>
      <c r="M660" s="262"/>
      <c r="N660" s="262"/>
      <c r="O660" s="262"/>
      <c r="P660" s="262"/>
      <c r="Q660" s="263"/>
      <c r="S660" s="2899"/>
    </row>
    <row r="661" spans="2:19" ht="4.5" customHeight="1" x14ac:dyDescent="0.25">
      <c r="B661" s="259"/>
      <c r="C661" s="485"/>
      <c r="D661" s="261"/>
      <c r="E661" s="262"/>
      <c r="F661" s="262"/>
      <c r="G661" s="262"/>
      <c r="H661" s="262"/>
      <c r="I661" s="262"/>
      <c r="J661" s="262"/>
      <c r="K661" s="262"/>
      <c r="L661" s="262"/>
      <c r="M661" s="262"/>
      <c r="N661" s="262"/>
      <c r="O661" s="262"/>
      <c r="P661" s="262"/>
      <c r="Q661" s="263"/>
      <c r="S661" s="2899"/>
    </row>
    <row r="662" spans="2:19" ht="16.5" customHeight="1" x14ac:dyDescent="0.25">
      <c r="B662" s="259"/>
      <c r="C662" s="485" t="s">
        <v>1622</v>
      </c>
      <c r="D662" s="261"/>
      <c r="E662" s="262"/>
      <c r="F662" s="262"/>
      <c r="G662" s="262"/>
      <c r="H662" s="262"/>
      <c r="I662" s="262"/>
      <c r="J662" s="262"/>
      <c r="K662" s="262"/>
      <c r="L662" s="166"/>
      <c r="M662" s="262"/>
      <c r="N662" s="166"/>
      <c r="O662" s="262"/>
      <c r="P662" s="262"/>
      <c r="Q662" s="263"/>
      <c r="S662" s="2899"/>
    </row>
    <row r="663" spans="2:19" ht="19.5" customHeight="1" x14ac:dyDescent="0.25">
      <c r="B663" s="259"/>
      <c r="C663" s="347" t="s">
        <v>1623</v>
      </c>
      <c r="D663" s="261"/>
      <c r="E663" s="262"/>
      <c r="F663" s="262"/>
      <c r="G663" s="262"/>
      <c r="H663" s="262"/>
      <c r="I663" s="262"/>
      <c r="J663" s="262"/>
      <c r="K663" s="262"/>
      <c r="L663" s="262"/>
      <c r="M663" s="262"/>
      <c r="N663" s="262"/>
      <c r="O663" s="262"/>
      <c r="P663" s="262"/>
      <c r="Q663" s="263"/>
      <c r="S663" s="2899"/>
    </row>
    <row r="664" spans="2:19" ht="24" customHeight="1" x14ac:dyDescent="0.25">
      <c r="B664" s="259"/>
      <c r="C664" s="626" t="s">
        <v>1624</v>
      </c>
      <c r="D664" s="261"/>
      <c r="E664" s="262"/>
      <c r="F664" s="262"/>
      <c r="G664" s="262"/>
      <c r="H664" s="262"/>
      <c r="I664" s="262"/>
      <c r="J664" s="262"/>
      <c r="K664" s="262"/>
      <c r="L664" s="262"/>
      <c r="M664" s="262"/>
      <c r="N664" s="262"/>
      <c r="O664" s="262"/>
      <c r="P664" s="262"/>
      <c r="Q664" s="263"/>
      <c r="S664" s="2899"/>
    </row>
    <row r="665" spans="2:19" ht="17.25" customHeight="1" x14ac:dyDescent="0.25">
      <c r="B665" s="259"/>
      <c r="C665" s="261"/>
      <c r="D665" s="261"/>
      <c r="E665" s="262"/>
      <c r="F665" s="262"/>
      <c r="G665" s="262"/>
      <c r="H665" s="262"/>
      <c r="I665" s="262"/>
      <c r="J665" s="262"/>
      <c r="K665" s="262"/>
      <c r="L665" s="262"/>
      <c r="M665" s="262"/>
      <c r="N665" s="262"/>
      <c r="O665" s="262"/>
      <c r="P665" s="262"/>
      <c r="Q665" s="263"/>
      <c r="S665" s="2899"/>
    </row>
    <row r="666" spans="2:19" ht="22.5" customHeight="1" x14ac:dyDescent="0.25">
      <c r="B666" s="259"/>
      <c r="C666" s="166"/>
      <c r="D666" s="166"/>
      <c r="E666" s="166"/>
      <c r="F666" s="3080" t="s">
        <v>84</v>
      </c>
      <c r="G666" s="3081"/>
      <c r="H666" s="3081"/>
      <c r="I666" s="3081"/>
      <c r="J666" s="3081"/>
      <c r="K666" s="3080" t="s">
        <v>85</v>
      </c>
      <c r="L666" s="3081"/>
      <c r="M666" s="3081"/>
      <c r="N666" s="3081"/>
      <c r="O666" s="3081"/>
      <c r="P666" s="317"/>
      <c r="Q666" s="263"/>
      <c r="S666" s="2899"/>
    </row>
    <row r="667" spans="2:19" ht="3" customHeight="1" x14ac:dyDescent="0.25">
      <c r="B667" s="259"/>
      <c r="C667" s="262"/>
      <c r="D667" s="262"/>
      <c r="E667" s="262"/>
      <c r="F667" s="262"/>
      <c r="G667" s="262"/>
      <c r="H667" s="262"/>
      <c r="I667" s="262"/>
      <c r="J667" s="262"/>
      <c r="K667" s="262"/>
      <c r="L667" s="262"/>
      <c r="M667" s="262"/>
      <c r="N667" s="262"/>
      <c r="O667" s="262"/>
      <c r="P667" s="262"/>
      <c r="Q667" s="263"/>
      <c r="S667" s="2899"/>
    </row>
    <row r="668" spans="2:19" ht="23.25" customHeight="1" x14ac:dyDescent="0.25">
      <c r="B668" s="259"/>
      <c r="C668" s="3102" t="s">
        <v>90</v>
      </c>
      <c r="D668" s="3103"/>
      <c r="E668" s="3104"/>
      <c r="F668" s="3075" t="s">
        <v>1872</v>
      </c>
      <c r="G668" s="3076"/>
      <c r="H668" s="3077" t="s">
        <v>151</v>
      </c>
      <c r="I668" s="3077"/>
      <c r="J668" s="3077"/>
      <c r="K668" s="3075" t="s">
        <v>1872</v>
      </c>
      <c r="L668" s="3076"/>
      <c r="M668" s="3077" t="s">
        <v>151</v>
      </c>
      <c r="N668" s="3077"/>
      <c r="O668" s="3077"/>
      <c r="P668" s="348"/>
      <c r="Q668" s="263"/>
      <c r="S668" s="2899"/>
    </row>
    <row r="669" spans="2:19" ht="29.25" customHeight="1" x14ac:dyDescent="0.25">
      <c r="B669" s="259"/>
      <c r="C669" s="3105"/>
      <c r="D669" s="3106"/>
      <c r="E669" s="3107"/>
      <c r="F669" s="479" t="s">
        <v>300</v>
      </c>
      <c r="G669" s="349" t="s">
        <v>122</v>
      </c>
      <c r="H669" s="471" t="s">
        <v>299</v>
      </c>
      <c r="I669" s="3066" t="s">
        <v>301</v>
      </c>
      <c r="J669" s="3067"/>
      <c r="K669" s="479" t="s">
        <v>300</v>
      </c>
      <c r="L669" s="349" t="s">
        <v>122</v>
      </c>
      <c r="M669" s="471" t="s">
        <v>299</v>
      </c>
      <c r="N669" s="3066" t="s">
        <v>301</v>
      </c>
      <c r="O669" s="3110"/>
      <c r="P669" s="3067"/>
      <c r="Q669" s="263"/>
      <c r="S669" s="2899"/>
    </row>
    <row r="670" spans="2:19" ht="21.75" customHeight="1" x14ac:dyDescent="0.25">
      <c r="B670" s="1278"/>
      <c r="C670" s="693" t="s">
        <v>91</v>
      </c>
      <c r="D670" s="598"/>
      <c r="E670" s="8" t="s">
        <v>1558</v>
      </c>
      <c r="F670" s="12" t="str">
        <f>IF(H670=1,"1- Débutant",IF(H670=2,"2- Élémentaire",IF(H670=3,"3- Intermédiaire",IF(H670=4,"4- Avancé",IF(H670=5,"5- Expert","")))))</f>
        <v/>
      </c>
      <c r="G670" s="13" t="str">
        <f>IF(OR(SUM(G671:G672)=0,H670=0),"",((SUM(G671:G672)/(2-I670)*2)*2))</f>
        <v/>
      </c>
      <c r="H670" s="536">
        <f>IF(I670=2,0,IF(I670=0,ROUNDDOWN(AVERAGE(G671:G672),0),ROUNDDOWN((SUM(G671:G672)/(2-I670)),0)))</f>
        <v>0</v>
      </c>
      <c r="I670" s="731">
        <f>COUNTIF(F671:F672,"Ne s'applique pas")</f>
        <v>0</v>
      </c>
      <c r="J670" s="18"/>
      <c r="K670" s="12" t="str">
        <f>IF(M670=1,"1- Débutant",IF(M670=2,"2- Élémentaire",IF(M670=3,"3- Intermédiaire",IF(M670=4,"4- Avancé",IF(M670=5,"5- Expert","")))))</f>
        <v/>
      </c>
      <c r="L670" s="13" t="str">
        <f>IF(OR(SUM(L671:L672)=0,M670=0),"",((SUM(L671:L672)/(2-N670)*2)*2))</f>
        <v/>
      </c>
      <c r="M670" s="536">
        <f>IF(N670=2,0,IF(N670=0,ROUNDDOWN(AVERAGE(L671:L672),0),ROUNDDOWN((SUM(L671:L672)/(2-N670)),0)))</f>
        <v>0</v>
      </c>
      <c r="N670" s="731">
        <f>COUNTIF(K671:K672,"Ne s'applique pas")</f>
        <v>0</v>
      </c>
      <c r="O670" s="3073"/>
      <c r="P670" s="3074"/>
      <c r="Q670" s="263"/>
      <c r="S670" s="2899"/>
    </row>
    <row r="671" spans="2:19" ht="18" customHeight="1" x14ac:dyDescent="0.25">
      <c r="B671" s="494" t="str">
        <f>IF(OR(ISBLANK(F671),ISBLANK(K671))=FALSE,"","u")</f>
        <v>u</v>
      </c>
      <c r="C671" s="3063" t="s">
        <v>110</v>
      </c>
      <c r="D671" s="3064"/>
      <c r="E671" s="3065"/>
      <c r="F671" s="688"/>
      <c r="G671" s="14">
        <f>IF(F671=$E$653,1,IF(F671=$E$654,2,IF(F671=$E$655,3,IF(F671=$E$656,4,IF(F671=$E$657,5,0)))))</f>
        <v>0</v>
      </c>
      <c r="H671" s="687"/>
      <c r="I671" s="3051"/>
      <c r="J671" s="3052"/>
      <c r="K671" s="688"/>
      <c r="L671" s="14">
        <f>IF(K671=$E$653,1,IF(K671=$E$654,2,IF(K671=$E$655,3,IF(K671=$E$656,4,IF(K671=$E$657,5,0)))))</f>
        <v>0</v>
      </c>
      <c r="M671" s="687"/>
      <c r="N671" s="3051"/>
      <c r="O671" s="3070"/>
      <c r="P671" s="3052"/>
      <c r="Q671" s="263"/>
      <c r="S671" s="2899"/>
    </row>
    <row r="672" spans="2:19" ht="18" customHeight="1" x14ac:dyDescent="0.25">
      <c r="B672" s="494" t="str">
        <f>IF(OR(ISBLANK(F672),ISBLANK(K672))=FALSE,"","u")</f>
        <v>u</v>
      </c>
      <c r="C672" s="3063" t="s">
        <v>111</v>
      </c>
      <c r="D672" s="3064"/>
      <c r="E672" s="3065"/>
      <c r="F672" s="688"/>
      <c r="G672" s="530">
        <f>IF(F672=$E$653,1,IF(F672=$E$654,2,IF(F672=$E$655,3,IF(F672=$E$656,4,IF(F672=$E$657,5,0)))))</f>
        <v>0</v>
      </c>
      <c r="H672" s="687"/>
      <c r="I672" s="3051"/>
      <c r="J672" s="3052"/>
      <c r="K672" s="688"/>
      <c r="L672" s="530">
        <f>IF(K672=$E$653,1,IF(K672=$E$654,2,IF(K672=$E$655,3,IF(K672=$E$656,4,IF(K672=$E$657,5,0)))))</f>
        <v>0</v>
      </c>
      <c r="M672" s="687"/>
      <c r="N672" s="3051"/>
      <c r="O672" s="3070"/>
      <c r="P672" s="3052"/>
      <c r="Q672" s="263"/>
      <c r="S672" s="2899"/>
    </row>
    <row r="673" spans="2:19" ht="35.25" customHeight="1" x14ac:dyDescent="0.25">
      <c r="B673" s="494"/>
      <c r="C673" s="3082" t="s">
        <v>1873</v>
      </c>
      <c r="D673" s="3083"/>
      <c r="E673" s="3084"/>
      <c r="F673" s="3053"/>
      <c r="G673" s="3054"/>
      <c r="H673" s="3054"/>
      <c r="I673" s="3054"/>
      <c r="J673" s="3054"/>
      <c r="K673" s="3053"/>
      <c r="L673" s="3054"/>
      <c r="M673" s="3054"/>
      <c r="N673" s="3054"/>
      <c r="O673" s="3054"/>
      <c r="P673" s="3055"/>
      <c r="Q673" s="263"/>
      <c r="S673" s="2899"/>
    </row>
    <row r="674" spans="2:19" ht="21.75" customHeight="1" x14ac:dyDescent="0.25">
      <c r="B674" s="1278"/>
      <c r="C674" s="693" t="s">
        <v>98</v>
      </c>
      <c r="D674" s="334"/>
      <c r="E674" s="8" t="s">
        <v>1558</v>
      </c>
      <c r="F674" s="12" t="str">
        <f>IF(H674=1,"1- Débutant",IF(H674=2,"2- Élémentaire",IF(H674=3,"3- Intermédiaire",IF(H674=4,"4- Avancé",IF(H674=5,"5- Expert","")))))</f>
        <v/>
      </c>
      <c r="G674" s="13" t="str">
        <f>IF(SUM(G675:G676)=0,"",ROUNDDOWN(AVERAGE(G675:G676)/5*20,))</f>
        <v/>
      </c>
      <c r="H674" s="470">
        <f>ROUNDDOWN(AVERAGE(G675:G676),0)</f>
        <v>0</v>
      </c>
      <c r="I674" s="16"/>
      <c r="J674" s="18"/>
      <c r="K674" s="12" t="str">
        <f>IF(M674=1,"1- Débutant",IF(M674=2,"2- Élémentaire",IF(M674=3,"3- Intermédiaire",IF(M674=4,"4- Avancé",IF(M674=5,"5- Expert","")))))</f>
        <v/>
      </c>
      <c r="L674" s="13" t="str">
        <f>IF(SUM(L675:L676)=0,"",ROUNDDOWN(AVERAGE(L675:L676)/5*20,))</f>
        <v/>
      </c>
      <c r="M674" s="470">
        <f>ROUNDDOWN(AVERAGE(L675:L676),0)</f>
        <v>0</v>
      </c>
      <c r="N674" s="16"/>
      <c r="O674" s="3073"/>
      <c r="P674" s="3074"/>
      <c r="Q674" s="263"/>
      <c r="S674" s="2899"/>
    </row>
    <row r="675" spans="2:19" ht="18" customHeight="1" x14ac:dyDescent="0.25">
      <c r="B675" s="494" t="str">
        <f>IF(OR(ISBLANK(F675),ISBLANK(K675))=FALSE,"","u")</f>
        <v>u</v>
      </c>
      <c r="C675" s="3063" t="s">
        <v>1779</v>
      </c>
      <c r="D675" s="3064"/>
      <c r="E675" s="3065"/>
      <c r="F675" s="688"/>
      <c r="G675" s="14">
        <f>IF(F675=$E$653,1,IF(F675=$E$654,2,IF(F675=$E$655,3,IF(F675=$E$656,4,IF(F675=$E$657,5,0)))))</f>
        <v>0</v>
      </c>
      <c r="H675" s="687"/>
      <c r="I675" s="3051"/>
      <c r="J675" s="3052"/>
      <c r="K675" s="688"/>
      <c r="L675" s="14">
        <f>IF(K675=$E$653,1,IF(K675=$E$654,2,IF(K675=$E$655,3,IF(K675=$E$656,4,IF(K675=$E$657,5,0)))))</f>
        <v>0</v>
      </c>
      <c r="M675" s="687"/>
      <c r="N675" s="3051"/>
      <c r="O675" s="3070"/>
      <c r="P675" s="3052"/>
      <c r="Q675" s="263"/>
      <c r="S675" s="2899"/>
    </row>
    <row r="676" spans="2:19" ht="18" customHeight="1" x14ac:dyDescent="0.25">
      <c r="B676" s="494" t="str">
        <f>IF(OR(ISBLANK(F676),ISBLANK(K676))=FALSE,"","u")</f>
        <v>u</v>
      </c>
      <c r="C676" s="3063" t="s">
        <v>1780</v>
      </c>
      <c r="D676" s="3064"/>
      <c r="E676" s="3065"/>
      <c r="F676" s="688"/>
      <c r="G676" s="14">
        <f>IF(F676=$E$653,1,IF(F676=$E$654,2,IF(F676=$E$655,3,IF(F676=$E$656,4,IF(F676=$E$657,5,0)))))</f>
        <v>0</v>
      </c>
      <c r="H676" s="687"/>
      <c r="I676" s="3051"/>
      <c r="J676" s="3052"/>
      <c r="K676" s="688"/>
      <c r="L676" s="14">
        <f>IF(K676=$E$653,1,IF(K676=$E$654,2,IF(K676=$E$655,3,IF(K676=$E$656,4,IF(K676=$E$657,5,0)))))</f>
        <v>0</v>
      </c>
      <c r="M676" s="687"/>
      <c r="N676" s="3051"/>
      <c r="O676" s="3070"/>
      <c r="P676" s="3052"/>
      <c r="Q676" s="263"/>
      <c r="S676" s="2899"/>
    </row>
    <row r="677" spans="2:19" ht="35.25" customHeight="1" x14ac:dyDescent="0.25">
      <c r="B677" s="494"/>
      <c r="C677" s="3082" t="s">
        <v>1873</v>
      </c>
      <c r="D677" s="3083"/>
      <c r="E677" s="3084"/>
      <c r="F677" s="3053"/>
      <c r="G677" s="3054"/>
      <c r="H677" s="3054"/>
      <c r="I677" s="3054"/>
      <c r="J677" s="3054"/>
      <c r="K677" s="3053"/>
      <c r="L677" s="3054"/>
      <c r="M677" s="3054"/>
      <c r="N677" s="3054"/>
      <c r="O677" s="3054"/>
      <c r="P677" s="3055"/>
      <c r="Q677" s="263"/>
      <c r="S677" s="2899"/>
    </row>
    <row r="678" spans="2:19" ht="21.75" customHeight="1" x14ac:dyDescent="0.25">
      <c r="B678" s="1278"/>
      <c r="C678" s="693" t="s">
        <v>34</v>
      </c>
      <c r="D678" s="334"/>
      <c r="E678" s="8" t="s">
        <v>136</v>
      </c>
      <c r="F678" s="12" t="str">
        <f>IF(H678=1,"1- Débutant",IF(H678=2,"2- Élémentaire",IF(H678=3,"3- Intermédiaire",IF(H678=4,"4- Avancé",IF(H678=5,"5- Expert","")))))</f>
        <v/>
      </c>
      <c r="G678" s="13" t="str">
        <f>IF(G679=0,"",G679*2)</f>
        <v/>
      </c>
      <c r="H678" s="470">
        <f>ROUNDDOWN(AVERAGE(G679),0)</f>
        <v>0</v>
      </c>
      <c r="I678" s="16"/>
      <c r="J678" s="18"/>
      <c r="K678" s="12" t="str">
        <f>IF(M678=1,"1- Débutant",IF(M678=2,"2- Élémentaire",IF(M678=3,"3- Intermédiaire",IF(M678=4,"4- Avancé",IF(M678=5,"5- Expert","")))))</f>
        <v/>
      </c>
      <c r="L678" s="13" t="str">
        <f>IF(L679=0,"",L679*2)</f>
        <v/>
      </c>
      <c r="M678" s="470">
        <f>ROUNDDOWN(AVERAGE(L679),0)</f>
        <v>0</v>
      </c>
      <c r="N678" s="16"/>
      <c r="O678" s="3073"/>
      <c r="P678" s="3074"/>
      <c r="Q678" s="263"/>
      <c r="S678" s="2899"/>
    </row>
    <row r="679" spans="2:19" ht="18" customHeight="1" x14ac:dyDescent="0.25">
      <c r="B679" s="494" t="str">
        <f>IF(OR(ISBLANK(F679),ISBLANK(K679))=FALSE,"","u")</f>
        <v>u</v>
      </c>
      <c r="C679" s="3063" t="s">
        <v>113</v>
      </c>
      <c r="D679" s="3064"/>
      <c r="E679" s="3065"/>
      <c r="F679" s="688"/>
      <c r="G679" s="530">
        <f>IF(F679=$E$653,1,IF(F679=$E$654,2,IF(F679=$E$655,3,IF(F679=$E$656,4,IF(F679=$E$657,5,0)))))</f>
        <v>0</v>
      </c>
      <c r="H679" s="687"/>
      <c r="I679" s="3051"/>
      <c r="J679" s="3052"/>
      <c r="K679" s="688"/>
      <c r="L679" s="530">
        <f>IF(K679=$E$653,1,IF(K679=$E$654,2,IF(K679=$E$655,3,IF(K679=$E$656,4,IF(K679=$E$657,5,0)))))</f>
        <v>0</v>
      </c>
      <c r="M679" s="687"/>
      <c r="N679" s="3051"/>
      <c r="O679" s="3070"/>
      <c r="P679" s="3052"/>
      <c r="Q679" s="263"/>
      <c r="S679" s="2899"/>
    </row>
    <row r="680" spans="2:19" ht="35.25" customHeight="1" x14ac:dyDescent="0.25">
      <c r="B680" s="494"/>
      <c r="C680" s="3082" t="s">
        <v>1873</v>
      </c>
      <c r="D680" s="3083"/>
      <c r="E680" s="3084"/>
      <c r="F680" s="3053"/>
      <c r="G680" s="3054"/>
      <c r="H680" s="3054"/>
      <c r="I680" s="3054"/>
      <c r="J680" s="3054"/>
      <c r="K680" s="3053"/>
      <c r="L680" s="3054"/>
      <c r="M680" s="3054"/>
      <c r="N680" s="3054"/>
      <c r="O680" s="3054"/>
      <c r="P680" s="3055"/>
      <c r="Q680" s="263"/>
      <c r="S680" s="2899"/>
    </row>
    <row r="681" spans="2:19" ht="21.75" customHeight="1" x14ac:dyDescent="0.25">
      <c r="B681" s="1278"/>
      <c r="C681" s="693" t="s">
        <v>99</v>
      </c>
      <c r="D681" s="334"/>
      <c r="E681" s="8" t="s">
        <v>136</v>
      </c>
      <c r="F681" s="12" t="str">
        <f>IF(H681=1,"1- Débutant",IF(H681=2,"2- Élémentaire",IF(H681=3,"3- Intermédiaire",IF(H681=4,"4- Avancé",IF(H681=5,"5- Expert","")))))</f>
        <v/>
      </c>
      <c r="G681" s="13" t="str">
        <f>IF(G682=0,"",G682*2)</f>
        <v/>
      </c>
      <c r="H681" s="470">
        <f>ROUNDDOWN(AVERAGE(G682),0)</f>
        <v>0</v>
      </c>
      <c r="I681" s="16"/>
      <c r="J681" s="18"/>
      <c r="K681" s="12" t="str">
        <f>IF(M681=1,"1- Débutant",IF(M681=2,"2- Élémentaire",IF(M681=3,"3- Intermédiaire",IF(M681=4,"4- Avancé",IF(M681=5,"5- Expert","")))))</f>
        <v/>
      </c>
      <c r="L681" s="13" t="str">
        <f>IF(L682=0,"",L682*2)</f>
        <v/>
      </c>
      <c r="M681" s="470">
        <f>ROUNDDOWN(AVERAGE(L682),0)</f>
        <v>0</v>
      </c>
      <c r="N681" s="16"/>
      <c r="O681" s="3073"/>
      <c r="P681" s="3074"/>
      <c r="Q681" s="263"/>
      <c r="S681" s="2899"/>
    </row>
    <row r="682" spans="2:19" ht="18" customHeight="1" x14ac:dyDescent="0.25">
      <c r="B682" s="494" t="str">
        <f>IF(OR(ISBLANK(F682),ISBLANK(K682))=FALSE,"","u")</f>
        <v>u</v>
      </c>
      <c r="C682" s="3063" t="s">
        <v>112</v>
      </c>
      <c r="D682" s="3064"/>
      <c r="E682" s="3065"/>
      <c r="F682" s="688"/>
      <c r="G682" s="530">
        <f>IF(F682=$E$653,1,IF(F682=$E$654,2,IF(F682=$E$655,3,IF(F682=$E$656,4,IF(F682=$E$657,5,0)))))</f>
        <v>0</v>
      </c>
      <c r="H682" s="687"/>
      <c r="I682" s="3051"/>
      <c r="J682" s="3052"/>
      <c r="K682" s="688"/>
      <c r="L682" s="530">
        <f>IF(K682=$E$653,1,IF(K682=$E$654,2,IF(K682=$E$655,3,IF(K682=$E$656,4,IF(K682=$E$657,5,0)))))</f>
        <v>0</v>
      </c>
      <c r="M682" s="687"/>
      <c r="N682" s="3051"/>
      <c r="O682" s="3070"/>
      <c r="P682" s="3052"/>
      <c r="Q682" s="263"/>
      <c r="S682" s="2899"/>
    </row>
    <row r="683" spans="2:19" ht="35.25" customHeight="1" x14ac:dyDescent="0.25">
      <c r="B683" s="494"/>
      <c r="C683" s="3082" t="s">
        <v>1873</v>
      </c>
      <c r="D683" s="3083"/>
      <c r="E683" s="3084"/>
      <c r="F683" s="3053"/>
      <c r="G683" s="3054"/>
      <c r="H683" s="3054"/>
      <c r="I683" s="3054"/>
      <c r="J683" s="3054"/>
      <c r="K683" s="3053"/>
      <c r="L683" s="3054"/>
      <c r="M683" s="3054"/>
      <c r="N683" s="3054"/>
      <c r="O683" s="3054"/>
      <c r="P683" s="3055"/>
      <c r="Q683" s="263"/>
      <c r="S683" s="2899"/>
    </row>
    <row r="684" spans="2:19" ht="21.75" customHeight="1" x14ac:dyDescent="0.25">
      <c r="B684" s="1278"/>
      <c r="C684" s="693" t="s">
        <v>100</v>
      </c>
      <c r="D684" s="695"/>
      <c r="E684" s="8" t="s">
        <v>136</v>
      </c>
      <c r="F684" s="12" t="str">
        <f>IF(H684=1,"1- Débutant",IF(H684=2,"2- Élémentaire",IF(H684=3,"3- Intermédiaire",IF(H684=4,"4- Avancé",IF(H684=5,"5- Expert","")))))</f>
        <v/>
      </c>
      <c r="G684" s="13" t="str">
        <f>IF(SUM(G685:G686)=0,"",SUM(G685:G686))</f>
        <v/>
      </c>
      <c r="H684" s="470">
        <f>ROUNDDOWN(AVERAGE(G685:G686),0)</f>
        <v>0</v>
      </c>
      <c r="I684" s="16"/>
      <c r="J684" s="18"/>
      <c r="K684" s="12" t="str">
        <f>IF(M684=1,"1- Débutant",IF(M684=2,"2- Élémentaire",IF(M684=3,"3- Intermédiaire",IF(M684=4,"4- Avancé",IF(M684=5,"5- Expert","")))))</f>
        <v/>
      </c>
      <c r="L684" s="13" t="str">
        <f>IF(SUM(L685:L686)=0,"",SUM(L685:L686))</f>
        <v/>
      </c>
      <c r="M684" s="470">
        <f>ROUNDDOWN(AVERAGE(L685:L686),0)</f>
        <v>0</v>
      </c>
      <c r="N684" s="16"/>
      <c r="O684" s="3073"/>
      <c r="P684" s="3074"/>
      <c r="Q684" s="263"/>
      <c r="S684" s="2899"/>
    </row>
    <row r="685" spans="2:19" ht="18" customHeight="1" x14ac:dyDescent="0.25">
      <c r="B685" s="494" t="str">
        <f>IF(OR(ISBLANK(F685),ISBLANK(K685))=FALSE,"","u")</f>
        <v>u</v>
      </c>
      <c r="C685" s="3063" t="s">
        <v>114</v>
      </c>
      <c r="D685" s="3064"/>
      <c r="E685" s="3065"/>
      <c r="F685" s="688"/>
      <c r="G685" s="14">
        <f>IF(F685=$E$653,1,IF(F685=$E$654,2,IF(F685=$E$655,3,IF(F685=$E$656,4,IF(F685=$E$657,5,0)))))</f>
        <v>0</v>
      </c>
      <c r="H685" s="687"/>
      <c r="I685" s="3051"/>
      <c r="J685" s="3052"/>
      <c r="K685" s="688"/>
      <c r="L685" s="14">
        <f>IF(K685=$E$653,1,IF(K685=$E$654,2,IF(K685=$E$655,3,IF(K685=$E$656,4,IF(K685=$E$657,5,0)))))</f>
        <v>0</v>
      </c>
      <c r="M685" s="687"/>
      <c r="N685" s="3051"/>
      <c r="O685" s="3070"/>
      <c r="P685" s="3052"/>
      <c r="Q685" s="263"/>
      <c r="S685" s="2899"/>
    </row>
    <row r="686" spans="2:19" ht="18" customHeight="1" x14ac:dyDescent="0.25">
      <c r="B686" s="494" t="str">
        <f>IF(OR(ISBLANK(F686),ISBLANK(K686))=FALSE,"","u")</f>
        <v>u</v>
      </c>
      <c r="C686" s="3063" t="s">
        <v>115</v>
      </c>
      <c r="D686" s="3064"/>
      <c r="E686" s="3065"/>
      <c r="F686" s="688"/>
      <c r="G686" s="530">
        <f>IF(F686=$E$653,1,IF(F686=$E$654,2,IF(F686=$E$655,3,IF(F686=$E$656,4,IF(F686=$E$657,5,0)))))</f>
        <v>0</v>
      </c>
      <c r="H686" s="687"/>
      <c r="I686" s="3051"/>
      <c r="J686" s="3052"/>
      <c r="K686" s="688"/>
      <c r="L686" s="530">
        <f>IF(K686=$E$653,1,IF(K686=$E$654,2,IF(K686=$E$655,3,IF(K686=$E$656,4,IF(K686=$E$657,5,0)))))</f>
        <v>0</v>
      </c>
      <c r="M686" s="687"/>
      <c r="N686" s="3051"/>
      <c r="O686" s="3070"/>
      <c r="P686" s="3052"/>
      <c r="Q686" s="263"/>
      <c r="S686" s="2899"/>
    </row>
    <row r="687" spans="2:19" ht="35.25" customHeight="1" x14ac:dyDescent="0.25">
      <c r="B687" s="494"/>
      <c r="C687" s="3082" t="s">
        <v>1873</v>
      </c>
      <c r="D687" s="3083"/>
      <c r="E687" s="3084"/>
      <c r="F687" s="3053"/>
      <c r="G687" s="3054"/>
      <c r="H687" s="3054"/>
      <c r="I687" s="3054"/>
      <c r="J687" s="3054"/>
      <c r="K687" s="3053"/>
      <c r="L687" s="3054"/>
      <c r="M687" s="3054"/>
      <c r="N687" s="3054"/>
      <c r="O687" s="3054"/>
      <c r="P687" s="3055"/>
      <c r="Q687" s="263"/>
      <c r="S687" s="2899"/>
    </row>
    <row r="688" spans="2:19" ht="21.75" customHeight="1" x14ac:dyDescent="0.25">
      <c r="B688" s="1278"/>
      <c r="C688" s="693" t="s">
        <v>104</v>
      </c>
      <c r="D688" s="695"/>
      <c r="E688" s="8" t="s">
        <v>136</v>
      </c>
      <c r="F688" s="12" t="str">
        <f>IF(H688=1,"1- Débutant",IF(H688=2,"2- Élémentaire",IF(H688=3,"3- Intermédiaire",IF(H688=4,"4- Avancé",IF(H688=5,"5- Expert","")))))</f>
        <v/>
      </c>
      <c r="G688" s="13" t="str">
        <f>IF(SUM(G689:G690)=0,"",SUM(G689:G690))</f>
        <v/>
      </c>
      <c r="H688" s="470">
        <f>ROUNDDOWN(AVERAGE(G689:G690),0)</f>
        <v>0</v>
      </c>
      <c r="I688" s="16"/>
      <c r="J688" s="18"/>
      <c r="K688" s="12" t="str">
        <f>IF(M688=1,"1- Débutant",IF(M688=2,"2- Élémentaire",IF(M688=3,"3- Intermédiaire",IF(M688=4,"4- Avancé",IF(M688=5,"5- Expert","")))))</f>
        <v/>
      </c>
      <c r="L688" s="13" t="str">
        <f>IF(SUM(L689:L690)=0,"",SUM(L689:L690))</f>
        <v/>
      </c>
      <c r="M688" s="470">
        <f>ROUNDDOWN(AVERAGE(L689:L690),0)</f>
        <v>0</v>
      </c>
      <c r="N688" s="16"/>
      <c r="O688" s="3073"/>
      <c r="P688" s="3074"/>
      <c r="Q688" s="263"/>
      <c r="S688" s="2899"/>
    </row>
    <row r="689" spans="2:19" ht="18" customHeight="1" x14ac:dyDescent="0.25">
      <c r="B689" s="494" t="str">
        <f>IF(OR(ISBLANK(F689),ISBLANK(K689))=FALSE,"","u")</f>
        <v>u</v>
      </c>
      <c r="C689" s="3063" t="s">
        <v>116</v>
      </c>
      <c r="D689" s="3064"/>
      <c r="E689" s="3065"/>
      <c r="F689" s="688"/>
      <c r="G689" s="14">
        <f>IF(F689=$E$653,1,IF(F689=$E$654,2,IF(F689=$E$655,3,IF(F689=$E$656,4,IF(F689=$E$657,5,0)))))</f>
        <v>0</v>
      </c>
      <c r="H689" s="687"/>
      <c r="I689" s="3051"/>
      <c r="J689" s="3052"/>
      <c r="K689" s="688"/>
      <c r="L689" s="14">
        <f>IF(K689=$E$653,1,IF(K689=$E$654,2,IF(K689=$E$655,3,IF(K689=$E$656,4,IF(K689=$E$657,5,0)))))</f>
        <v>0</v>
      </c>
      <c r="M689" s="687"/>
      <c r="N689" s="3051"/>
      <c r="O689" s="3070"/>
      <c r="P689" s="3052"/>
      <c r="Q689" s="263"/>
      <c r="S689" s="2899"/>
    </row>
    <row r="690" spans="2:19" ht="18" customHeight="1" x14ac:dyDescent="0.25">
      <c r="B690" s="494" t="str">
        <f>IF(OR(ISBLANK(F690),ISBLANK(K690))=FALSE,"","u")</f>
        <v>u</v>
      </c>
      <c r="C690" s="3063" t="s">
        <v>117</v>
      </c>
      <c r="D690" s="3064"/>
      <c r="E690" s="3065"/>
      <c r="F690" s="688"/>
      <c r="G690" s="530">
        <f>IF(F690=$E$653,1,IF(F690=$E$654,2,IF(F690=$E$655,3,IF(F690=$E$656,4,IF(F690=$E$657,5,0)))))</f>
        <v>0</v>
      </c>
      <c r="H690" s="687"/>
      <c r="I690" s="3051"/>
      <c r="J690" s="3052"/>
      <c r="K690" s="688"/>
      <c r="L690" s="530">
        <f>IF(K690=$E$653,1,IF(K690=$E$654,2,IF(K690=$E$655,3,IF(K690=$E$656,4,IF(K690=$E$657,5,0)))))</f>
        <v>0</v>
      </c>
      <c r="M690" s="687"/>
      <c r="N690" s="3051"/>
      <c r="O690" s="3070"/>
      <c r="P690" s="3052"/>
      <c r="Q690" s="263"/>
      <c r="S690" s="2899"/>
    </row>
    <row r="691" spans="2:19" ht="35.25" customHeight="1" x14ac:dyDescent="0.25">
      <c r="B691" s="494"/>
      <c r="C691" s="3082" t="s">
        <v>1873</v>
      </c>
      <c r="D691" s="3083"/>
      <c r="E691" s="3084"/>
      <c r="F691" s="3053"/>
      <c r="G691" s="3054"/>
      <c r="H691" s="3054"/>
      <c r="I691" s="3054"/>
      <c r="J691" s="3054"/>
      <c r="K691" s="3053"/>
      <c r="L691" s="3054"/>
      <c r="M691" s="3054"/>
      <c r="N691" s="3054"/>
      <c r="O691" s="3054"/>
      <c r="P691" s="3055"/>
      <c r="Q691" s="263"/>
      <c r="S691" s="2899"/>
    </row>
    <row r="692" spans="2:19" ht="21.75" customHeight="1" x14ac:dyDescent="0.25">
      <c r="B692" s="1278"/>
      <c r="C692" s="694" t="s">
        <v>106</v>
      </c>
      <c r="D692" s="334"/>
      <c r="E692" s="8" t="s">
        <v>138</v>
      </c>
      <c r="F692" s="12" t="str">
        <f>IF(H692=1,"1- Débutant",IF(H692=2,"2- Élémentaire",IF(H692=3,"3- Intermédiaire",IF(H692=4,"4- Avancé",IF(H692=5,"5- Expert","")))))</f>
        <v/>
      </c>
      <c r="G692" s="13" t="str">
        <f>IF(SUM(G693:G695)=0,"",SUM(G693:G695))</f>
        <v/>
      </c>
      <c r="H692" s="470">
        <f>ROUNDDOWN(AVERAGE(G693:G695),0)</f>
        <v>0</v>
      </c>
      <c r="I692" s="16"/>
      <c r="J692" s="18"/>
      <c r="K692" s="12" t="str">
        <f>IF(M692=1,"1- Débutant",IF(M692=2,"2- Élémentaire",IF(M692=3,"3- Intermédiaire",IF(M692=4,"4- Avancé",IF(M692=5,"5- Expert","")))))</f>
        <v/>
      </c>
      <c r="L692" s="13" t="str">
        <f>IF(SUM(L693:L695)=0,"",SUM(L693:L695))</f>
        <v/>
      </c>
      <c r="M692" s="470">
        <f>ROUNDDOWN(AVERAGE(L693:L695),0)</f>
        <v>0</v>
      </c>
      <c r="N692" s="16"/>
      <c r="O692" s="3073"/>
      <c r="P692" s="3074"/>
      <c r="Q692" s="263"/>
      <c r="S692" s="2899"/>
    </row>
    <row r="693" spans="2:19" ht="18" customHeight="1" x14ac:dyDescent="0.25">
      <c r="B693" s="494" t="str">
        <f>IF(OR(ISBLANK(F693),ISBLANK(K693))=FALSE,"","u")</f>
        <v>u</v>
      </c>
      <c r="C693" s="3063" t="s">
        <v>118</v>
      </c>
      <c r="D693" s="3064"/>
      <c r="E693" s="3065"/>
      <c r="F693" s="688"/>
      <c r="G693" s="14">
        <f>IF(F693=$E$653,1,IF(F693=$E$654,2,IF(F693=$E$655,3,IF(F693=$E$656,4,IF(F693=$E$657,5,0)))))</f>
        <v>0</v>
      </c>
      <c r="H693" s="687"/>
      <c r="I693" s="3051"/>
      <c r="J693" s="3052"/>
      <c r="K693" s="688"/>
      <c r="L693" s="14">
        <f>IF(K693=$E$653,1,IF(K693=$E$654,2,IF(K693=$E$655,3,IF(K693=$E$656,4,IF(K693=$E$657,5,0)))))</f>
        <v>0</v>
      </c>
      <c r="M693" s="687"/>
      <c r="N693" s="3051"/>
      <c r="O693" s="3070"/>
      <c r="P693" s="3052"/>
      <c r="Q693" s="263"/>
      <c r="S693" s="2899"/>
    </row>
    <row r="694" spans="2:19" ht="17.25" customHeight="1" x14ac:dyDescent="0.25">
      <c r="B694" s="494" t="str">
        <f>IF(OR(ISBLANK(F694),ISBLANK(K694))=FALSE,"","u")</f>
        <v>u</v>
      </c>
      <c r="C694" s="3063" t="s">
        <v>119</v>
      </c>
      <c r="D694" s="3064"/>
      <c r="E694" s="3065"/>
      <c r="F694" s="688"/>
      <c r="G694" s="14">
        <f>IF(F694=$E$653,1,IF(F694=$E$654,2,IF(F694=$E$655,3,IF(F694=$E$656,4,IF(F694=$E$657,5,0)))))</f>
        <v>0</v>
      </c>
      <c r="H694" s="687"/>
      <c r="I694" s="3051"/>
      <c r="J694" s="3052"/>
      <c r="K694" s="688"/>
      <c r="L694" s="14">
        <f>IF(K694=$E$653,1,IF(K694=$E$654,2,IF(K694=$E$655,3,IF(K694=$E$656,4,IF(K694=$E$657,5,0)))))</f>
        <v>0</v>
      </c>
      <c r="M694" s="687"/>
      <c r="N694" s="3051"/>
      <c r="O694" s="3070"/>
      <c r="P694" s="3052"/>
      <c r="Q694" s="263"/>
      <c r="S694" s="2899"/>
    </row>
    <row r="695" spans="2:19" ht="18" customHeight="1" x14ac:dyDescent="0.25">
      <c r="B695" s="494" t="str">
        <f>IF(OR(ISBLANK(F695),ISBLANK(K695))=FALSE,"","u")</f>
        <v>u</v>
      </c>
      <c r="C695" s="3063" t="s">
        <v>120</v>
      </c>
      <c r="D695" s="3064"/>
      <c r="E695" s="3065"/>
      <c r="F695" s="688"/>
      <c r="G695" s="530">
        <f>IF(F695=$E$653,1,IF(F695=$E$654,2,IF(F695=$E$655,3,IF(F695=$E$656,4,IF(F695=$E$657,5,0)))))</f>
        <v>0</v>
      </c>
      <c r="H695" s="687"/>
      <c r="I695" s="3051"/>
      <c r="J695" s="3052"/>
      <c r="K695" s="688"/>
      <c r="L695" s="530">
        <f>IF(K695=$E$653,1,IF(K695=$E$654,2,IF(K695=$E$655,3,IF(K695=$E$656,4,IF(K695=$E$657,5,0)))))</f>
        <v>0</v>
      </c>
      <c r="M695" s="687"/>
      <c r="N695" s="3051"/>
      <c r="O695" s="3070"/>
      <c r="P695" s="3052"/>
      <c r="Q695" s="263"/>
      <c r="S695" s="2899"/>
    </row>
    <row r="696" spans="2:19" ht="35.25" customHeight="1" x14ac:dyDescent="0.25">
      <c r="B696" s="494"/>
      <c r="C696" s="3082" t="s">
        <v>1873</v>
      </c>
      <c r="D696" s="3083"/>
      <c r="E696" s="3084"/>
      <c r="F696" s="3053"/>
      <c r="G696" s="3054"/>
      <c r="H696" s="3054"/>
      <c r="I696" s="3054"/>
      <c r="J696" s="3054"/>
      <c r="K696" s="3053"/>
      <c r="L696" s="3054"/>
      <c r="M696" s="3054"/>
      <c r="N696" s="3054"/>
      <c r="O696" s="3054"/>
      <c r="P696" s="3055"/>
      <c r="Q696" s="263"/>
      <c r="S696" s="2899"/>
    </row>
    <row r="697" spans="2:19" ht="21.75" customHeight="1" x14ac:dyDescent="0.25">
      <c r="B697" s="1278"/>
      <c r="C697" s="693" t="s">
        <v>1559</v>
      </c>
      <c r="D697" s="334"/>
      <c r="E697" s="8" t="s">
        <v>137</v>
      </c>
      <c r="F697" s="12" t="str">
        <f>IF(H697=1,"1- Débutant",IF(H697=2,"2- Élémentaire",IF(H697=3,"3- Intermédiaire",IF(H697=4,"4- Avancé",IF(H697=5,"5- Expert","")))))</f>
        <v/>
      </c>
      <c r="G697" s="13" t="str">
        <f>IF(G698=0,"",G698)</f>
        <v/>
      </c>
      <c r="H697" s="470">
        <f>ROUNDDOWN(AVERAGE(G698),0)</f>
        <v>0</v>
      </c>
      <c r="I697" s="16"/>
      <c r="J697" s="18"/>
      <c r="K697" s="12" t="str">
        <f>IF(M697=1,"1- Débutant",IF(M697=2,"2- Élémentaire",IF(M697=3,"3- Intermédiaire",IF(M697=4,"4- Avancé",IF(M697=5,"5- Expert","")))))</f>
        <v/>
      </c>
      <c r="L697" s="13" t="str">
        <f>IF(L698=0,"",L698)</f>
        <v/>
      </c>
      <c r="M697" s="470">
        <f>ROUNDDOWN(AVERAGE(L698),0)</f>
        <v>0</v>
      </c>
      <c r="N697" s="16"/>
      <c r="O697" s="3073"/>
      <c r="P697" s="3074"/>
      <c r="Q697" s="263"/>
      <c r="S697" s="2899"/>
    </row>
    <row r="698" spans="2:19" ht="18" customHeight="1" x14ac:dyDescent="0.25">
      <c r="B698" s="494" t="str">
        <f>IF(OR(ISBLANK(F698),ISBLANK(K698))=FALSE,"","u")</f>
        <v>u</v>
      </c>
      <c r="C698" s="3260" t="s">
        <v>1560</v>
      </c>
      <c r="D698" s="3261"/>
      <c r="E698" s="3262"/>
      <c r="F698" s="688"/>
      <c r="G698" s="530">
        <f>IF(F698=$E$653,1,IF(F698=$E$654,2,IF(F698=$E$655,3,IF(F698=$E$656,4,IF(F698=$E$657,5,0)))))</f>
        <v>0</v>
      </c>
      <c r="H698" s="687"/>
      <c r="I698" s="3051"/>
      <c r="J698" s="3052"/>
      <c r="K698" s="688"/>
      <c r="L698" s="530">
        <f>IF(K698=$E$653,1,IF(K698=$E$654,2,IF(K698=$E$655,3,IF(K698=$E$656,4,IF(K698=$E$657,5,0)))))</f>
        <v>0</v>
      </c>
      <c r="M698" s="687"/>
      <c r="N698" s="3051"/>
      <c r="O698" s="3070"/>
      <c r="P698" s="3052"/>
      <c r="Q698" s="263"/>
      <c r="S698" s="2899"/>
    </row>
    <row r="699" spans="2:19" ht="35.25" customHeight="1" x14ac:dyDescent="0.25">
      <c r="B699" s="494"/>
      <c r="C699" s="3082" t="s">
        <v>1873</v>
      </c>
      <c r="D699" s="3083"/>
      <c r="E699" s="3084"/>
      <c r="F699" s="3053"/>
      <c r="G699" s="3054"/>
      <c r="H699" s="3054"/>
      <c r="I699" s="3054"/>
      <c r="J699" s="3054"/>
      <c r="K699" s="3053"/>
      <c r="L699" s="3054"/>
      <c r="M699" s="3054"/>
      <c r="N699" s="3054"/>
      <c r="O699" s="3054"/>
      <c r="P699" s="3055"/>
      <c r="Q699" s="263"/>
      <c r="S699" s="2899"/>
    </row>
    <row r="700" spans="2:19" ht="22.5" customHeight="1" x14ac:dyDescent="0.25">
      <c r="B700" s="259"/>
      <c r="C700" s="668"/>
      <c r="D700" s="350"/>
      <c r="E700" s="9" t="s">
        <v>150</v>
      </c>
      <c r="F700" s="20" t="str">
        <f>IF(H700=1,"1- Débutant",IF(H700=2,"2- Élémentaire",IF(H700=3,"3- Intermédiaire",IF(H700=4,"4- Avancé",IF(H700=5,"5- Expert","")))))</f>
        <v/>
      </c>
      <c r="G700" s="417" t="str">
        <f>IF(ISERR(G674+G678+G681+G684+G688+G692+G697)=TRUE,"",IF((G670=""),((G674+G678+G681+G684+G688+G692+G697)/80*100),(G670+G674+G678+G681+G684+G688+G692+G697)))</f>
        <v/>
      </c>
      <c r="H700" s="640">
        <f>ROUNDDOWN(AVERAGE(H670,H674,H678,H681,H684,H688,H692,H697),0)</f>
        <v>0</v>
      </c>
      <c r="I700" s="17"/>
      <c r="J700" s="17"/>
      <c r="K700" s="20" t="str">
        <f>IF(M700=1,"1- Débutant",IF(M700=2,"2- Élémentaire",IF(M700=3,"3- Intermédiaire",IF(M700=4,"4- Avancé",IF(M700=5,"5- Expert","")))))</f>
        <v/>
      </c>
      <c r="L700" s="417" t="str">
        <f>IF(ISERR(L674+L678+L681+L684+L688+L692+L697)=TRUE,"",IF((L670=""),((L674+L678+L681+L684+L688+L692+L697)/80*100),(L670+L674+L678+L681+L684+L688+L692+L697)))</f>
        <v/>
      </c>
      <c r="M700" s="640">
        <f>ROUNDDOWN(AVERAGE(M670,M674,M678,M681,M684,M688,M692,M697),0)</f>
        <v>0</v>
      </c>
      <c r="N700" s="17"/>
      <c r="O700" s="3078"/>
      <c r="P700" s="3079"/>
      <c r="Q700" s="263"/>
      <c r="S700" s="2899"/>
    </row>
    <row r="701" spans="2:19" ht="23.25" customHeight="1" x14ac:dyDescent="0.25">
      <c r="B701" s="259"/>
      <c r="C701" s="262"/>
      <c r="D701" s="467"/>
      <c r="E701" s="467"/>
      <c r="F701" s="467"/>
      <c r="G701" s="467"/>
      <c r="H701" s="467"/>
      <c r="I701" s="469"/>
      <c r="J701" s="662"/>
      <c r="K701" s="662"/>
      <c r="L701" s="662"/>
      <c r="M701" s="662"/>
      <c r="N701" s="662"/>
      <c r="O701" s="662"/>
      <c r="P701" s="662"/>
      <c r="Q701" s="263"/>
      <c r="S701" s="2899"/>
    </row>
    <row r="702" spans="2:19" ht="18" customHeight="1" x14ac:dyDescent="0.25">
      <c r="B702" s="259"/>
      <c r="C702" s="680" t="s">
        <v>1573</v>
      </c>
      <c r="D702" s="467"/>
      <c r="E702" s="467"/>
      <c r="F702" s="467"/>
      <c r="G702" s="166"/>
      <c r="H702" s="2914" t="s">
        <v>1525</v>
      </c>
      <c r="I702" s="2914"/>
      <c r="J702" s="166"/>
      <c r="K702" s="166"/>
      <c r="L702" s="662"/>
      <c r="M702" s="662"/>
      <c r="N702" s="662"/>
      <c r="O702" s="662"/>
      <c r="P702" s="662"/>
      <c r="Q702" s="263"/>
      <c r="S702" s="2899"/>
    </row>
    <row r="703" spans="2:19" ht="19.5" customHeight="1" thickBot="1" x14ac:dyDescent="0.3">
      <c r="B703" s="304"/>
      <c r="C703" s="305"/>
      <c r="D703" s="305"/>
      <c r="E703" s="305"/>
      <c r="F703" s="336"/>
      <c r="G703" s="336"/>
      <c r="H703" s="305"/>
      <c r="I703" s="336"/>
      <c r="J703" s="336"/>
      <c r="K703" s="305"/>
      <c r="L703" s="336"/>
      <c r="M703" s="305"/>
      <c r="N703" s="336"/>
      <c r="O703" s="336"/>
      <c r="P703" s="336"/>
      <c r="Q703" s="306"/>
      <c r="S703" s="2904"/>
    </row>
    <row r="704" spans="2:19" ht="16.5" customHeight="1" thickBot="1" x14ac:dyDescent="0.3">
      <c r="S704" s="627"/>
    </row>
    <row r="705" spans="1:19" ht="22.5" customHeight="1" thickBot="1" x14ac:dyDescent="0.3">
      <c r="A705" s="1225"/>
      <c r="B705" s="243" t="s">
        <v>1436</v>
      </c>
      <c r="C705" s="243"/>
      <c r="D705" s="243"/>
      <c r="E705" s="243"/>
      <c r="F705" s="243"/>
      <c r="G705" s="243"/>
      <c r="H705" s="243"/>
      <c r="I705" s="243"/>
      <c r="J705" s="243"/>
      <c r="K705" s="243"/>
      <c r="L705" s="244"/>
      <c r="M705" s="244"/>
      <c r="N705" s="244"/>
      <c r="O705" s="3265" t="s">
        <v>1641</v>
      </c>
      <c r="P705" s="3265"/>
      <c r="Q705" s="3265"/>
      <c r="S705" s="628" t="s">
        <v>1537</v>
      </c>
    </row>
    <row r="706" spans="1:19" ht="9.75" customHeight="1" thickBot="1" x14ac:dyDescent="0.3">
      <c r="S706" s="629"/>
    </row>
    <row r="707" spans="1:19" ht="8.25" customHeight="1" x14ac:dyDescent="0.25">
      <c r="B707" s="247"/>
      <c r="C707" s="248"/>
      <c r="D707" s="248"/>
      <c r="E707" s="249"/>
      <c r="F707" s="250"/>
      <c r="G707" s="250"/>
      <c r="H707" s="250"/>
      <c r="I707" s="250"/>
      <c r="J707" s="250"/>
      <c r="K707" s="250"/>
      <c r="L707" s="250"/>
      <c r="M707" s="250"/>
      <c r="N707" s="250"/>
      <c r="O707" s="250"/>
      <c r="P707" s="250"/>
      <c r="Q707" s="251"/>
      <c r="S707" s="2903"/>
    </row>
    <row r="708" spans="1:19" ht="18" customHeight="1" x14ac:dyDescent="0.25">
      <c r="B708" s="290"/>
      <c r="C708" s="253" t="s">
        <v>1634</v>
      </c>
      <c r="D708" s="253"/>
      <c r="E708" s="292"/>
      <c r="F708" s="293"/>
      <c r="G708" s="293"/>
      <c r="H708" s="293"/>
      <c r="I708" s="293"/>
      <c r="J708" s="293"/>
      <c r="K708" s="293"/>
      <c r="L708" s="293"/>
      <c r="M708" s="293"/>
      <c r="N708" s="166"/>
      <c r="O708" s="166"/>
      <c r="P708" s="293"/>
      <c r="Q708" s="294"/>
      <c r="S708" s="2901"/>
    </row>
    <row r="709" spans="1:19" ht="9.75" customHeight="1" x14ac:dyDescent="0.25">
      <c r="B709" s="290"/>
      <c r="C709" s="292"/>
      <c r="D709" s="292"/>
      <c r="E709" s="292"/>
      <c r="F709" s="293"/>
      <c r="G709" s="293"/>
      <c r="H709" s="293"/>
      <c r="I709" s="293"/>
      <c r="J709" s="293"/>
      <c r="K709" s="293"/>
      <c r="L709" s="293"/>
      <c r="M709" s="293"/>
      <c r="N709" s="293"/>
      <c r="O709" s="293"/>
      <c r="P709" s="293"/>
      <c r="Q709" s="294"/>
      <c r="S709" s="2901"/>
    </row>
    <row r="710" spans="1:19" ht="18" customHeight="1" x14ac:dyDescent="0.25">
      <c r="B710" s="259"/>
      <c r="C710" s="490" t="s">
        <v>1428</v>
      </c>
      <c r="D710" s="261"/>
      <c r="E710" s="262"/>
      <c r="F710" s="262"/>
      <c r="G710" s="262"/>
      <c r="H710" s="262"/>
      <c r="I710" s="262"/>
      <c r="J710" s="262"/>
      <c r="K710" s="262"/>
      <c r="L710" s="262"/>
      <c r="M710" s="262"/>
      <c r="N710" s="262"/>
      <c r="O710" s="262"/>
      <c r="P710" s="262"/>
      <c r="Q710" s="263"/>
      <c r="S710" s="2901"/>
    </row>
    <row r="711" spans="1:19" ht="19.5" customHeight="1" x14ac:dyDescent="0.25">
      <c r="B711" s="259"/>
      <c r="C711" s="322" t="s">
        <v>1633</v>
      </c>
      <c r="D711" s="261"/>
      <c r="E711" s="262"/>
      <c r="F711" s="262"/>
      <c r="G711" s="262"/>
      <c r="H711" s="262"/>
      <c r="I711" s="262"/>
      <c r="J711" s="262"/>
      <c r="K711" s="262"/>
      <c r="L711" s="262"/>
      <c r="M711" s="262"/>
      <c r="N711" s="262"/>
      <c r="O711" s="262"/>
      <c r="P711" s="262"/>
      <c r="Q711" s="263"/>
      <c r="S711" s="2901"/>
    </row>
    <row r="712" spans="1:19" ht="15.75" customHeight="1" x14ac:dyDescent="0.25">
      <c r="B712" s="259"/>
      <c r="C712" s="493" t="s">
        <v>1637</v>
      </c>
      <c r="D712" s="261"/>
      <c r="E712" s="262"/>
      <c r="F712" s="262"/>
      <c r="G712" s="262"/>
      <c r="H712" s="262"/>
      <c r="I712" s="262"/>
      <c r="J712" s="262"/>
      <c r="K712" s="262"/>
      <c r="L712" s="262"/>
      <c r="M712" s="262"/>
      <c r="N712" s="262"/>
      <c r="O712" s="262"/>
      <c r="P712" s="262"/>
      <c r="Q712" s="263"/>
      <c r="S712" s="2901"/>
    </row>
    <row r="713" spans="1:19" ht="9" customHeight="1" x14ac:dyDescent="0.25">
      <c r="B713" s="259"/>
      <c r="C713" s="260"/>
      <c r="D713" s="261"/>
      <c r="E713" s="262"/>
      <c r="F713" s="262"/>
      <c r="G713" s="262"/>
      <c r="H713" s="262"/>
      <c r="I713" s="262"/>
      <c r="J713" s="262"/>
      <c r="K713" s="262"/>
      <c r="L713" s="262"/>
      <c r="M713" s="262"/>
      <c r="N713" s="262"/>
      <c r="O713" s="262"/>
      <c r="P713" s="262"/>
      <c r="Q713" s="263"/>
      <c r="S713" s="2901"/>
    </row>
    <row r="714" spans="1:19" ht="18" customHeight="1" x14ac:dyDescent="0.25">
      <c r="B714" s="259"/>
      <c r="C714" s="490" t="s">
        <v>1874</v>
      </c>
      <c r="D714" s="261"/>
      <c r="E714" s="262"/>
      <c r="F714" s="262"/>
      <c r="G714" s="262"/>
      <c r="H714" s="262"/>
      <c r="I714" s="262"/>
      <c r="J714" s="262"/>
      <c r="K714" s="262"/>
      <c r="L714" s="262"/>
      <c r="M714" s="262"/>
      <c r="N714" s="262"/>
      <c r="O714" s="262"/>
      <c r="P714" s="262"/>
      <c r="Q714" s="263"/>
      <c r="S714" s="2901"/>
    </row>
    <row r="715" spans="1:19" ht="6" customHeight="1" x14ac:dyDescent="0.25">
      <c r="B715" s="259"/>
      <c r="C715" s="490"/>
      <c r="D715" s="261"/>
      <c r="E715" s="262"/>
      <c r="F715" s="262"/>
      <c r="G715" s="262"/>
      <c r="H715" s="262"/>
      <c r="I715" s="262"/>
      <c r="J715" s="262"/>
      <c r="K715" s="262"/>
      <c r="L715" s="262"/>
      <c r="M715" s="262"/>
      <c r="N715" s="262"/>
      <c r="O715" s="262"/>
      <c r="P715" s="262"/>
      <c r="Q715" s="263"/>
      <c r="S715" s="2901"/>
    </row>
    <row r="716" spans="1:19" ht="59.25" customHeight="1" x14ac:dyDescent="0.25">
      <c r="B716" s="566" t="str">
        <f>IF(ISBLANK(C716)=FALSE,"","w")</f>
        <v>w</v>
      </c>
      <c r="C716" s="3056"/>
      <c r="D716" s="3057"/>
      <c r="E716" s="3057"/>
      <c r="F716" s="3057"/>
      <c r="G716" s="3057"/>
      <c r="H716" s="3057"/>
      <c r="I716" s="3057"/>
      <c r="J716" s="3057"/>
      <c r="K716" s="3057"/>
      <c r="L716" s="3057"/>
      <c r="M716" s="3057"/>
      <c r="N716" s="3057"/>
      <c r="O716" s="3058"/>
      <c r="P716" s="262"/>
      <c r="Q716" s="263"/>
      <c r="S716" s="2901"/>
    </row>
    <row r="717" spans="1:19" ht="18.75" customHeight="1" thickBot="1" x14ac:dyDescent="0.3">
      <c r="B717" s="304"/>
      <c r="C717" s="492"/>
      <c r="D717" s="360"/>
      <c r="E717" s="305"/>
      <c r="F717" s="305"/>
      <c r="G717" s="305"/>
      <c r="H717" s="305"/>
      <c r="I717" s="305"/>
      <c r="J717" s="305"/>
      <c r="K717" s="305"/>
      <c r="L717" s="305"/>
      <c r="M717" s="305"/>
      <c r="N717" s="305"/>
      <c r="O717" s="305"/>
      <c r="P717" s="305"/>
      <c r="Q717" s="306"/>
      <c r="S717" s="2901"/>
    </row>
    <row r="718" spans="1:19" ht="9.75" customHeight="1" thickBot="1" x14ac:dyDescent="0.3">
      <c r="S718" s="2901"/>
    </row>
    <row r="719" spans="1:19" ht="8.25" customHeight="1" x14ac:dyDescent="0.25">
      <c r="B719" s="247"/>
      <c r="C719" s="248"/>
      <c r="D719" s="248"/>
      <c r="E719" s="249"/>
      <c r="F719" s="250"/>
      <c r="G719" s="250"/>
      <c r="H719" s="250"/>
      <c r="I719" s="250"/>
      <c r="J719" s="250"/>
      <c r="K719" s="250"/>
      <c r="L719" s="250"/>
      <c r="M719" s="250"/>
      <c r="N719" s="250"/>
      <c r="O719" s="250"/>
      <c r="P719" s="250"/>
      <c r="Q719" s="251"/>
      <c r="S719" s="2901"/>
    </row>
    <row r="720" spans="1:19" ht="18" customHeight="1" x14ac:dyDescent="0.25">
      <c r="B720" s="290"/>
      <c r="C720" s="253" t="s">
        <v>1635</v>
      </c>
      <c r="D720" s="253"/>
      <c r="E720" s="292"/>
      <c r="F720" s="293"/>
      <c r="G720" s="293"/>
      <c r="H720" s="293"/>
      <c r="I720" s="293"/>
      <c r="J720" s="293"/>
      <c r="K720" s="293"/>
      <c r="L720" s="293"/>
      <c r="M720" s="293"/>
      <c r="N720" s="166"/>
      <c r="O720" s="166"/>
      <c r="P720" s="293"/>
      <c r="Q720" s="294"/>
      <c r="S720" s="2901"/>
    </row>
    <row r="721" spans="2:19" ht="9.75" customHeight="1" x14ac:dyDescent="0.25">
      <c r="B721" s="290"/>
      <c r="C721" s="292"/>
      <c r="D721" s="292"/>
      <c r="E721" s="292"/>
      <c r="F721" s="293"/>
      <c r="G721" s="293"/>
      <c r="H721" s="293"/>
      <c r="I721" s="293"/>
      <c r="J721" s="293"/>
      <c r="K721" s="293"/>
      <c r="L721" s="293"/>
      <c r="M721" s="293"/>
      <c r="N721" s="293"/>
      <c r="O721" s="293"/>
      <c r="P721" s="293"/>
      <c r="Q721" s="294"/>
      <c r="S721" s="2901"/>
    </row>
    <row r="722" spans="2:19" ht="18" customHeight="1" x14ac:dyDescent="0.25">
      <c r="B722" s="259"/>
      <c r="C722" s="490" t="s">
        <v>1639</v>
      </c>
      <c r="D722" s="261"/>
      <c r="E722" s="262"/>
      <c r="F722" s="262"/>
      <c r="G722" s="262"/>
      <c r="H722" s="262"/>
      <c r="I722" s="262"/>
      <c r="J722" s="262"/>
      <c r="K722" s="262"/>
      <c r="L722" s="262"/>
      <c r="M722" s="262"/>
      <c r="N722" s="262"/>
      <c r="O722" s="262"/>
      <c r="P722" s="262"/>
      <c r="Q722" s="263"/>
      <c r="S722" s="2901"/>
    </row>
    <row r="723" spans="2:19" ht="19.5" customHeight="1" x14ac:dyDescent="0.25">
      <c r="B723" s="259"/>
      <c r="C723" s="322" t="s">
        <v>1636</v>
      </c>
      <c r="D723" s="261"/>
      <c r="E723" s="262"/>
      <c r="F723" s="262"/>
      <c r="G723" s="262"/>
      <c r="H723" s="262"/>
      <c r="I723" s="262"/>
      <c r="J723" s="262"/>
      <c r="K723" s="262"/>
      <c r="L723" s="262"/>
      <c r="M723" s="262"/>
      <c r="N723" s="262"/>
      <c r="O723" s="262"/>
      <c r="P723" s="262"/>
      <c r="Q723" s="263"/>
      <c r="S723" s="2901"/>
    </row>
    <row r="724" spans="2:19" ht="15.75" customHeight="1" x14ac:dyDescent="0.25">
      <c r="B724" s="259"/>
      <c r="C724" s="493" t="s">
        <v>1638</v>
      </c>
      <c r="D724" s="261"/>
      <c r="E724" s="262"/>
      <c r="F724" s="262"/>
      <c r="G724" s="262"/>
      <c r="H724" s="262"/>
      <c r="I724" s="262"/>
      <c r="J724" s="262"/>
      <c r="K724" s="262"/>
      <c r="L724" s="262"/>
      <c r="M724" s="262"/>
      <c r="N724" s="262"/>
      <c r="O724" s="262"/>
      <c r="P724" s="262"/>
      <c r="Q724" s="263"/>
      <c r="S724" s="2901"/>
    </row>
    <row r="725" spans="2:19" ht="9" customHeight="1" x14ac:dyDescent="0.25">
      <c r="B725" s="259"/>
      <c r="C725" s="260"/>
      <c r="D725" s="261"/>
      <c r="E725" s="262"/>
      <c r="F725" s="262"/>
      <c r="G725" s="262"/>
      <c r="H725" s="262"/>
      <c r="I725" s="262"/>
      <c r="J725" s="262"/>
      <c r="K725" s="262"/>
      <c r="L725" s="262"/>
      <c r="M725" s="262"/>
      <c r="N725" s="262"/>
      <c r="O725" s="262"/>
      <c r="P725" s="262"/>
      <c r="Q725" s="263"/>
      <c r="S725" s="2901"/>
    </row>
    <row r="726" spans="2:19" ht="18" customHeight="1" x14ac:dyDescent="0.25">
      <c r="B726" s="259"/>
      <c r="C726" s="485" t="s">
        <v>2144</v>
      </c>
      <c r="D726" s="261"/>
      <c r="E726" s="262"/>
      <c r="F726" s="262"/>
      <c r="G726" s="262"/>
      <c r="H726" s="262"/>
      <c r="I726" s="262"/>
      <c r="J726" s="262"/>
      <c r="K726" s="262"/>
      <c r="L726" s="262"/>
      <c r="M726" s="262"/>
      <c r="N726" s="262"/>
      <c r="O726" s="262"/>
      <c r="P726" s="262"/>
      <c r="Q726" s="263"/>
      <c r="S726" s="2901"/>
    </row>
    <row r="727" spans="2:19" ht="6" customHeight="1" x14ac:dyDescent="0.25">
      <c r="B727" s="259"/>
      <c r="C727" s="490"/>
      <c r="D727" s="261"/>
      <c r="E727" s="262"/>
      <c r="F727" s="262"/>
      <c r="G727" s="262"/>
      <c r="H727" s="262"/>
      <c r="I727" s="262"/>
      <c r="J727" s="262"/>
      <c r="K727" s="262"/>
      <c r="L727" s="262"/>
      <c r="M727" s="262"/>
      <c r="N727" s="262"/>
      <c r="O727" s="262"/>
      <c r="P727" s="262"/>
      <c r="Q727" s="263"/>
      <c r="S727" s="2901"/>
    </row>
    <row r="728" spans="2:19" ht="29.25" customHeight="1" x14ac:dyDescent="0.25">
      <c r="B728" s="566" t="str">
        <f>IF(ISBLANK(C728)=FALSE,"","w")</f>
        <v>w</v>
      </c>
      <c r="C728" s="3056"/>
      <c r="D728" s="3057"/>
      <c r="E728" s="3057"/>
      <c r="F728" s="3057"/>
      <c r="G728" s="3057"/>
      <c r="H728" s="3057"/>
      <c r="I728" s="3057"/>
      <c r="J728" s="3057"/>
      <c r="K728" s="3057"/>
      <c r="L728" s="3057"/>
      <c r="M728" s="3057"/>
      <c r="N728" s="3057"/>
      <c r="O728" s="3058"/>
      <c r="P728" s="262"/>
      <c r="Q728" s="263"/>
      <c r="S728" s="2901"/>
    </row>
    <row r="729" spans="2:19" ht="15.75" thickBot="1" x14ac:dyDescent="0.3">
      <c r="B729" s="304"/>
      <c r="C729" s="492"/>
      <c r="D729" s="360"/>
      <c r="E729" s="305"/>
      <c r="F729" s="305"/>
      <c r="G729" s="305"/>
      <c r="H729" s="305"/>
      <c r="I729" s="305"/>
      <c r="J729" s="305"/>
      <c r="K729" s="305"/>
      <c r="L729" s="305"/>
      <c r="M729" s="305"/>
      <c r="N729" s="305"/>
      <c r="O729" s="305"/>
      <c r="P729" s="305"/>
      <c r="Q729" s="306"/>
      <c r="S729" s="2902"/>
    </row>
  </sheetData>
  <sheetProtection password="C518" sheet="1" objects="1" scenarios="1"/>
  <mergeCells count="807">
    <mergeCell ref="O705:Q705"/>
    <mergeCell ref="O21:Q21"/>
    <mergeCell ref="O64:Q64"/>
    <mergeCell ref="O176:Q176"/>
    <mergeCell ref="O248:Q248"/>
    <mergeCell ref="O292:Q292"/>
    <mergeCell ref="O335:Q335"/>
    <mergeCell ref="O504:Q504"/>
    <mergeCell ref="O577:Q577"/>
    <mergeCell ref="O643:Q643"/>
    <mergeCell ref="O457:P457"/>
    <mergeCell ref="I273:O273"/>
    <mergeCell ref="H137:I138"/>
    <mergeCell ref="H147:I147"/>
    <mergeCell ref="J147:O147"/>
    <mergeCell ref="H149:I149"/>
    <mergeCell ref="J149:O149"/>
    <mergeCell ref="C181:M181"/>
    <mergeCell ref="G163:H163"/>
    <mergeCell ref="G161:H161"/>
    <mergeCell ref="D40:E40"/>
    <mergeCell ref="F40:G40"/>
    <mergeCell ref="H40:I40"/>
    <mergeCell ref="J40:K40"/>
    <mergeCell ref="M3:Q3"/>
    <mergeCell ref="C449:D449"/>
    <mergeCell ref="L187:O188"/>
    <mergeCell ref="C470:D470"/>
    <mergeCell ref="C524:D524"/>
    <mergeCell ref="D221:E221"/>
    <mergeCell ref="I223:J223"/>
    <mergeCell ref="C253:M253"/>
    <mergeCell ref="C297:M297"/>
    <mergeCell ref="C340:M340"/>
    <mergeCell ref="C377:M377"/>
    <mergeCell ref="C458:D458"/>
    <mergeCell ref="C425:D425"/>
    <mergeCell ref="C424:D424"/>
    <mergeCell ref="C439:D439"/>
    <mergeCell ref="C441:D441"/>
    <mergeCell ref="C440:D440"/>
    <mergeCell ref="C445:D445"/>
    <mergeCell ref="C447:D447"/>
    <mergeCell ref="C446:D446"/>
    <mergeCell ref="D314:E314"/>
    <mergeCell ref="C434:D434"/>
    <mergeCell ref="C437:D437"/>
    <mergeCell ref="C349:C352"/>
    <mergeCell ref="C468:D468"/>
    <mergeCell ref="C448:D448"/>
    <mergeCell ref="E454:N454"/>
    <mergeCell ref="C469:D469"/>
    <mergeCell ref="C452:F452"/>
    <mergeCell ref="O462:P462"/>
    <mergeCell ref="C454:D455"/>
    <mergeCell ref="O449:P449"/>
    <mergeCell ref="O464:P464"/>
    <mergeCell ref="C699:E699"/>
    <mergeCell ref="F699:J699"/>
    <mergeCell ref="K699:P699"/>
    <mergeCell ref="K673:P673"/>
    <mergeCell ref="N676:P676"/>
    <mergeCell ref="O674:P674"/>
    <mergeCell ref="N675:P675"/>
    <mergeCell ref="F673:J673"/>
    <mergeCell ref="C685:E685"/>
    <mergeCell ref="C680:E680"/>
    <mergeCell ref="C677:E677"/>
    <mergeCell ref="F677:J677"/>
    <mergeCell ref="F680:J680"/>
    <mergeCell ref="C676:E676"/>
    <mergeCell ref="O697:P697"/>
    <mergeCell ref="C693:E693"/>
    <mergeCell ref="N693:P693"/>
    <mergeCell ref="C698:E698"/>
    <mergeCell ref="I698:J698"/>
    <mergeCell ref="C696:E696"/>
    <mergeCell ref="F696:J696"/>
    <mergeCell ref="K696:P696"/>
    <mergeCell ref="I689:J689"/>
    <mergeCell ref="C683:E683"/>
    <mergeCell ref="O474:P474"/>
    <mergeCell ref="O483:P483"/>
    <mergeCell ref="E497:H497"/>
    <mergeCell ref="E493:P493"/>
    <mergeCell ref="C492:D492"/>
    <mergeCell ref="J499:P499"/>
    <mergeCell ref="O488:P488"/>
    <mergeCell ref="O494:P494"/>
    <mergeCell ref="H501:I501"/>
    <mergeCell ref="C491:D491"/>
    <mergeCell ref="C476:D476"/>
    <mergeCell ref="C478:D478"/>
    <mergeCell ref="O477:P477"/>
    <mergeCell ref="C488:D488"/>
    <mergeCell ref="C484:D484"/>
    <mergeCell ref="O489:P489"/>
    <mergeCell ref="C482:D482"/>
    <mergeCell ref="C460:D460"/>
    <mergeCell ref="O463:P463"/>
    <mergeCell ref="O465:P465"/>
    <mergeCell ref="C465:D465"/>
    <mergeCell ref="O469:P469"/>
    <mergeCell ref="E448:P448"/>
    <mergeCell ref="C515:F515"/>
    <mergeCell ref="O470:P470"/>
    <mergeCell ref="O476:P476"/>
    <mergeCell ref="O475:P475"/>
    <mergeCell ref="O473:P473"/>
    <mergeCell ref="C477:D477"/>
    <mergeCell ref="C461:D461"/>
    <mergeCell ref="O466:P466"/>
    <mergeCell ref="C463:D463"/>
    <mergeCell ref="C462:D462"/>
    <mergeCell ref="O490:P490"/>
    <mergeCell ref="O492:P492"/>
    <mergeCell ref="C509:M509"/>
    <mergeCell ref="C485:D485"/>
    <mergeCell ref="C486:D486"/>
    <mergeCell ref="C490:D490"/>
    <mergeCell ref="C494:D494"/>
    <mergeCell ref="C493:D493"/>
    <mergeCell ref="C431:D431"/>
    <mergeCell ref="O422:P422"/>
    <mergeCell ref="O411:P411"/>
    <mergeCell ref="O414:P414"/>
    <mergeCell ref="O412:P412"/>
    <mergeCell ref="M349:N349"/>
    <mergeCell ref="O435:P435"/>
    <mergeCell ref="C426:D426"/>
    <mergeCell ref="O485:P485"/>
    <mergeCell ref="O440:P440"/>
    <mergeCell ref="O447:P447"/>
    <mergeCell ref="O459:P459"/>
    <mergeCell ref="O460:P460"/>
    <mergeCell ref="O458:P458"/>
    <mergeCell ref="O456:P456"/>
    <mergeCell ref="O461:P461"/>
    <mergeCell ref="C467:D467"/>
    <mergeCell ref="O467:P467"/>
    <mergeCell ref="C443:D443"/>
    <mergeCell ref="O443:P443"/>
    <mergeCell ref="O454:P455"/>
    <mergeCell ref="O445:P445"/>
    <mergeCell ref="O446:P446"/>
    <mergeCell ref="O444:P444"/>
    <mergeCell ref="C422:D422"/>
    <mergeCell ref="C423:D423"/>
    <mergeCell ref="F311:H311"/>
    <mergeCell ref="C428:D428"/>
    <mergeCell ref="O427:P427"/>
    <mergeCell ref="O420:P420"/>
    <mergeCell ref="O425:P425"/>
    <mergeCell ref="C418:D418"/>
    <mergeCell ref="I355:O355"/>
    <mergeCell ref="G365:H365"/>
    <mergeCell ref="I365:O365"/>
    <mergeCell ref="C407:F407"/>
    <mergeCell ref="D371:H371"/>
    <mergeCell ref="J371:P371"/>
    <mergeCell ref="F363:G363"/>
    <mergeCell ref="O424:P424"/>
    <mergeCell ref="O428:P428"/>
    <mergeCell ref="E369:H369"/>
    <mergeCell ref="M405:N405"/>
    <mergeCell ref="O413:P413"/>
    <mergeCell ref="G355:H355"/>
    <mergeCell ref="J328:P328"/>
    <mergeCell ref="E409:N409"/>
    <mergeCell ref="H332:I332"/>
    <mergeCell ref="M220:O220"/>
    <mergeCell ref="D330:H330"/>
    <mergeCell ref="J330:P330"/>
    <mergeCell ref="E328:H328"/>
    <mergeCell ref="I314:O314"/>
    <mergeCell ref="I313:O313"/>
    <mergeCell ref="F274:H274"/>
    <mergeCell ref="J285:P285"/>
    <mergeCell ref="F276:O277"/>
    <mergeCell ref="I274:O274"/>
    <mergeCell ref="H302:K303"/>
    <mergeCell ref="F305:G305"/>
    <mergeCell ref="C276:E277"/>
    <mergeCell ref="F315:H315"/>
    <mergeCell ref="F316:H316"/>
    <mergeCell ref="M222:O222"/>
    <mergeCell ref="M229:O229"/>
    <mergeCell ref="M228:O228"/>
    <mergeCell ref="M226:O226"/>
    <mergeCell ref="M227:O227"/>
    <mergeCell ref="M225:O225"/>
    <mergeCell ref="M224:O224"/>
    <mergeCell ref="D226:E226"/>
    <mergeCell ref="N40:O40"/>
    <mergeCell ref="D39:E39"/>
    <mergeCell ref="F39:G39"/>
    <mergeCell ref="J39:K39"/>
    <mergeCell ref="G55:H57"/>
    <mergeCell ref="I55:O60"/>
    <mergeCell ref="E60:F60"/>
    <mergeCell ref="E59:F59"/>
    <mergeCell ref="E58:F58"/>
    <mergeCell ref="E57:F57"/>
    <mergeCell ref="E55:F55"/>
    <mergeCell ref="C55:D55"/>
    <mergeCell ref="C57:D57"/>
    <mergeCell ref="D272:E272"/>
    <mergeCell ref="D273:E273"/>
    <mergeCell ref="D270:E270"/>
    <mergeCell ref="D311:E311"/>
    <mergeCell ref="F202:G202"/>
    <mergeCell ref="F201:G201"/>
    <mergeCell ref="L202:O202"/>
    <mergeCell ref="D220:E220"/>
    <mergeCell ref="C205:E205"/>
    <mergeCell ref="D229:E229"/>
    <mergeCell ref="D219:E219"/>
    <mergeCell ref="H245:I245"/>
    <mergeCell ref="L203:O203"/>
    <mergeCell ref="C216:P216"/>
    <mergeCell ref="D203:E203"/>
    <mergeCell ref="H203:I203"/>
    <mergeCell ref="F203:G203"/>
    <mergeCell ref="I221:J221"/>
    <mergeCell ref="C258:G259"/>
    <mergeCell ref="H201:I201"/>
    <mergeCell ref="C212:F212"/>
    <mergeCell ref="F272:H272"/>
    <mergeCell ref="F273:H273"/>
    <mergeCell ref="I272:O272"/>
    <mergeCell ref="F271:H271"/>
    <mergeCell ref="F270:H270"/>
    <mergeCell ref="F269:H269"/>
    <mergeCell ref="D313:E313"/>
    <mergeCell ref="AH409:AH410"/>
    <mergeCell ref="AG409:AG410"/>
    <mergeCell ref="T409:T410"/>
    <mergeCell ref="U409:AD409"/>
    <mergeCell ref="AE409:AE410"/>
    <mergeCell ref="O409:P410"/>
    <mergeCell ref="AF409:AF410"/>
    <mergeCell ref="F319:O320"/>
    <mergeCell ref="I317:O317"/>
    <mergeCell ref="I316:O316"/>
    <mergeCell ref="I315:O315"/>
    <mergeCell ref="F317:H317"/>
    <mergeCell ref="J369:P369"/>
    <mergeCell ref="C405:G405"/>
    <mergeCell ref="F353:G353"/>
    <mergeCell ref="C359:C361"/>
    <mergeCell ref="F359:G359"/>
    <mergeCell ref="M359:N359"/>
    <mergeCell ref="M353:N353"/>
    <mergeCell ref="F349:G349"/>
    <mergeCell ref="C690:E690"/>
    <mergeCell ref="C637:E637"/>
    <mergeCell ref="C631:E631"/>
    <mergeCell ref="O442:P442"/>
    <mergeCell ref="O415:P415"/>
    <mergeCell ref="O418:P418"/>
    <mergeCell ref="O419:P419"/>
    <mergeCell ref="O438:P438"/>
    <mergeCell ref="O421:P421"/>
    <mergeCell ref="E426:P426"/>
    <mergeCell ref="O423:P423"/>
    <mergeCell ref="O416:P416"/>
    <mergeCell ref="E434:P434"/>
    <mergeCell ref="O432:P432"/>
    <mergeCell ref="O439:P439"/>
    <mergeCell ref="O436:P436"/>
    <mergeCell ref="O437:P437"/>
    <mergeCell ref="O417:P417"/>
    <mergeCell ref="O441:P441"/>
    <mergeCell ref="O433:P433"/>
    <mergeCell ref="O431:P431"/>
    <mergeCell ref="O429:P429"/>
    <mergeCell ref="O430:P430"/>
    <mergeCell ref="O491:P491"/>
    <mergeCell ref="C563:D563"/>
    <mergeCell ref="C564:D564"/>
    <mergeCell ref="F628:J628"/>
    <mergeCell ref="I617:J617"/>
    <mergeCell ref="I625:J625"/>
    <mergeCell ref="C691:E691"/>
    <mergeCell ref="F691:J691"/>
    <mergeCell ref="K691:P691"/>
    <mergeCell ref="I690:J690"/>
    <mergeCell ref="O638:P638"/>
    <mergeCell ref="C626:E626"/>
    <mergeCell ref="C627:E627"/>
    <mergeCell ref="I671:J671"/>
    <mergeCell ref="I669:J669"/>
    <mergeCell ref="I676:J676"/>
    <mergeCell ref="I675:J675"/>
    <mergeCell ref="C682:E682"/>
    <mergeCell ref="C679:E679"/>
    <mergeCell ref="C673:E673"/>
    <mergeCell ref="C668:E669"/>
    <mergeCell ref="I672:J672"/>
    <mergeCell ref="C675:E675"/>
    <mergeCell ref="N672:P672"/>
    <mergeCell ref="N669:P669"/>
    <mergeCell ref="I686:J686"/>
    <mergeCell ref="I685:J685"/>
    <mergeCell ref="I679:J679"/>
    <mergeCell ref="I682:J682"/>
    <mergeCell ref="C630:E630"/>
    <mergeCell ref="C635:E635"/>
    <mergeCell ref="C636:E636"/>
    <mergeCell ref="I631:J631"/>
    <mergeCell ref="I630:J630"/>
    <mergeCell ref="I635:J635"/>
    <mergeCell ref="I634:J634"/>
    <mergeCell ref="C653:D653"/>
    <mergeCell ref="C654:D654"/>
    <mergeCell ref="F683:J683"/>
    <mergeCell ref="C671:E671"/>
    <mergeCell ref="C634:E634"/>
    <mergeCell ref="C687:E687"/>
    <mergeCell ref="F687:J687"/>
    <mergeCell ref="J497:P497"/>
    <mergeCell ref="O517:P518"/>
    <mergeCell ref="C614:E614"/>
    <mergeCell ref="E560:P560"/>
    <mergeCell ref="O559:P559"/>
    <mergeCell ref="C548:D548"/>
    <mergeCell ref="O548:P548"/>
    <mergeCell ref="O551:P551"/>
    <mergeCell ref="C535:D535"/>
    <mergeCell ref="O544:P545"/>
    <mergeCell ref="O535:P535"/>
    <mergeCell ref="O536:P536"/>
    <mergeCell ref="C540:D540"/>
    <mergeCell ref="C544:D545"/>
    <mergeCell ref="O537:P537"/>
    <mergeCell ref="O530:P530"/>
    <mergeCell ref="E544:N544"/>
    <mergeCell ref="O524:P524"/>
    <mergeCell ref="E525:P525"/>
    <mergeCell ref="O527:P527"/>
    <mergeCell ref="C542:F542"/>
    <mergeCell ref="C530:D530"/>
    <mergeCell ref="C621:E621"/>
    <mergeCell ref="C532:D532"/>
    <mergeCell ref="C527:D527"/>
    <mergeCell ref="O521:P521"/>
    <mergeCell ref="C625:E625"/>
    <mergeCell ref="I618:J618"/>
    <mergeCell ref="K602:L602"/>
    <mergeCell ref="M602:O602"/>
    <mergeCell ref="O604:P604"/>
    <mergeCell ref="C617:E617"/>
    <mergeCell ref="C609:E609"/>
    <mergeCell ref="C613:E613"/>
    <mergeCell ref="E533:P533"/>
    <mergeCell ref="C533:D533"/>
    <mergeCell ref="O538:P538"/>
    <mergeCell ref="D572:H572"/>
    <mergeCell ref="J572:P572"/>
    <mergeCell ref="E567:P567"/>
    <mergeCell ref="N605:P605"/>
    <mergeCell ref="H574:I574"/>
    <mergeCell ref="C566:D566"/>
    <mergeCell ref="C582:M582"/>
    <mergeCell ref="C549:D549"/>
    <mergeCell ref="C557:D557"/>
    <mergeCell ref="O523:P523"/>
    <mergeCell ref="O468:P468"/>
    <mergeCell ref="C474:D474"/>
    <mergeCell ref="C473:D473"/>
    <mergeCell ref="O480:P480"/>
    <mergeCell ref="C471:D471"/>
    <mergeCell ref="C479:D479"/>
    <mergeCell ref="O481:P481"/>
    <mergeCell ref="O487:P487"/>
    <mergeCell ref="O478:P478"/>
    <mergeCell ref="O522:P522"/>
    <mergeCell ref="C517:D518"/>
    <mergeCell ref="O486:P486"/>
    <mergeCell ref="C521:D521"/>
    <mergeCell ref="C522:D522"/>
    <mergeCell ref="E471:P471"/>
    <mergeCell ref="O484:P484"/>
    <mergeCell ref="D499:H499"/>
    <mergeCell ref="E479:P479"/>
    <mergeCell ref="C520:D520"/>
    <mergeCell ref="O520:P520"/>
    <mergeCell ref="O472:P472"/>
    <mergeCell ref="O482:P482"/>
    <mergeCell ref="E517:N517"/>
    <mergeCell ref="C554:D554"/>
    <mergeCell ref="E552:P552"/>
    <mergeCell ref="C552:D552"/>
    <mergeCell ref="C556:D556"/>
    <mergeCell ref="O550:P550"/>
    <mergeCell ref="C562:D562"/>
    <mergeCell ref="O531:P531"/>
    <mergeCell ref="O528:P528"/>
    <mergeCell ref="C525:D525"/>
    <mergeCell ref="O529:P529"/>
    <mergeCell ref="C539:D539"/>
    <mergeCell ref="C537:D537"/>
    <mergeCell ref="E540:P540"/>
    <mergeCell ref="O539:P539"/>
    <mergeCell ref="C551:D551"/>
    <mergeCell ref="C529:D529"/>
    <mergeCell ref="O547:P547"/>
    <mergeCell ref="C547:D547"/>
    <mergeCell ref="O532:P532"/>
    <mergeCell ref="C536:D536"/>
    <mergeCell ref="O565:P565"/>
    <mergeCell ref="N622:P622"/>
    <mergeCell ref="O555:P555"/>
    <mergeCell ref="O554:P554"/>
    <mergeCell ref="O562:P562"/>
    <mergeCell ref="O556:P556"/>
    <mergeCell ref="O557:P557"/>
    <mergeCell ref="O558:P558"/>
    <mergeCell ref="O549:P549"/>
    <mergeCell ref="N606:P606"/>
    <mergeCell ref="O612:P612"/>
    <mergeCell ref="F619:J619"/>
    <mergeCell ref="K611:P611"/>
    <mergeCell ref="I610:J610"/>
    <mergeCell ref="O563:P563"/>
    <mergeCell ref="C622:E622"/>
    <mergeCell ref="C623:E623"/>
    <mergeCell ref="O620:P620"/>
    <mergeCell ref="N614:P614"/>
    <mergeCell ref="C615:E615"/>
    <mergeCell ref="C619:E619"/>
    <mergeCell ref="C611:E611"/>
    <mergeCell ref="F602:G602"/>
    <mergeCell ref="H602:J602"/>
    <mergeCell ref="C602:E603"/>
    <mergeCell ref="C587:D587"/>
    <mergeCell ref="N603:P603"/>
    <mergeCell ref="C618:E618"/>
    <mergeCell ref="F615:J615"/>
    <mergeCell ref="C567:D567"/>
    <mergeCell ref="N613:P613"/>
    <mergeCell ref="N617:P617"/>
    <mergeCell ref="I613:J613"/>
    <mergeCell ref="O616:P616"/>
    <mergeCell ref="N621:P621"/>
    <mergeCell ref="I693:J693"/>
    <mergeCell ref="M668:O668"/>
    <mergeCell ref="O633:P633"/>
    <mergeCell ref="N630:P630"/>
    <mergeCell ref="K619:P619"/>
    <mergeCell ref="N618:P618"/>
    <mergeCell ref="N626:P626"/>
    <mergeCell ref="N610:P610"/>
    <mergeCell ref="O566:P566"/>
    <mergeCell ref="F600:J600"/>
    <mergeCell ref="K600:O600"/>
    <mergeCell ref="E570:H570"/>
    <mergeCell ref="J570:P570"/>
    <mergeCell ref="C605:E605"/>
    <mergeCell ref="I607:J607"/>
    <mergeCell ref="C610:E610"/>
    <mergeCell ref="N607:P607"/>
    <mergeCell ref="C588:D588"/>
    <mergeCell ref="F611:J611"/>
    <mergeCell ref="C608:E608"/>
    <mergeCell ref="C606:E606"/>
    <mergeCell ref="C607:E607"/>
    <mergeCell ref="N608:P608"/>
    <mergeCell ref="N609:P609"/>
    <mergeCell ref="N625:P625"/>
    <mergeCell ref="I622:J622"/>
    <mergeCell ref="F623:J623"/>
    <mergeCell ref="K623:P623"/>
    <mergeCell ref="F666:J666"/>
    <mergeCell ref="K666:O666"/>
    <mergeCell ref="H640:I640"/>
    <mergeCell ref="I627:J627"/>
    <mergeCell ref="N634:P634"/>
    <mergeCell ref="O624:P624"/>
    <mergeCell ref="C648:M648"/>
    <mergeCell ref="N636:P636"/>
    <mergeCell ref="N635:P635"/>
    <mergeCell ref="C628:E628"/>
    <mergeCell ref="C632:E632"/>
    <mergeCell ref="F632:J632"/>
    <mergeCell ref="N627:P627"/>
    <mergeCell ref="I626:J626"/>
    <mergeCell ref="K628:P628"/>
    <mergeCell ref="O629:P629"/>
    <mergeCell ref="N631:P631"/>
    <mergeCell ref="K632:P632"/>
    <mergeCell ref="K637:P637"/>
    <mergeCell ref="I636:J636"/>
    <mergeCell ref="O681:P681"/>
    <mergeCell ref="K677:P677"/>
    <mergeCell ref="C672:E672"/>
    <mergeCell ref="F668:G668"/>
    <mergeCell ref="H668:J668"/>
    <mergeCell ref="N682:P682"/>
    <mergeCell ref="N689:P689"/>
    <mergeCell ref="N690:P690"/>
    <mergeCell ref="O700:P700"/>
    <mergeCell ref="O692:P692"/>
    <mergeCell ref="N671:P671"/>
    <mergeCell ref="K687:P687"/>
    <mergeCell ref="O684:P684"/>
    <mergeCell ref="N698:P698"/>
    <mergeCell ref="O688:P688"/>
    <mergeCell ref="N685:P685"/>
    <mergeCell ref="N679:P679"/>
    <mergeCell ref="O670:P670"/>
    <mergeCell ref="O678:P678"/>
    <mergeCell ref="K683:P683"/>
    <mergeCell ref="K668:L668"/>
    <mergeCell ref="N686:P686"/>
    <mergeCell ref="I695:J695"/>
    <mergeCell ref="I694:J694"/>
    <mergeCell ref="I621:J621"/>
    <mergeCell ref="I614:J614"/>
    <mergeCell ref="K615:P615"/>
    <mergeCell ref="F637:J637"/>
    <mergeCell ref="C433:D433"/>
    <mergeCell ref="C432:D432"/>
    <mergeCell ref="C716:O716"/>
    <mergeCell ref="C728:O728"/>
    <mergeCell ref="C559:D559"/>
    <mergeCell ref="C560:D560"/>
    <mergeCell ref="C686:E686"/>
    <mergeCell ref="C689:E689"/>
    <mergeCell ref="I603:J603"/>
    <mergeCell ref="I605:J605"/>
    <mergeCell ref="I606:J606"/>
    <mergeCell ref="I608:J608"/>
    <mergeCell ref="I609:J609"/>
    <mergeCell ref="C694:E694"/>
    <mergeCell ref="C695:E695"/>
    <mergeCell ref="N695:P695"/>
    <mergeCell ref="N694:P694"/>
    <mergeCell ref="O564:P564"/>
    <mergeCell ref="H702:I702"/>
    <mergeCell ref="K680:P680"/>
    <mergeCell ref="C186:G187"/>
    <mergeCell ref="D198:E198"/>
    <mergeCell ref="J169:P169"/>
    <mergeCell ref="F198:G198"/>
    <mergeCell ref="H199:I199"/>
    <mergeCell ref="J201:K201"/>
    <mergeCell ref="J202:K202"/>
    <mergeCell ref="F189:G189"/>
    <mergeCell ref="H189:O189"/>
    <mergeCell ref="C195:P195"/>
    <mergeCell ref="C409:D410"/>
    <mergeCell ref="M363:N363"/>
    <mergeCell ref="J405:K405"/>
    <mergeCell ref="C415:D415"/>
    <mergeCell ref="C417:D417"/>
    <mergeCell ref="C319:E320"/>
    <mergeCell ref="D316:E316"/>
    <mergeCell ref="D315:E315"/>
    <mergeCell ref="C416:D416"/>
    <mergeCell ref="H6:I6"/>
    <mergeCell ref="J6:K6"/>
    <mergeCell ref="N6:O6"/>
    <mergeCell ref="L6:M6"/>
    <mergeCell ref="H173:I173"/>
    <mergeCell ref="H186:K187"/>
    <mergeCell ref="M162:O162"/>
    <mergeCell ref="M161:O161"/>
    <mergeCell ref="C72:P72"/>
    <mergeCell ref="J108:O108"/>
    <mergeCell ref="H98:I99"/>
    <mergeCell ref="H110:I110"/>
    <mergeCell ref="C73:O73"/>
    <mergeCell ref="H108:I108"/>
    <mergeCell ref="E145:O145"/>
    <mergeCell ref="H114:I114"/>
    <mergeCell ref="J114:O114"/>
    <mergeCell ref="C69:M69"/>
    <mergeCell ref="H39:I39"/>
    <mergeCell ref="N39:O39"/>
    <mergeCell ref="C34:C36"/>
    <mergeCell ref="I165:J165"/>
    <mergeCell ref="I164:J164"/>
    <mergeCell ref="I161:J161"/>
    <mergeCell ref="K164:L164"/>
    <mergeCell ref="K163:L163"/>
    <mergeCell ref="K161:L161"/>
    <mergeCell ref="K160:L160"/>
    <mergeCell ref="I159:J159"/>
    <mergeCell ref="G165:H165"/>
    <mergeCell ref="M163:O163"/>
    <mergeCell ref="C74:D74"/>
    <mergeCell ref="J102:O102"/>
    <mergeCell ref="J87:L87"/>
    <mergeCell ref="M87:O87"/>
    <mergeCell ref="J132:O132"/>
    <mergeCell ref="D160:E162"/>
    <mergeCell ref="D163:E165"/>
    <mergeCell ref="K162:L162"/>
    <mergeCell ref="M165:O165"/>
    <mergeCell ref="M164:O164"/>
    <mergeCell ref="K165:L165"/>
    <mergeCell ref="H141:I141"/>
    <mergeCell ref="J105:L105"/>
    <mergeCell ref="I160:J160"/>
    <mergeCell ref="H153:I153"/>
    <mergeCell ref="J153:O153"/>
    <mergeCell ref="S2:S3"/>
    <mergeCell ref="S5:S19"/>
    <mergeCell ref="G164:H164"/>
    <mergeCell ref="J171:P171"/>
    <mergeCell ref="E169:H169"/>
    <mergeCell ref="D171:H171"/>
    <mergeCell ref="G162:H162"/>
    <mergeCell ref="J141:O141"/>
    <mergeCell ref="J96:L96"/>
    <mergeCell ref="M96:O96"/>
    <mergeCell ref="D80:G81"/>
    <mergeCell ref="H81:M81"/>
    <mergeCell ref="H82:M82"/>
    <mergeCell ref="F123:G123"/>
    <mergeCell ref="H123:M123"/>
    <mergeCell ref="S43:S62"/>
    <mergeCell ref="S23:S42"/>
    <mergeCell ref="S167:S174"/>
    <mergeCell ref="M160:O160"/>
    <mergeCell ref="I163:J163"/>
    <mergeCell ref="J144:L144"/>
    <mergeCell ref="M144:O144"/>
    <mergeCell ref="I162:J162"/>
    <mergeCell ref="H102:I102"/>
    <mergeCell ref="D199:E199"/>
    <mergeCell ref="F199:G199"/>
    <mergeCell ref="J199:K199"/>
    <mergeCell ref="J203:K203"/>
    <mergeCell ref="F205:O205"/>
    <mergeCell ref="C79:C85"/>
    <mergeCell ref="F84:G84"/>
    <mergeCell ref="H84:M84"/>
    <mergeCell ref="M105:O105"/>
    <mergeCell ref="J126:L126"/>
    <mergeCell ref="M126:O126"/>
    <mergeCell ref="J135:L135"/>
    <mergeCell ref="M135:O135"/>
    <mergeCell ref="H132:I132"/>
    <mergeCell ref="H89:I90"/>
    <mergeCell ref="J110:O110"/>
    <mergeCell ref="E106:O106"/>
    <mergeCell ref="C118:C124"/>
    <mergeCell ref="D119:G120"/>
    <mergeCell ref="H120:M120"/>
    <mergeCell ref="H121:M121"/>
    <mergeCell ref="H128:I129"/>
    <mergeCell ref="H93:I93"/>
    <mergeCell ref="G160:H160"/>
    <mergeCell ref="C192:F192"/>
    <mergeCell ref="D269:E269"/>
    <mergeCell ref="D271:E271"/>
    <mergeCell ref="C196:P196"/>
    <mergeCell ref="L200:O200"/>
    <mergeCell ref="M219:O219"/>
    <mergeCell ref="I219:J219"/>
    <mergeCell ref="I220:J220"/>
    <mergeCell ref="D222:E222"/>
    <mergeCell ref="D223:E223"/>
    <mergeCell ref="D224:E224"/>
    <mergeCell ref="H198:I198"/>
    <mergeCell ref="J198:K198"/>
    <mergeCell ref="C215:P215"/>
    <mergeCell ref="D201:E201"/>
    <mergeCell ref="J200:K200"/>
    <mergeCell ref="H202:I202"/>
    <mergeCell ref="H200:I200"/>
    <mergeCell ref="L199:O199"/>
    <mergeCell ref="I271:O271"/>
    <mergeCell ref="I270:O270"/>
    <mergeCell ref="I269:O269"/>
    <mergeCell ref="M221:O221"/>
    <mergeCell ref="I224:J224"/>
    <mergeCell ref="D227:E227"/>
    <mergeCell ref="L201:O201"/>
    <mergeCell ref="L258:O258"/>
    <mergeCell ref="L259:O260"/>
    <mergeCell ref="F268:H268"/>
    <mergeCell ref="J241:P241"/>
    <mergeCell ref="D243:H243"/>
    <mergeCell ref="F261:G261"/>
    <mergeCell ref="H261:O261"/>
    <mergeCell ref="D268:E268"/>
    <mergeCell ref="J243:P243"/>
    <mergeCell ref="E241:H241"/>
    <mergeCell ref="C231:E231"/>
    <mergeCell ref="F231:O231"/>
    <mergeCell ref="I226:J226"/>
    <mergeCell ref="I225:J225"/>
    <mergeCell ref="H258:K259"/>
    <mergeCell ref="D202:E202"/>
    <mergeCell ref="I222:J222"/>
    <mergeCell ref="D225:E225"/>
    <mergeCell ref="I227:J227"/>
    <mergeCell ref="I228:J228"/>
    <mergeCell ref="I229:J229"/>
    <mergeCell ref="D228:E228"/>
    <mergeCell ref="S86:S94"/>
    <mergeCell ref="S78:S85"/>
    <mergeCell ref="S66:S77"/>
    <mergeCell ref="S230:S246"/>
    <mergeCell ref="S220:S229"/>
    <mergeCell ref="S212:S219"/>
    <mergeCell ref="S192:S211"/>
    <mergeCell ref="S178:S191"/>
    <mergeCell ref="S156:S166"/>
    <mergeCell ref="S104:S116"/>
    <mergeCell ref="S143:S155"/>
    <mergeCell ref="S134:S142"/>
    <mergeCell ref="S125:S133"/>
    <mergeCell ref="S117:S124"/>
    <mergeCell ref="S95:S103"/>
    <mergeCell ref="D200:E200"/>
    <mergeCell ref="F200:G200"/>
    <mergeCell ref="M223:O223"/>
    <mergeCell ref="J93:O93"/>
    <mergeCell ref="S337:S347"/>
    <mergeCell ref="S326:S333"/>
    <mergeCell ref="S308:S325"/>
    <mergeCell ref="S294:S307"/>
    <mergeCell ref="S283:S290"/>
    <mergeCell ref="S264:S282"/>
    <mergeCell ref="S250:S263"/>
    <mergeCell ref="H305:O305"/>
    <mergeCell ref="L302:O302"/>
    <mergeCell ref="L303:O304"/>
    <mergeCell ref="H289:I289"/>
    <mergeCell ref="F314:H314"/>
    <mergeCell ref="F312:H312"/>
    <mergeCell ref="D287:H287"/>
    <mergeCell ref="J287:P287"/>
    <mergeCell ref="F313:H313"/>
    <mergeCell ref="D312:E312"/>
    <mergeCell ref="E285:H285"/>
    <mergeCell ref="I312:O312"/>
    <mergeCell ref="C302:G303"/>
    <mergeCell ref="S568:S575"/>
    <mergeCell ref="S561:S567"/>
    <mergeCell ref="S553:S560"/>
    <mergeCell ref="S542:S552"/>
    <mergeCell ref="S534:S541"/>
    <mergeCell ref="S526:S533"/>
    <mergeCell ref="S515:S525"/>
    <mergeCell ref="S506:S514"/>
    <mergeCell ref="S495:S502"/>
    <mergeCell ref="S480:S494"/>
    <mergeCell ref="S472:S479"/>
    <mergeCell ref="S452:S471"/>
    <mergeCell ref="S427:S434"/>
    <mergeCell ref="S407:S426"/>
    <mergeCell ref="S384:S406"/>
    <mergeCell ref="S374:S383"/>
    <mergeCell ref="S449:S450"/>
    <mergeCell ref="S435:S448"/>
    <mergeCell ref="S367:S373"/>
    <mergeCell ref="S358:S366"/>
    <mergeCell ref="S348:S357"/>
    <mergeCell ref="S645:S665"/>
    <mergeCell ref="S718:S729"/>
    <mergeCell ref="S707:S717"/>
    <mergeCell ref="S700:S703"/>
    <mergeCell ref="S697:S699"/>
    <mergeCell ref="S692:S696"/>
    <mergeCell ref="S688:S691"/>
    <mergeCell ref="S684:S687"/>
    <mergeCell ref="S678:S680"/>
    <mergeCell ref="S681:S683"/>
    <mergeCell ref="S674:S677"/>
    <mergeCell ref="S666:S673"/>
    <mergeCell ref="S638:S641"/>
    <mergeCell ref="S633:S637"/>
    <mergeCell ref="S629:S632"/>
    <mergeCell ref="S624:S628"/>
    <mergeCell ref="S616:S619"/>
    <mergeCell ref="S620:S623"/>
    <mergeCell ref="S612:S615"/>
    <mergeCell ref="S600:S611"/>
    <mergeCell ref="S579:S599"/>
    <mergeCell ref="D30:F30"/>
    <mergeCell ref="H30:K30"/>
    <mergeCell ref="M30:O30"/>
    <mergeCell ref="D36:E36"/>
    <mergeCell ref="F36:G36"/>
    <mergeCell ref="H36:I36"/>
    <mergeCell ref="J36:K36"/>
    <mergeCell ref="N36:O36"/>
    <mergeCell ref="D38:E38"/>
    <mergeCell ref="F38:G38"/>
    <mergeCell ref="H38:I38"/>
    <mergeCell ref="J38:K38"/>
    <mergeCell ref="N38:O38"/>
    <mergeCell ref="H37:I37"/>
    <mergeCell ref="J37:K37"/>
    <mergeCell ref="N37:O37"/>
    <mergeCell ref="J35:K35"/>
    <mergeCell ref="D35:E35"/>
    <mergeCell ref="F35:G35"/>
    <mergeCell ref="H35:I35"/>
    <mergeCell ref="N35:O35"/>
    <mergeCell ref="D37:E37"/>
    <mergeCell ref="F37:G37"/>
  </mergeCells>
  <conditionalFormatting sqref="C716 C728">
    <cfRule type="notContainsBlanks" dxfId="612" priority="3">
      <formula>LEN(TRIM(C716))&gt;0</formula>
    </cfRule>
  </conditionalFormatting>
  <conditionalFormatting sqref="D199:D201 F199:F201 H199:H201 J199:J201">
    <cfRule type="notContainsBlanks" dxfId="610" priority="5">
      <formula>LEN(TRIM(D199))&gt;0</formula>
    </cfRule>
  </conditionalFormatting>
  <conditionalFormatting sqref="E413:N414 E420:N421 E428:N430 E437:N438 E443:N444">
    <cfRule type="notContainsBlanks" dxfId="607" priority="7">
      <formula>LEN(TRIM(E413))&gt;0</formula>
    </cfRule>
  </conditionalFormatting>
  <conditionalFormatting sqref="E458:N459 E465:N466 E473:N475 E482:N483 E488:N489">
    <cfRule type="notContainsBlanks" dxfId="606" priority="6">
      <formula>LEN(TRIM(E458))&gt;0</formula>
    </cfRule>
  </conditionalFormatting>
  <conditionalFormatting sqref="E521:N522 E529:N530 E536:N537 E548:N549 E556:N557 E563:N564">
    <cfRule type="notContainsBlanks" dxfId="605" priority="4">
      <formula>LEN(TRIM(E521))&gt;0</formula>
    </cfRule>
  </conditionalFormatting>
  <conditionalFormatting sqref="F351 H351 K351 M351 O351 F361 H361 K361 M361 O361">
    <cfRule type="notContainsBlanks" dxfId="604" priority="8">
      <formula>LEN(TRIM(F351))&gt;0</formula>
    </cfRule>
  </conditionalFormatting>
  <conditionalFormatting sqref="F605:F610 K605:K610 F613:F614 K613:K614 F617:F618 K617:K618 F621:F622 K621:K622 F625:F627 K625:K627 F630:F631 K630:K631 F634:F636 K634:K636">
    <cfRule type="notContainsBlanks" dxfId="603" priority="1">
      <formula>LEN(TRIM(F605))&gt;0</formula>
    </cfRule>
  </conditionalFormatting>
  <conditionalFormatting sqref="F671:F672 K671:K672 F675:F676 K675:K676 F679 K679 F682 K682 F685:F686 K685:K686 F689:F690 K689:K690 F693:F695 K693:K695 F698 K698">
    <cfRule type="notContainsBlanks" dxfId="602" priority="2">
      <formula>LEN(TRIM(F671))&gt;0</formula>
    </cfRule>
  </conditionalFormatting>
  <conditionalFormatting sqref="G89 J89:N89 G91">
    <cfRule type="expression" dxfId="601" priority="11">
      <formula>OR($O$81=1,$O$81=3)</formula>
    </cfRule>
  </conditionalFormatting>
  <conditionalFormatting sqref="G98 J98:N98 G100">
    <cfRule type="expression" dxfId="600" priority="12">
      <formula>OR($O$81=1,$O$81=2)</formula>
    </cfRule>
  </conditionalFormatting>
  <conditionalFormatting sqref="G128 J128:N128 G130">
    <cfRule type="expression" dxfId="599" priority="14">
      <formula>OR($O$120=1,$O$120=3)</formula>
    </cfRule>
  </conditionalFormatting>
  <conditionalFormatting sqref="G137 J137:N137 G139">
    <cfRule type="expression" dxfId="598" priority="13">
      <formula>OR($O$120=1,$O$120=2)</formula>
    </cfRule>
  </conditionalFormatting>
  <conditionalFormatting sqref="H186 D220:J222 H258 F269:H273 H302 F312:H316">
    <cfRule type="notContainsBlanks" dxfId="597" priority="9">
      <formula>LEN(TRIM(D186))&gt;0</formula>
    </cfRule>
  </conditionalFormatting>
  <conditionalFormatting sqref="H81:M81 G89 J89:N89 G91 G98 J98:N98 G100 H120:M120 G128 J128:N128 G130 G137 J137:N137 G139 G157">
    <cfRule type="notContainsBlanks" dxfId="596" priority="10">
      <formula>LEN(TRIM(G81))&gt;0</formula>
    </cfRule>
  </conditionalFormatting>
  <conditionalFormatting sqref="I169 I171 I241 I243 I285 I287 I328 I330 I369 I371 I497 I499 I570 I572">
    <cfRule type="containsText" dxfId="595" priority="103" operator="containsText" text="Complété">
      <formula>NOT(ISERROR(SEARCH("Complété",I169)))</formula>
    </cfRule>
    <cfRule type="containsText" dxfId="594" priority="104" operator="containsText" text="À compléter">
      <formula>NOT(ISERROR(SEARCH("À compléter",I169)))</formula>
    </cfRule>
  </conditionalFormatting>
  <conditionalFormatting sqref="O24 O45 O67 O179 O251 O295 O338 O375 O507 O580 O646">
    <cfRule type="containsText" dxfId="593" priority="109" operator="containsText" text="Complété">
      <formula>NOT(ISERROR(SEARCH("Complété",O24)))</formula>
    </cfRule>
    <cfRule type="containsText" dxfId="592" priority="110" operator="containsText" text="À compléter">
      <formula>NOT(ISERROR(SEARCH("À compléter",O24)))</formula>
    </cfRule>
  </conditionalFormatting>
  <dataValidations count="2">
    <dataValidation type="list" allowBlank="1" showInputMessage="1" showErrorMessage="1" sqref="L160:L161 L163:L165" xr:uid="{00000000-0002-0000-0400-000000000000}">
      <formula1>$E$18:$E$22</formula1>
    </dataValidation>
    <dataValidation allowBlank="1" showInputMessage="1" showErrorMessage="1" promptTitle="Explications: " prompt="Indiquer le total des coûts additionnels à planifier sur la ligne rose. Ce coût peut être un montant global ou l'addition des coûts inscrits sur les lignes jaunes facultatives, qui permettent de détailler ces coûts additionnels (plus de détails dans AIDE)" sqref="D414 D438 D421 D430 D444 D459 D466 D475 D483 D489" xr:uid="{00000000-0002-0000-0400-000001000000}"/>
  </dataValidations>
  <hyperlinks>
    <hyperlink ref="C16" location="'FORMULAIRE PGA Eau potable'!A577" display="Partie 7A" xr:uid="{00000000-0004-0000-0400-000000000000}"/>
    <hyperlink ref="C8" location="'FORMULAIRE PGA Eau potable'!A21" display="Partie 1" xr:uid="{00000000-0004-0000-0400-000001000000}"/>
    <hyperlink ref="C9" location="'FORMULAIRE PGA Eau potable'!A64" display="Partie 2" xr:uid="{00000000-0004-0000-0400-000002000000}"/>
    <hyperlink ref="C10" location="'FORMULAIRE PGA Eau potable'!A176" display="Partie 3" xr:uid="{00000000-0004-0000-0400-000003000000}"/>
    <hyperlink ref="C12" location="'FORMULAIRE PGA Eau potable'!A292" display="Partie 4B" xr:uid="{00000000-0004-0000-0400-000004000000}"/>
    <hyperlink ref="H173:I173" location="'SOMMAIRE PGA Eau potable'!B6" display="Voir le sommaire du portrait des actifs" xr:uid="{00000000-0004-0000-0400-000005000000}"/>
    <hyperlink ref="H245:I245" location="'SOMMAIRE PGA Eau potable'!B29" display="Voir le sommaire niveaux de service" xr:uid="{00000000-0004-0000-0400-000006000000}"/>
    <hyperlink ref="C13" location="'FORMULAIRE PGA Eau potable'!A335" display="Partie 5A" xr:uid="{00000000-0004-0000-0400-000007000000}"/>
    <hyperlink ref="C15" location="'FORMULAIRE PGA Eau potable'!A504" display="Partie 6" xr:uid="{00000000-0004-0000-0400-000008000000}"/>
    <hyperlink ref="C11" location="'FORMULAIRE PGA Eau potable'!A248" display="Partie 4A" xr:uid="{00000000-0004-0000-0400-000009000000}"/>
    <hyperlink ref="C14" location="'FORMULAIRE PGA Eau potable'!A375" display="Partie 5B" xr:uid="{00000000-0004-0000-0400-00000A000000}"/>
    <hyperlink ref="C17" location="'FORMULAIRE PGA Eau potable'!A643" display="Partie 7B" xr:uid="{00000000-0004-0000-0400-00000B000000}"/>
    <hyperlink ref="H332:I332" location="'SOMMAIRE PGA Eau potable'!AQ46" display="Voir le sommaire de la demande à venir" xr:uid="{00000000-0004-0000-0400-00000C000000}"/>
    <hyperlink ref="H289:I289" location="'SOMMAIRE PGA Eau potable'!C46" display="Voir le sommaire pour les risques" xr:uid="{00000000-0004-0000-0400-00000D000000}"/>
    <hyperlink ref="H501:I501" location="'SOMMAIRE PGA Eau potable'!B54" display="Voir le sommaire cycle de vie" xr:uid="{00000000-0004-0000-0400-00000E000000}"/>
    <hyperlink ref="H574:I574" location="'SOMMAIRE PGA Eau potable'!B95" display="Voir le sommaire du financement" xr:uid="{00000000-0004-0000-0400-00000F000000}"/>
    <hyperlink ref="H640:I640" location="'SOMMAIRE PGA Eau potable'!AQ111" display="Voir le sommaire du niveau de confiance" xr:uid="{00000000-0004-0000-0400-000010000000}"/>
    <hyperlink ref="H702:I702" location="'SOMMAIRE PGA Eau potable'!C111" display="Voir le sommaire du niveau de progression" xr:uid="{00000000-0004-0000-0400-000011000000}"/>
    <hyperlink ref="J169:P169" location="'FORMULAIRE PGA Eau potable'!A604" display="Aller à la partie 7 pour déterminer maintenant le niveau de confiance de votre municipalité pour cette partie du PGA" xr:uid="{00000000-0004-0000-0400-000012000000}"/>
    <hyperlink ref="J171:P171" location="'FORMULAIRE PGA Eau potable'!A670" display="Aller à la partie 7 pour déterminer maintenant le niveau de progression de votre municipalité pour cette partie du PGA" xr:uid="{00000000-0004-0000-0400-000013000000}"/>
    <hyperlink ref="J241:P241" location="'FORMULAIRE PGA Eau potable'!A612" display="Aller à la partie 7 pour déterminer maintenant le niveau de confiance de votre municipalité pour cette partie du PGA" xr:uid="{00000000-0004-0000-0400-000014000000}"/>
    <hyperlink ref="J243:P243" location="'FORMULAIRE PGA Eau potable'!A674" display="Aller à la partie 7 pour déterminer maintenant le niveau de progression de votre municipalité pour cette partie du PGA" xr:uid="{00000000-0004-0000-0400-000015000000}"/>
    <hyperlink ref="J328:P328" location="'FORMULAIRE PGA Eau potable'!A620" display="Aller à la partie 7 pour déterminer maintenant le niveau de confiance de votre municipalité pour cette partie du PGA" xr:uid="{00000000-0004-0000-0400-000016000000}"/>
    <hyperlink ref="J330:P330" location="'FORMULAIRE PGA Eau potable'!A681" display="Aller à la partie 7 pour déterminer maintenant le niveau de progression de votre municipalité pour cette partie du PGA" xr:uid="{00000000-0004-0000-0400-000017000000}"/>
    <hyperlink ref="J285:P285" location="'FORMULAIRE PGA Eau potable'!A616" display="Aller à la partie 7 pour déterminer maintenant le niveau de confiance de votre municipalité pour cette partie du PGA" xr:uid="{00000000-0004-0000-0400-000018000000}"/>
    <hyperlink ref="J287:P287" location="'FORMULAIRE PGA Eau potable'!A678" display="Aller à la partie 7 pour déterminer maintenant le niveau de progression de votre municipalité pour cette partie du PGA" xr:uid="{00000000-0004-0000-0400-000019000000}"/>
    <hyperlink ref="J369:P369" location="'FORMULAIRE PGA Eau potable'!A624" display="Aller à la partie 7 pour déterminer maintenant le niveau de confiance de votre municipalité pour cette partie du PGA" xr:uid="{00000000-0004-0000-0400-00001A000000}"/>
    <hyperlink ref="J371:P371" location="'FORMULAIRE PGA Eau potable'!A684" display="Aller à la partie 7 pour déterminer maintenant le niveau de progression de votre municipalité pour cette partie du PGA" xr:uid="{00000000-0004-0000-0400-00001B000000}"/>
    <hyperlink ref="J497:P497" location="'FORMULAIRE PGA Eau potable'!A624" display="Aller à la partie 7 pour déterminer maintenant le niveau de confiance de votre municipalité pour cette partie du PGA" xr:uid="{00000000-0004-0000-0400-00001C000000}"/>
    <hyperlink ref="J499:P499" location="'FORMULAIRE PGA Eau potable'!A684" display="Aller à la partie 7 pour déterminer maintenant le niveau de progression de votre municipalité pour cette partie du PGA" xr:uid="{00000000-0004-0000-0400-00001D000000}"/>
    <hyperlink ref="J570:P570" location="'FORMULAIRE PGA Eau potable'!A633" display="Aller à la partie 7 pour déterminer maintenant le niveau de confiance de votre municipalité pour cette partie du PGA" xr:uid="{00000000-0004-0000-0400-00001E000000}"/>
    <hyperlink ref="J572:P572" location="'FORMULAIRE PGA Eau potable'!A692" display="Aller à la partie 7 pour déterminer maintenant le niveau de progression de votre municipalité pour cette partie du PGA" xr:uid="{00000000-0004-0000-0400-00001F000000}"/>
    <hyperlink ref="C604" location="'FORMULAIRE PGA Eau potable'!A64" display="PORTRAIT DES ACTIFS" xr:uid="{00000000-0004-0000-0400-000020000000}"/>
    <hyperlink ref="C612" location="'FORMULAIRE PGA Eau potable'!A176" display="NIVEAUX DE SERVICE" xr:uid="{00000000-0004-0000-0400-000021000000}"/>
    <hyperlink ref="C620" location="'FORMULAIRE PGA Eau potable'!A292" display="DEMANDE À VENIR" xr:uid="{00000000-0004-0000-0400-000022000000}"/>
    <hyperlink ref="C616" location="'FORMULAIRE PGA Eau potable'!A248" display="GESTION DES RISQUES" xr:uid="{00000000-0004-0000-0400-000023000000}"/>
    <hyperlink ref="C624" location="'FORMULAIRE PGA Eau potable'!A375" display="CYCLE DE VIE - IMMOBILISATIONS" xr:uid="{00000000-0004-0000-0400-000024000000}"/>
    <hyperlink ref="C629" location="'FORMULAIRE PGA Eau potable'!A375" display="CYCLE DE VIE - FONCTIONNEMENT" xr:uid="{00000000-0004-0000-0400-000025000000}"/>
    <hyperlink ref="C633" location="'FORMULAIRE PGA Eau potable'!A504" display="RÉSUMÉ FINANCIER" xr:uid="{00000000-0004-0000-0400-000026000000}"/>
    <hyperlink ref="C670" location="'FORMULAIRE PGA Eau potable'!A64" display="PORTRAIT DES ACTIFS" xr:uid="{00000000-0004-0000-0400-000027000000}"/>
    <hyperlink ref="C674" location="'FORMULAIRE PGA Eau potable'!A176" display="NIVEAUX DE SERVICES" xr:uid="{00000000-0004-0000-0400-000028000000}"/>
    <hyperlink ref="C681" location="'FORMULAIRE PGA Eau potable'!A292" display="DEMANDE À VENIR" xr:uid="{00000000-0004-0000-0400-000029000000}"/>
    <hyperlink ref="C678" location="'FORMULAIRE PGA Eau potable'!A248" display="GESTION DES RISQUES" xr:uid="{00000000-0004-0000-0400-00002A000000}"/>
    <hyperlink ref="C684" location="'FORMULAIRE PGA Eau potable'!A375" display="CYCLE DE VIE - IMMOBILISATIONS" xr:uid="{00000000-0004-0000-0400-00002B000000}"/>
    <hyperlink ref="C688" location="'FORMULAIRE PGA Eau potable'!A375" display="CYCLE DE VIE - FONCTIONNEMENT" xr:uid="{00000000-0004-0000-0400-00002C000000}"/>
    <hyperlink ref="C692" location="'FORMULAIRE PGA Eau potable'!A504" display="RÉSUMÉ FINANCIER" xr:uid="{00000000-0004-0000-0400-00002D000000}"/>
    <hyperlink ref="C697" location="'FORMULAIRE PGA Eau potable'!A577" display="AMÉLIORATION ET SUIVI" xr:uid="{00000000-0004-0000-0400-00002E000000}"/>
    <hyperlink ref="C18" location="'FORMULAIRE PGA Eau potable'!A705" display="Partie 8" xr:uid="{00000000-0004-0000-0400-00002F000000}"/>
    <hyperlink ref="O21:Q21" location="AIDE!A21" display="AIDE" xr:uid="{00000000-0004-0000-0400-000030000000}"/>
    <hyperlink ref="O64:Q64" location="AIDE!A47" display="AIDE" xr:uid="{00000000-0004-0000-0400-000031000000}"/>
    <hyperlink ref="O176:Q176" location="AIDE!A87" display="AIDE" xr:uid="{00000000-0004-0000-0400-000032000000}"/>
    <hyperlink ref="O248:Q248" location="AIDE!A137" display="AIDE" xr:uid="{00000000-0004-0000-0400-000033000000}"/>
    <hyperlink ref="O292:Q292" location="AIDE!A137" display="AIDE" xr:uid="{00000000-0004-0000-0400-000034000000}"/>
    <hyperlink ref="O335:Q335" location="AIDE!A173" display="AIDE" xr:uid="{00000000-0004-0000-0400-000035000000}"/>
    <hyperlink ref="O504:Q504" location="AIDE!A216" display="AIDE" xr:uid="{00000000-0004-0000-0400-000036000000}"/>
    <hyperlink ref="O577:Q577" location="AIDE!A236" display="AIDE" xr:uid="{00000000-0004-0000-0400-000037000000}"/>
    <hyperlink ref="O643:Q643" location="AIDE!A236" display="AIDE" xr:uid="{00000000-0004-0000-0400-000038000000}"/>
    <hyperlink ref="O705:Q705" location="AIDE!A267" display="AIDE" xr:uid="{00000000-0004-0000-0400-000039000000}"/>
  </hyperlinks>
  <pageMargins left="0.82677165354330717" right="0.62992125984251968" top="0.47244094488188981" bottom="0.47244094488188981" header="0.31496062992125984" footer="0.31496062992125984"/>
  <pageSetup scale="54" fitToHeight="0" orientation="landscape" r:id="rId1"/>
  <headerFooter>
    <oddFooter>&amp;L&amp;K08-042Version 1.0    © CERIU, 2023&amp;R&amp;K08-040FORMULAIRE PGA Eau potable
Page &amp;P / &amp;N</oddFooter>
  </headerFooter>
  <rowBreaks count="17" manualBreakCount="17">
    <brk id="63" max="16383" man="1"/>
    <brk id="116" max="16383" man="1"/>
    <brk id="175" max="16383" man="1"/>
    <brk id="211" max="16383" man="1"/>
    <brk id="247" max="16383" man="1"/>
    <brk id="291" max="16383" man="1"/>
    <brk id="334" max="16383" man="1"/>
    <brk id="373" max="16383" man="1"/>
    <brk id="405" max="16383" man="1"/>
    <brk id="450" max="17" man="1"/>
    <brk id="503" max="16383" man="1"/>
    <brk id="541" max="16383" man="1"/>
    <brk id="576" max="16383" man="1"/>
    <brk id="598" max="16383" man="1"/>
    <brk id="642" max="16383" man="1"/>
    <brk id="664" max="16383" man="1"/>
    <brk id="704" max="16383" man="1"/>
  </rowBreaks>
  <colBreaks count="1" manualBreakCount="1">
    <brk id="1" max="729" man="1"/>
  </colBreaks>
  <ignoredErrors>
    <ignoredError sqref="G612 G616 G624 G629 G633 L612 L616 L624 L629 L633 G684 G688 G692 L692 L688 L684" formula="1"/>
  </ignoredErrors>
  <extLst>
    <ext xmlns:x14="http://schemas.microsoft.com/office/spreadsheetml/2009/9/main" uri="{78C0D931-6437-407d-A8EE-F0AAD7539E65}">
      <x14:conditionalFormattings>
        <x14:conditionalFormatting xmlns:xm="http://schemas.microsoft.com/office/excel/2006/main">
          <x14:cfRule type="notContainsBlanks" priority="24" id="{1AE9125C-B971-4A72-ABF3-6D29FFB3296D}">
            <xm:f>LEN(TRIM(IDENTIFICATION!D31))&gt;0</xm:f>
            <x14:dxf>
              <fill>
                <patternFill>
                  <bgColor theme="9" tint="0.59996337778862885"/>
                </patternFill>
              </fill>
            </x14:dxf>
          </x14:cfRule>
          <xm:sqref>D30 M30</xm:sqref>
        </x14:conditionalFormatting>
        <x14:conditionalFormatting xmlns:xm="http://schemas.microsoft.com/office/excel/2006/main">
          <x14:cfRule type="notContainsBlanks" priority="429" id="{5927632D-7FC7-4D93-A3FA-B6FF789DA4A2}">
            <xm:f>LEN(TRIM(IDENTIFICATION!E49))&gt;0</xm:f>
            <x14:dxf>
              <fill>
                <patternFill>
                  <bgColor theme="9" tint="0.59996337778862885"/>
                </patternFill>
              </fill>
            </x14:dxf>
          </x14:cfRule>
          <xm:sqref>E51 E53</xm:sqref>
        </x14:conditionalFormatting>
        <x14:conditionalFormatting xmlns:xm="http://schemas.microsoft.com/office/excel/2006/main">
          <x14:cfRule type="notContainsBlanks" priority="21" id="{1061C045-C8AE-4960-8996-F8E0314451D4}">
            <xm:f>LEN(TRIM(IDENTIFICATION!F55))&gt;0</xm:f>
            <x14:dxf>
              <fill>
                <patternFill>
                  <bgColor theme="9" tint="0.59996337778862885"/>
                </patternFill>
              </fill>
            </x14:dxf>
          </x14:cfRule>
          <xm:sqref>E55 E57:E60</xm:sqref>
        </x14:conditionalFormatting>
      </x14:conditionalFormattings>
    </ext>
    <ext xmlns:x14="http://schemas.microsoft.com/office/spreadsheetml/2009/9/main" uri="{CCE6A557-97BC-4b89-ADB6-D9C93CAAB3DF}">
      <x14:dataValidations xmlns:xm="http://schemas.microsoft.com/office/excel/2006/main" count="19">
        <x14:dataValidation type="list" allowBlank="1" showInputMessage="1" showErrorMessage="1" xr:uid="{00000000-0002-0000-0400-000002000000}">
          <x14:formula1>
            <xm:f>'MENU DÉROULANT'!$D$110:$D$114</xm:f>
          </x14:formula1>
          <xm:sqref>F613:F614 K613:K614 F617:F618 K617:K618 F621:F622 K621:K622 F625:F627 F630:F631 K625:K627 K630:K631 F634:F636 K634:K636</xm:sqref>
        </x14:dataValidation>
        <x14:dataValidation type="list" allowBlank="1" showInputMessage="1" showErrorMessage="1" xr:uid="{00000000-0002-0000-0400-000003000000}">
          <x14:formula1>
            <xm:f>'MENU DÉROULANT'!$E$110:$E$115</xm:f>
          </x14:formula1>
          <xm:sqref>F671:F672 K671:K672</xm:sqref>
        </x14:dataValidation>
        <x14:dataValidation type="list" allowBlank="1" showInputMessage="1" showErrorMessage="1" xr:uid="{00000000-0002-0000-0400-000004000000}">
          <x14:formula1>
            <xm:f>'MENU DÉROULANT'!$E$73:$E$76</xm:f>
          </x14:formula1>
          <xm:sqref>H220:H229</xm:sqref>
        </x14:dataValidation>
        <x14:dataValidation type="list" allowBlank="1" showInputMessage="1" showErrorMessage="1" xr:uid="{00000000-0002-0000-0400-000005000000}">
          <x14:formula1>
            <xm:f>'MENU DÉROULANT'!$C$85:$C$88</xm:f>
          </x14:formula1>
          <xm:sqref>F269:H274</xm:sqref>
        </x14:dataValidation>
        <x14:dataValidation type="list" allowBlank="1" showInputMessage="1" showErrorMessage="1" xr:uid="{00000000-0002-0000-0400-000006000000}">
          <x14:formula1>
            <xm:f>'MENU DÉROULANT'!$C$110:$C$113</xm:f>
          </x14:formula1>
          <xm:sqref>H605:H610 M605:M610 H613:H614 M613:M614 H617:H618 M617:M618 H621:H622 M621:M622 H625:H627 M625:M627 H630:H631 M630:M631 H634:H636 M634:M636 H671:H672 M671:M672 H675:H676 M675:M676 H679 M679 H682 M682 H685:H686 M685:M686 H689:H690 M689:M690 H693:H695 M693:M695 H698 M698</xm:sqref>
        </x14:dataValidation>
        <x14:dataValidation type="list" allowBlank="1" showInputMessage="1" showErrorMessage="1" xr:uid="{00000000-0002-0000-0400-000007000000}">
          <x14:formula1>
            <xm:f>'MENU DÉROULANT'!$F$73:$F$76</xm:f>
          </x14:formula1>
          <xm:sqref>I220:J229</xm:sqref>
        </x14:dataValidation>
        <x14:dataValidation type="list" allowBlank="1" showInputMessage="1" showErrorMessage="1" xr:uid="{00000000-0002-0000-0400-000008000000}">
          <x14:formula1>
            <xm:f>'MENU DÉROULANT'!$C$73:$C$77</xm:f>
          </x14:formula1>
          <xm:sqref>F220:F229</xm:sqref>
        </x14:dataValidation>
        <x14:dataValidation type="list" allowBlank="1" showInputMessage="1" showErrorMessage="1" xr:uid="{00000000-0002-0000-0400-000009000000}">
          <x14:formula1>
            <xm:f>'MENU DÉROULANT'!$D$73:$D$74</xm:f>
          </x14:formula1>
          <xm:sqref>G220:G229</xm:sqref>
        </x14:dataValidation>
        <x14:dataValidation type="list" allowBlank="1" showInputMessage="1" showErrorMessage="1" xr:uid="{00000000-0002-0000-0400-00000A000000}">
          <x14:formula1>
            <xm:f>'MENU DÉROULANT'!$C$34:$C$35</xm:f>
          </x14:formula1>
          <xm:sqref>G157</xm:sqref>
        </x14:dataValidation>
        <x14:dataValidation type="list" allowBlank="1" showInputMessage="1" showErrorMessage="1" xr:uid="{00000000-0002-0000-0400-00000B000000}">
          <x14:formula1>
            <xm:f>'MENU DÉROULANT'!$F$34:$F$38</xm:f>
          </x14:formula1>
          <xm:sqref>K160:K165</xm:sqref>
        </x14:dataValidation>
        <x14:dataValidation type="list" allowBlank="1" showInputMessage="1" showErrorMessage="1" xr:uid="{00000000-0002-0000-0400-00000C000000}">
          <x14:formula1>
            <xm:f>'MENU DÉROULANT'!$C$28:$C$32</xm:f>
          </x14:formula1>
          <xm:sqref>H81</xm:sqref>
        </x14:dataValidation>
        <x14:dataValidation type="list" allowBlank="1" showInputMessage="1" showErrorMessage="1" xr:uid="{00000000-0002-0000-0400-00000D000000}">
          <x14:formula1>
            <xm:f>'MENU DÉROULANT'!$D$110:$D$115</xm:f>
          </x14:formula1>
          <xm:sqref>F605:F610 K605:K610</xm:sqref>
        </x14:dataValidation>
        <x14:dataValidation type="list" allowBlank="1" showInputMessage="1" showErrorMessage="1" xr:uid="{00000000-0002-0000-0400-00000E000000}">
          <x14:formula1>
            <xm:f>'MENU DÉROULANT'!$F$28:$F$32</xm:f>
          </x14:formula1>
          <xm:sqref>H120:M120</xm:sqref>
        </x14:dataValidation>
        <x14:dataValidation type="list" allowBlank="1" showInputMessage="1" showErrorMessage="1" xr:uid="{00000000-0002-0000-0400-00000F000000}">
          <x14:formula1>
            <xm:f>'MENU DÉROULANT'!$C$68:$C$70</xm:f>
          </x14:formula1>
          <xm:sqref>H186:K187</xm:sqref>
        </x14:dataValidation>
        <x14:dataValidation type="list" allowBlank="1" showInputMessage="1" showErrorMessage="1" xr:uid="{00000000-0002-0000-0400-000010000000}">
          <x14:formula1>
            <xm:f>'MENU DÉROULANT'!$C$81:$C$83</xm:f>
          </x14:formula1>
          <xm:sqref>H258:K259</xm:sqref>
        </x14:dataValidation>
        <x14:dataValidation type="list" allowBlank="1" showInputMessage="1" showErrorMessage="1" xr:uid="{00000000-0002-0000-0400-000011000000}">
          <x14:formula1>
            <xm:f>'MENU DÉROULANT'!$C$96:$C$100</xm:f>
          </x14:formula1>
          <xm:sqref>F312:H317</xm:sqref>
        </x14:dataValidation>
        <x14:dataValidation type="list" allowBlank="1" showInputMessage="1" showErrorMessage="1" xr:uid="{00000000-0002-0000-0400-000012000000}">
          <x14:formula1>
            <xm:f>'MENU DÉROULANT'!$C$92:$C$94</xm:f>
          </x14:formula1>
          <xm:sqref>H302:K303</xm:sqref>
        </x14:dataValidation>
        <x14:dataValidation type="list" allowBlank="1" showInputMessage="1" showErrorMessage="1" xr:uid="{00000000-0002-0000-0400-000013000000}">
          <x14:formula1>
            <xm:f>'MENU DÉROULANT'!$G$73:$G$74</xm:f>
          </x14:formula1>
          <xm:sqref>H199:I203</xm:sqref>
        </x14:dataValidation>
        <x14:dataValidation type="list" allowBlank="1" showInputMessage="1" showErrorMessage="1" xr:uid="{00000000-0002-0000-0400-000014000000}">
          <x14:formula1>
            <xm:f>'MENU DÉROULANT'!$E$110:$E$114</xm:f>
          </x14:formula1>
          <xm:sqref>F675:F676 K675:K676 F679 K679 F682 K682 F685:F686 K685:K686 F689:F690 K689:K690 F693:F695 K693:K695 F698 K698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249977111117893"/>
    <pageSetUpPr fitToPage="1"/>
  </sheetPr>
  <dimension ref="A1:AF407"/>
  <sheetViews>
    <sheetView workbookViewId="0"/>
  </sheetViews>
  <sheetFormatPr baseColWidth="10" defaultRowHeight="15" x14ac:dyDescent="0.25"/>
  <cols>
    <col min="1" max="1" width="3.7109375" style="55" customWidth="1"/>
    <col min="2" max="2" width="20.42578125" style="28" customWidth="1"/>
    <col min="3" max="3" width="1.5703125" style="28" customWidth="1"/>
    <col min="4" max="4" width="25.5703125" style="28" customWidth="1"/>
    <col min="5" max="5" width="13.42578125" style="28" customWidth="1"/>
    <col min="6" max="15" width="11.7109375" style="28" customWidth="1"/>
    <col min="16" max="16" width="74.28515625" style="28" customWidth="1"/>
    <col min="17" max="17" width="28.42578125" style="28" customWidth="1"/>
    <col min="18" max="18" width="1.28515625" style="28" customWidth="1"/>
    <col min="19" max="30" width="7.7109375" style="28" customWidth="1"/>
    <col min="31" max="31" width="2" style="28" customWidth="1"/>
    <col min="32" max="16384" width="11.42578125" style="28"/>
  </cols>
  <sheetData>
    <row r="1" spans="2:32" s="55" customFormat="1" ht="9" customHeight="1" thickBot="1" x14ac:dyDescent="0.3"/>
    <row r="2" spans="2:32" s="55" customFormat="1" ht="32.25" customHeight="1" x14ac:dyDescent="0.25">
      <c r="B2" s="1279" t="s">
        <v>1792</v>
      </c>
      <c r="C2" s="1280"/>
      <c r="D2" s="1281"/>
      <c r="E2" s="1281"/>
      <c r="F2" s="1281"/>
      <c r="G2" s="1281"/>
      <c r="H2" s="1281"/>
      <c r="I2" s="1281"/>
      <c r="J2" s="1281"/>
      <c r="K2" s="1281"/>
      <c r="L2" s="1281"/>
      <c r="M2" s="1281"/>
      <c r="N2" s="1281"/>
      <c r="O2" s="1281"/>
      <c r="P2" s="1281"/>
      <c r="Q2" s="1282"/>
      <c r="R2" s="1282"/>
      <c r="S2" s="1282"/>
      <c r="T2" s="1282"/>
      <c r="U2" s="1282"/>
      <c r="V2" s="1282"/>
      <c r="W2" s="1282"/>
      <c r="X2" s="1282"/>
      <c r="Y2" s="1282"/>
      <c r="Z2" s="1282"/>
      <c r="AA2" s="1282"/>
      <c r="AB2" s="1282"/>
      <c r="AC2" s="1282"/>
      <c r="AD2" s="1282"/>
      <c r="AE2" s="1282"/>
      <c r="AF2" s="1282"/>
    </row>
    <row r="3" spans="2:32" s="55" customFormat="1" ht="57.75" customHeight="1" x14ac:dyDescent="0.25">
      <c r="B3" s="2581"/>
      <c r="P3" s="2582" t="s">
        <v>2149</v>
      </c>
    </row>
    <row r="4" spans="2:32" ht="31.5" customHeight="1" x14ac:dyDescent="0.35">
      <c r="B4" s="1283" t="s">
        <v>248</v>
      </c>
      <c r="C4" s="1283"/>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row>
    <row r="6" spans="2:32" ht="26.25" customHeight="1" x14ac:dyDescent="0.3">
      <c r="B6" s="1285" t="s">
        <v>164</v>
      </c>
      <c r="C6" s="1285"/>
      <c r="D6" s="1285"/>
      <c r="E6" s="1285"/>
      <c r="F6" s="1285"/>
      <c r="G6" s="1285"/>
      <c r="H6" s="1285"/>
      <c r="I6" s="1285"/>
      <c r="J6" s="1285"/>
      <c r="K6" s="1285"/>
      <c r="L6" s="1285"/>
      <c r="M6" s="1285"/>
      <c r="N6" s="1285"/>
      <c r="O6" s="1285"/>
      <c r="P6" s="1285"/>
      <c r="Q6" s="1285"/>
      <c r="R6" s="1285"/>
      <c r="S6" s="1285"/>
      <c r="T6" s="1285"/>
      <c r="U6" s="1285"/>
      <c r="V6" s="1285"/>
      <c r="W6" s="1285"/>
      <c r="X6" s="1285"/>
      <c r="Y6" s="1285"/>
      <c r="Z6" s="1285"/>
      <c r="AA6" s="1285"/>
      <c r="AB6" s="1285"/>
      <c r="AC6" s="1285"/>
      <c r="AD6" s="1285"/>
      <c r="AE6" s="1285"/>
      <c r="AF6" s="1285"/>
    </row>
    <row r="7" spans="2:32" ht="21" x14ac:dyDescent="0.35">
      <c r="B7" s="1767"/>
      <c r="C7" s="1767"/>
    </row>
    <row r="8" spans="2:32" x14ac:dyDescent="0.25">
      <c r="D8" s="1286" t="s">
        <v>160</v>
      </c>
      <c r="E8" s="1287"/>
      <c r="G8" s="1288" t="str">
        <f>IF(ISBLANK('FORMULAIRE PGA Eau potable'!H30)=TRUE,"##",'FORMULAIRE PGA Eau potable'!H30)</f>
        <v/>
      </c>
      <c r="H8" s="1289"/>
      <c r="I8" s="1289"/>
      <c r="J8" s="1289"/>
      <c r="K8" s="1287"/>
    </row>
    <row r="9" spans="2:32" x14ac:dyDescent="0.25">
      <c r="D9" s="1286" t="s">
        <v>159</v>
      </c>
      <c r="E9" s="1287"/>
      <c r="G9" s="1288" t="str">
        <f>IF(ISBLANK('FORMULAIRE PGA Eau potable'!D30)=TRUE,"##",'FORMULAIRE PGA Eau potable'!D30)</f>
        <v/>
      </c>
      <c r="H9" s="1289"/>
      <c r="I9" s="1289"/>
      <c r="J9" s="1289"/>
      <c r="K9" s="1287"/>
    </row>
    <row r="10" spans="2:32" x14ac:dyDescent="0.25">
      <c r="D10" s="1286" t="s">
        <v>158</v>
      </c>
      <c r="E10" s="1287"/>
      <c r="G10" s="1288" t="str">
        <f>IF(ISBLANK('FORMULAIRE PGA Eau potable'!M30)=TRUE,"##",'FORMULAIRE PGA Eau potable'!M30)</f>
        <v/>
      </c>
      <c r="H10" s="1289"/>
      <c r="I10" s="1289"/>
      <c r="J10" s="1289"/>
      <c r="K10" s="1287"/>
    </row>
    <row r="11" spans="2:32" x14ac:dyDescent="0.25">
      <c r="D11" s="1250" t="s">
        <v>285</v>
      </c>
      <c r="E11" s="1768"/>
      <c r="G11" s="1290" t="str">
        <f>IF(ISBLANK('FORMULAIRE PGA Eau potable'!E51)=TRUE,"##",'FORMULAIRE PGA Eau potable'!E51)</f>
        <v/>
      </c>
      <c r="H11" s="1289"/>
      <c r="I11" s="1289"/>
      <c r="J11" s="1289"/>
      <c r="K11" s="1287"/>
      <c r="L11" s="104"/>
    </row>
    <row r="12" spans="2:32" x14ac:dyDescent="0.25">
      <c r="D12" s="1769"/>
      <c r="E12" s="1770"/>
      <c r="G12" s="1291" t="s">
        <v>1794</v>
      </c>
      <c r="H12" s="1292" t="str">
        <f>IF(ISBLANK('FORMULAIRE PGA Eau potable'!E53)=TRUE,"##",'FORMULAIRE PGA Eau potable'!E53)</f>
        <v/>
      </c>
      <c r="I12" s="1286" t="s">
        <v>1793</v>
      </c>
      <c r="J12" s="1289"/>
      <c r="K12" s="1287"/>
      <c r="L12" s="104"/>
      <c r="M12" s="919"/>
      <c r="N12" s="919"/>
    </row>
    <row r="13" spans="2:32" x14ac:dyDescent="0.25">
      <c r="D13" s="1286" t="s">
        <v>1795</v>
      </c>
      <c r="E13" s="1287"/>
      <c r="G13" s="1293" t="str">
        <f>IF(ISBLANK('FORMULAIRE PGA Eau potable'!E55)=TRUE,"##",'FORMULAIRE PGA Eau potable'!E55)</f>
        <v/>
      </c>
      <c r="H13" s="1289"/>
      <c r="I13" s="1289"/>
      <c r="J13" s="1289"/>
      <c r="K13" s="1287"/>
      <c r="L13" s="104"/>
    </row>
    <row r="16" spans="2:32" ht="31.5" customHeight="1" x14ac:dyDescent="0.35">
      <c r="B16" s="1283" t="s">
        <v>249</v>
      </c>
      <c r="C16" s="1283"/>
      <c r="D16" s="1284"/>
      <c r="E16" s="1284"/>
      <c r="F16" s="1284"/>
      <c r="G16" s="1284"/>
      <c r="H16" s="1284"/>
      <c r="I16" s="1284"/>
      <c r="J16" s="1284"/>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84"/>
    </row>
    <row r="18" spans="1:32" ht="22.5" customHeight="1" x14ac:dyDescent="0.3">
      <c r="B18" s="1285" t="s">
        <v>167</v>
      </c>
      <c r="C18" s="1285"/>
      <c r="D18" s="1285"/>
      <c r="E18" s="1285"/>
      <c r="F18" s="1285"/>
      <c r="G18" s="1285"/>
      <c r="H18" s="1285"/>
      <c r="I18" s="1285"/>
      <c r="J18" s="1285"/>
      <c r="K18" s="1285"/>
      <c r="L18" s="1285"/>
      <c r="M18" s="1285"/>
      <c r="N18" s="1285"/>
      <c r="O18" s="1285"/>
      <c r="P18" s="1285"/>
      <c r="Q18" s="1285"/>
      <c r="R18" s="1285"/>
      <c r="S18" s="1285"/>
      <c r="T18" s="1285"/>
      <c r="U18" s="1285"/>
      <c r="V18" s="1285"/>
      <c r="W18" s="1285"/>
      <c r="X18" s="1285"/>
      <c r="Y18" s="1285"/>
      <c r="Z18" s="1285"/>
      <c r="AA18" s="1285"/>
      <c r="AB18" s="1285"/>
      <c r="AC18" s="1285"/>
      <c r="AD18" s="1285"/>
      <c r="AE18" s="1285"/>
      <c r="AF18" s="1285"/>
    </row>
    <row r="19" spans="1:32" ht="22.5" customHeight="1" x14ac:dyDescent="0.3">
      <c r="B19" s="1294"/>
      <c r="C19" s="1294"/>
      <c r="D19" s="1294"/>
      <c r="E19" s="1294"/>
      <c r="F19" s="1294"/>
      <c r="G19" s="1294"/>
      <c r="H19" s="1294"/>
      <c r="I19" s="1294"/>
      <c r="J19" s="1294"/>
      <c r="M19" s="1294"/>
      <c r="N19" s="1294"/>
      <c r="O19" s="1294"/>
      <c r="P19" s="1294"/>
      <c r="Q19" s="1294"/>
      <c r="R19" s="1294"/>
      <c r="S19" s="1294"/>
      <c r="T19" s="1294"/>
      <c r="U19" s="1294"/>
    </row>
    <row r="20" spans="1:32" s="72" customFormat="1" ht="43.5" customHeight="1" x14ac:dyDescent="0.25">
      <c r="A20" s="82"/>
      <c r="B20" s="1295"/>
      <c r="C20" s="1296"/>
      <c r="D20" s="1297"/>
      <c r="E20" s="1298" t="s">
        <v>71</v>
      </c>
      <c r="F20" s="1299" t="s">
        <v>127</v>
      </c>
      <c r="G20" s="1300" t="s">
        <v>1805</v>
      </c>
      <c r="H20" s="1297"/>
      <c r="I20" s="1299" t="s">
        <v>1806</v>
      </c>
      <c r="J20" s="1301" t="s">
        <v>2157</v>
      </c>
      <c r="K20" s="82"/>
      <c r="L20" s="82"/>
      <c r="M20" s="82"/>
      <c r="N20" s="82"/>
      <c r="O20" s="82"/>
    </row>
    <row r="21" spans="1:32" x14ac:dyDescent="0.25">
      <c r="B21" s="1302"/>
      <c r="C21" s="1303"/>
      <c r="D21" s="1304" t="s">
        <v>1518</v>
      </c>
      <c r="E21" s="1305">
        <f>'FORMULAIRE PGA Eau potable'!G91</f>
        <v>0</v>
      </c>
      <c r="F21" s="1306" t="str">
        <f>IF(G21=0,"Aucun",G21)</f>
        <v>Aucun</v>
      </c>
      <c r="G21" s="1307">
        <f>'FORMULAIRE PGA Eau potable'!G89</f>
        <v>0</v>
      </c>
      <c r="H21" s="1308"/>
      <c r="I21" s="1309" t="e">
        <f t="shared" ref="I21:I26" si="0">E21/$E$28</f>
        <v>#DIV/0!</v>
      </c>
      <c r="J21" s="369">
        <f>ROUNDDOWN(AVERAGE('FORMULAIRE PGA Eau potable'!G605,'FORMULAIRE PGA Eau potable'!G607),0)</f>
        <v>0</v>
      </c>
      <c r="K21" s="3286" t="s">
        <v>1528</v>
      </c>
      <c r="L21" s="1310" t="str">
        <f>D21</f>
        <v>Approvisionnement&amp;Traitement / Linéaire</v>
      </c>
      <c r="M21" s="55"/>
      <c r="N21" s="1311"/>
      <c r="O21" s="1311"/>
      <c r="P21" s="3279"/>
      <c r="Q21" s="1310"/>
      <c r="R21" s="1310"/>
      <c r="S21" s="1310"/>
      <c r="T21" s="1310"/>
    </row>
    <row r="22" spans="1:32" ht="19.5" customHeight="1" x14ac:dyDescent="0.25">
      <c r="B22" s="1312"/>
      <c r="C22" s="1313"/>
      <c r="D22" s="1314" t="s">
        <v>1519</v>
      </c>
      <c r="E22" s="1315">
        <f>'FORMULAIRE PGA Eau potable'!G100</f>
        <v>0</v>
      </c>
      <c r="F22" s="1316" t="str">
        <f>IF(G22=0,"Aucun",G22)</f>
        <v>Aucun</v>
      </c>
      <c r="G22" s="1317">
        <f>'FORMULAIRE PGA Eau potable'!G98</f>
        <v>0</v>
      </c>
      <c r="H22" s="1308"/>
      <c r="I22" s="1318" t="e">
        <f t="shared" si="0"/>
        <v>#DIV/0!</v>
      </c>
      <c r="J22" s="1319">
        <f>ROUNDDOWN(AVERAGE('FORMULAIRE PGA Eau potable'!G606,'FORMULAIRE PGA Eau potable'!G608),0)</f>
        <v>0</v>
      </c>
      <c r="K22" s="3286"/>
      <c r="L22" s="3288" t="str">
        <f>F21</f>
        <v>Aucun</v>
      </c>
      <c r="M22" s="3288"/>
      <c r="N22" s="3288"/>
      <c r="O22" s="1320"/>
      <c r="P22" s="3279"/>
    </row>
    <row r="23" spans="1:32" x14ac:dyDescent="0.25">
      <c r="B23" s="1321"/>
      <c r="C23" s="1322"/>
      <c r="D23" s="1323" t="s">
        <v>1520</v>
      </c>
      <c r="E23" s="1324">
        <f>'FORMULAIRE PGA Eau potable'!G112</f>
        <v>0</v>
      </c>
      <c r="F23" s="1325" t="str">
        <f>IF(AND(G23=0,H23=0),"Aucun",CONCATENATE(G23," km; ",H23," ouvrages"))</f>
        <v>Aucun</v>
      </c>
      <c r="G23" s="1335">
        <f>'FORMULAIRE PGA Eau potable'!G108</f>
        <v>0</v>
      </c>
      <c r="H23" s="1336">
        <f>'FORMULAIRE PGA Eau potable'!G110</f>
        <v>0</v>
      </c>
      <c r="I23" s="1337" t="e">
        <f t="shared" si="0"/>
        <v>#DIV/0!</v>
      </c>
      <c r="J23" s="2601"/>
      <c r="K23" s="3282" t="s">
        <v>1528</v>
      </c>
      <c r="L23" s="1310" t="str">
        <f>D22</f>
        <v>Approvisionnement&amp;Traitement / Ponctuel</v>
      </c>
      <c r="M23" s="55"/>
      <c r="N23" s="1320"/>
      <c r="O23" s="1320"/>
      <c r="P23" s="3279"/>
    </row>
    <row r="24" spans="1:32" ht="19.5" customHeight="1" x14ac:dyDescent="0.25">
      <c r="B24" s="1302"/>
      <c r="C24" s="1303"/>
      <c r="D24" s="1326" t="s">
        <v>177</v>
      </c>
      <c r="E24" s="1305">
        <f>'FORMULAIRE PGA Eau potable'!G130</f>
        <v>0</v>
      </c>
      <c r="F24" s="1306" t="str">
        <f>IF(G24=0,"Aucun",G24)</f>
        <v>Aucun</v>
      </c>
      <c r="G24" s="1307">
        <f>'FORMULAIRE PGA Eau potable'!G128</f>
        <v>0</v>
      </c>
      <c r="H24" s="1308"/>
      <c r="I24" s="1309" t="e">
        <f t="shared" si="0"/>
        <v>#DIV/0!</v>
      </c>
      <c r="J24" s="369">
        <f>ROUNDDOWN(AVERAGE('FORMULAIRE PGA Eau potable'!L605,'FORMULAIRE PGA Eau potable'!L607),0)</f>
        <v>0</v>
      </c>
      <c r="K24" s="3282"/>
      <c r="L24" s="3287" t="str">
        <f>F22</f>
        <v>Aucun</v>
      </c>
      <c r="M24" s="3287"/>
      <c r="N24" s="3287"/>
      <c r="O24" s="1311"/>
    </row>
    <row r="25" spans="1:32" x14ac:dyDescent="0.25">
      <c r="B25" s="1327"/>
      <c r="C25" s="1328"/>
      <c r="D25" s="1329" t="s">
        <v>178</v>
      </c>
      <c r="E25" s="1330">
        <f>'FORMULAIRE PGA Eau potable'!G139</f>
        <v>0</v>
      </c>
      <c r="F25" s="1331" t="str">
        <f>IF(G25=0,"Aucun",G25)</f>
        <v>Aucun</v>
      </c>
      <c r="G25" s="1317">
        <f>'FORMULAIRE PGA Eau potable'!G137</f>
        <v>0</v>
      </c>
      <c r="H25" s="1332"/>
      <c r="I25" s="1318" t="e">
        <f t="shared" si="0"/>
        <v>#DIV/0!</v>
      </c>
      <c r="J25" s="1319">
        <f>ROUNDDOWN(AVERAGE('FORMULAIRE PGA Eau potable'!L606,'FORMULAIRE PGA Eau potable'!L608),0)</f>
        <v>0</v>
      </c>
      <c r="K25" s="3285" t="s">
        <v>1528</v>
      </c>
      <c r="L25" s="1310" t="str">
        <f>D24</f>
        <v>Distribution / Linéaire</v>
      </c>
      <c r="M25" s="55"/>
      <c r="N25" s="1320"/>
      <c r="O25" s="1320"/>
    </row>
    <row r="26" spans="1:32" ht="19.5" customHeight="1" x14ac:dyDescent="0.25">
      <c r="B26" s="1333"/>
      <c r="C26" s="517"/>
      <c r="D26" s="1323" t="s">
        <v>268</v>
      </c>
      <c r="E26" s="1334">
        <f>'FORMULAIRE PGA Eau potable'!G151</f>
        <v>0</v>
      </c>
      <c r="F26" s="1325" t="str">
        <f>IF(AND(G26=0,H26=0),"Aucun",CONCATENATE(G26," km; ",H26," ouvrages"))</f>
        <v>Aucun</v>
      </c>
      <c r="G26" s="1335">
        <f>'FORMULAIRE PGA Eau potable'!G147</f>
        <v>0</v>
      </c>
      <c r="H26" s="1336">
        <f>'FORMULAIRE PGA Eau potable'!G149</f>
        <v>0</v>
      </c>
      <c r="I26" s="1337" t="e">
        <f t="shared" si="0"/>
        <v>#DIV/0!</v>
      </c>
      <c r="J26" s="2601"/>
      <c r="K26" s="3285"/>
      <c r="L26" s="3288" t="str">
        <f>F24</f>
        <v>Aucun</v>
      </c>
      <c r="M26" s="3288"/>
      <c r="N26" s="3288"/>
      <c r="O26" s="1320"/>
    </row>
    <row r="27" spans="1:32" ht="15" customHeight="1" x14ac:dyDescent="0.25">
      <c r="D27" s="1338"/>
      <c r="E27" s="1339"/>
      <c r="F27" s="1340"/>
      <c r="G27" s="1341"/>
      <c r="H27" s="1342"/>
      <c r="J27" s="1343" t="s">
        <v>163</v>
      </c>
      <c r="K27" s="3283" t="s">
        <v>1528</v>
      </c>
      <c r="L27" s="1310" t="str">
        <f>D25</f>
        <v>Distribution / Ponctuel</v>
      </c>
      <c r="M27" s="1320"/>
      <c r="N27" s="1320"/>
      <c r="O27" s="1320"/>
      <c r="P27" s="1428" t="s">
        <v>183</v>
      </c>
    </row>
    <row r="28" spans="1:32" ht="19.5" customHeight="1" x14ac:dyDescent="0.25">
      <c r="D28" s="1338" t="s">
        <v>1790</v>
      </c>
      <c r="E28" s="3266">
        <f>SUM(E21:E26)</f>
        <v>0</v>
      </c>
      <c r="F28" s="3266"/>
      <c r="G28" s="1341"/>
      <c r="H28" s="1342"/>
      <c r="I28" s="298" t="s">
        <v>40</v>
      </c>
      <c r="J28" s="369">
        <f>IF(I33=1,0,IF(I33=2,J21,IF(I33=3,J22,ROUNDDOWN(AVERAGE(J21:J22),0))))</f>
        <v>0</v>
      </c>
      <c r="K28" s="3284"/>
      <c r="L28" s="3287" t="str">
        <f>F25</f>
        <v>Aucun</v>
      </c>
      <c r="M28" s="3287"/>
      <c r="N28" s="3287"/>
      <c r="O28" s="1320"/>
      <c r="P28" s="1429" t="s">
        <v>2168</v>
      </c>
    </row>
    <row r="29" spans="1:32" ht="15" customHeight="1" x14ac:dyDescent="0.25">
      <c r="D29" s="1338"/>
      <c r="E29" s="3266"/>
      <c r="F29" s="3266"/>
      <c r="G29" s="1341"/>
      <c r="H29" s="1342"/>
      <c r="I29" s="298" t="s">
        <v>43</v>
      </c>
      <c r="J29" s="1344">
        <f>IF(I41=1,0,IF(I41=2,J24,IF(I41=3,J25,ROUNDDOWN(AVERAGE(J24:J25),0))))</f>
        <v>0</v>
      </c>
      <c r="K29" s="3281" t="s">
        <v>1528</v>
      </c>
      <c r="L29" s="1310" t="str">
        <f>D26</f>
        <v>Distribution / Autres actifs</v>
      </c>
      <c r="M29" s="1320"/>
      <c r="N29" s="1320"/>
      <c r="O29" s="1320"/>
      <c r="P29" s="2624" t="s">
        <v>2170</v>
      </c>
    </row>
    <row r="30" spans="1:32" ht="19.5" customHeight="1" x14ac:dyDescent="0.25">
      <c r="B30" s="1346" t="s">
        <v>1786</v>
      </c>
      <c r="C30" s="1346"/>
      <c r="D30" s="1347" t="s">
        <v>286</v>
      </c>
      <c r="E30" s="1348"/>
      <c r="F30" s="1342"/>
      <c r="G30" s="1341"/>
      <c r="H30" s="1342"/>
      <c r="J30" s="1344">
        <f>IF(I33=1,J29,IF(I41=1,J28,ROUNDDOWN(AVERAGE(J28:J29),0)))</f>
        <v>0</v>
      </c>
      <c r="K30" s="3281"/>
      <c r="L30" s="3287" t="str">
        <f>F26</f>
        <v>Aucun</v>
      </c>
      <c r="M30" s="3287"/>
      <c r="N30" s="3287"/>
      <c r="O30" s="1320"/>
      <c r="P30" s="1429" t="s">
        <v>2169</v>
      </c>
    </row>
    <row r="31" spans="1:32" x14ac:dyDescent="0.25">
      <c r="J31" s="1345"/>
      <c r="K31" s="3280" t="s">
        <v>1528</v>
      </c>
      <c r="L31" s="1310" t="s">
        <v>1787</v>
      </c>
      <c r="M31" s="1320"/>
      <c r="N31" s="1320"/>
      <c r="O31" s="1320"/>
    </row>
    <row r="32" spans="1:32" ht="15.75" customHeight="1" x14ac:dyDescent="0.25">
      <c r="B32" s="2588" t="s">
        <v>1796</v>
      </c>
      <c r="C32" s="2589"/>
      <c r="D32" s="2589"/>
      <c r="E32" s="2590"/>
      <c r="F32" s="2591"/>
      <c r="G32" s="2592"/>
      <c r="H32" s="2591"/>
      <c r="I32" s="2589"/>
      <c r="J32" s="1345"/>
      <c r="K32" s="3280"/>
      <c r="L32" s="1310" t="s">
        <v>1788</v>
      </c>
      <c r="M32" s="1320"/>
      <c r="N32" s="1320"/>
      <c r="O32" s="1320"/>
    </row>
    <row r="33" spans="2:18" ht="19.5" customHeight="1" x14ac:dyDescent="0.35">
      <c r="B33" s="2593" t="s">
        <v>1797</v>
      </c>
      <c r="C33" s="2593"/>
      <c r="D33" s="2594">
        <f>'FORMULAIRE PGA Eau potable'!H81</f>
        <v>0</v>
      </c>
      <c r="E33" s="2595"/>
      <c r="F33" s="2596"/>
      <c r="G33" s="2597"/>
      <c r="H33" s="2596"/>
      <c r="I33" s="2594">
        <f>IF('FORMULAIRE PGA Eau potable'!O81="",0,'FORMULAIRE PGA Eau potable'!O81)</f>
        <v>0</v>
      </c>
      <c r="J33" s="1345"/>
      <c r="K33" s="1349"/>
      <c r="L33" s="3287" t="str">
        <f>F23</f>
        <v>Aucun</v>
      </c>
      <c r="M33" s="3287"/>
      <c r="N33" s="3287"/>
      <c r="O33" s="1320"/>
    </row>
    <row r="34" spans="2:18" ht="15" customHeight="1" x14ac:dyDescent="0.25">
      <c r="B34" s="2589"/>
      <c r="C34" s="2589"/>
      <c r="D34" s="2598" t="s">
        <v>1798</v>
      </c>
      <c r="E34" s="3274" t="str">
        <f>IF(I33=1,"Aucun actif lié au sous-service Approvisionnement et traitement dans la municipalité.","")</f>
        <v/>
      </c>
      <c r="F34" s="3274"/>
      <c r="G34" s="3274"/>
      <c r="H34" s="3274"/>
      <c r="I34" s="2589"/>
      <c r="M34" s="1345"/>
      <c r="N34" s="1345"/>
      <c r="O34" s="1320"/>
    </row>
    <row r="35" spans="2:18" x14ac:dyDescent="0.25">
      <c r="B35" s="2599"/>
      <c r="C35" s="2599"/>
      <c r="D35" s="2598"/>
      <c r="E35" s="3274"/>
      <c r="F35" s="3274"/>
      <c r="G35" s="3274"/>
      <c r="H35" s="3274"/>
      <c r="I35" s="2589"/>
      <c r="M35" s="1345"/>
      <c r="N35" s="1345"/>
      <c r="O35" s="1320"/>
    </row>
    <row r="36" spans="2:18" ht="15" customHeight="1" x14ac:dyDescent="0.25">
      <c r="B36" s="2589"/>
      <c r="C36" s="2589"/>
      <c r="D36" s="2598" t="s">
        <v>1800</v>
      </c>
      <c r="E36" s="3274" t="str">
        <f>IF(I33=2,"(Aucun actif ponctuel pour Approvisionnement&amp;Traitement)","")</f>
        <v/>
      </c>
      <c r="F36" s="3274"/>
      <c r="G36" s="3274"/>
      <c r="H36" s="3274"/>
      <c r="I36" s="2589"/>
      <c r="M36" s="1345"/>
      <c r="N36" s="1345"/>
      <c r="O36" s="1320"/>
    </row>
    <row r="37" spans="2:18" x14ac:dyDescent="0.25">
      <c r="B37" s="2599"/>
      <c r="C37" s="2599"/>
      <c r="D37" s="2589"/>
      <c r="E37" s="3274"/>
      <c r="F37" s="3274"/>
      <c r="G37" s="3274"/>
      <c r="H37" s="3274"/>
      <c r="I37" s="2589"/>
      <c r="M37" s="1345"/>
      <c r="N37" s="1345"/>
      <c r="O37" s="1320"/>
    </row>
    <row r="38" spans="2:18" ht="15" customHeight="1" x14ac:dyDescent="0.25">
      <c r="B38" s="2589"/>
      <c r="C38" s="2589"/>
      <c r="D38" s="2598" t="s">
        <v>1799</v>
      </c>
      <c r="E38" s="3274" t="str">
        <f>IF(I33=3,"(Aucun actif linéaire pour Approvisionnement&amp;Traitement)","")</f>
        <v/>
      </c>
      <c r="F38" s="3274"/>
      <c r="G38" s="3274"/>
      <c r="H38" s="3274"/>
      <c r="I38" s="2589"/>
      <c r="M38" s="1345"/>
      <c r="N38" s="1345"/>
      <c r="O38" s="1320"/>
    </row>
    <row r="39" spans="2:18" x14ac:dyDescent="0.25">
      <c r="B39" s="2599"/>
      <c r="C39" s="2599"/>
      <c r="D39" s="2598"/>
      <c r="E39" s="3274"/>
      <c r="F39" s="3274"/>
      <c r="G39" s="3274"/>
      <c r="H39" s="3274"/>
      <c r="I39" s="2589"/>
      <c r="M39" s="1345"/>
      <c r="N39" s="1345"/>
      <c r="O39" s="1320"/>
    </row>
    <row r="40" spans="2:18" x14ac:dyDescent="0.25">
      <c r="B40" s="2599"/>
      <c r="C40" s="2599"/>
      <c r="D40" s="2598"/>
      <c r="E40" s="2600"/>
      <c r="F40" s="2600"/>
      <c r="G40" s="2600"/>
      <c r="H40" s="2600"/>
      <c r="I40" s="2589"/>
      <c r="M40" s="1345"/>
      <c r="N40" s="1345"/>
      <c r="O40" s="1320"/>
    </row>
    <row r="41" spans="2:18" ht="19.5" customHeight="1" x14ac:dyDescent="0.25">
      <c r="B41" s="2593" t="s">
        <v>184</v>
      </c>
      <c r="C41" s="2593"/>
      <c r="D41" s="2594">
        <f>'FORMULAIRE PGA Eau potable'!H120</f>
        <v>0</v>
      </c>
      <c r="E41" s="2590"/>
      <c r="F41" s="2591"/>
      <c r="G41" s="2592"/>
      <c r="H41" s="2591"/>
      <c r="I41" s="2594">
        <f>IF('FORMULAIRE PGA Eau potable'!O120="",0,'FORMULAIRE PGA Eau potable'!O120)</f>
        <v>0</v>
      </c>
      <c r="J41" s="1345"/>
      <c r="M41" s="1345"/>
      <c r="N41" s="1345"/>
      <c r="O41" s="1320"/>
    </row>
    <row r="42" spans="2:18" x14ac:dyDescent="0.25">
      <c r="B42" s="2599"/>
      <c r="C42" s="2599"/>
      <c r="D42" s="2598" t="s">
        <v>1801</v>
      </c>
      <c r="E42" s="3274" t="str">
        <f>IF(I41=1,"Aucun actif lié au sous-service Distribution dans la municipalité.","")</f>
        <v/>
      </c>
      <c r="F42" s="3274"/>
      <c r="G42" s="3274"/>
      <c r="H42" s="3274"/>
      <c r="I42" s="2589"/>
      <c r="J42" s="1345"/>
      <c r="M42" s="1345"/>
      <c r="N42" s="1345"/>
      <c r="O42" s="1320"/>
    </row>
    <row r="43" spans="2:18" x14ac:dyDescent="0.25">
      <c r="B43" s="2599"/>
      <c r="C43" s="2599"/>
      <c r="D43" s="2598"/>
      <c r="E43" s="3274"/>
      <c r="F43" s="3274"/>
      <c r="G43" s="3274"/>
      <c r="H43" s="3274"/>
      <c r="I43" s="2589"/>
      <c r="J43" s="1345"/>
      <c r="M43" s="1345"/>
      <c r="N43" s="1345"/>
      <c r="O43" s="1320"/>
    </row>
    <row r="44" spans="2:18" x14ac:dyDescent="0.25">
      <c r="B44" s="2599"/>
      <c r="C44" s="2599"/>
      <c r="D44" s="2598" t="s">
        <v>1800</v>
      </c>
      <c r="E44" s="3274" t="str">
        <f>IF(I41=2,"(Aucun actif ponctuel pour Distribution)","")</f>
        <v/>
      </c>
      <c r="F44" s="3274"/>
      <c r="G44" s="3274"/>
      <c r="H44" s="3274"/>
      <c r="I44" s="2589"/>
      <c r="J44" s="1345"/>
      <c r="M44" s="1345"/>
      <c r="N44" s="1345"/>
      <c r="O44" s="1320"/>
    </row>
    <row r="45" spans="2:18" x14ac:dyDescent="0.25">
      <c r="B45" s="2599"/>
      <c r="C45" s="2599"/>
      <c r="D45" s="2589"/>
      <c r="E45" s="3274"/>
      <c r="F45" s="3274"/>
      <c r="G45" s="3274"/>
      <c r="H45" s="3274"/>
      <c r="I45" s="2589"/>
      <c r="J45" s="1345"/>
      <c r="M45" s="1345"/>
      <c r="N45" s="1345"/>
      <c r="O45" s="1320"/>
    </row>
    <row r="46" spans="2:18" x14ac:dyDescent="0.25">
      <c r="B46" s="2599"/>
      <c r="C46" s="2599"/>
      <c r="D46" s="2598" t="s">
        <v>1799</v>
      </c>
      <c r="E46" s="3274" t="str">
        <f>IF(I41=3,"(Aucun actif linéaire pour Distribution)","")</f>
        <v/>
      </c>
      <c r="F46" s="3274"/>
      <c r="G46" s="3274"/>
      <c r="H46" s="3274"/>
      <c r="I46" s="2589"/>
      <c r="J46" s="1345"/>
      <c r="M46" s="1345"/>
      <c r="N46" s="1345"/>
      <c r="O46" s="1320"/>
    </row>
    <row r="47" spans="2:18" x14ac:dyDescent="0.25">
      <c r="B47" s="2589"/>
      <c r="C47" s="2589"/>
      <c r="D47" s="2598"/>
      <c r="E47" s="3274"/>
      <c r="F47" s="3274"/>
      <c r="G47" s="3274"/>
      <c r="H47" s="3274"/>
      <c r="I47" s="2589"/>
      <c r="J47" s="1345"/>
      <c r="O47" s="1320"/>
      <c r="P47" s="55"/>
      <c r="Q47" s="55"/>
      <c r="R47" s="55"/>
    </row>
    <row r="48" spans="2:18" ht="279" customHeight="1" x14ac:dyDescent="0.25">
      <c r="P48" s="55"/>
      <c r="Q48" s="55"/>
      <c r="R48" s="55"/>
    </row>
    <row r="49" spans="1:32" ht="36" customHeight="1" x14ac:dyDescent="0.25">
      <c r="E49" s="3270" t="s">
        <v>1789</v>
      </c>
      <c r="F49" s="3270"/>
    </row>
    <row r="50" spans="1:32" ht="27.75" customHeight="1" x14ac:dyDescent="0.25">
      <c r="D50" s="1351" t="str">
        <f>IF('FORMULAIRE PGA Eau potable'!G157="oui","Certains actifs de la municipalité inclus ci-dessus, sont en mode partagé, soit:","Aucun des actifs inclus ci-dessus n'est en mode partagé")</f>
        <v>Aucun des actifs inclus ci-dessus n'est en mode partagé</v>
      </c>
      <c r="E50" s="1352"/>
      <c r="F50" s="1352"/>
      <c r="G50" s="1352"/>
      <c r="H50" s="1352"/>
      <c r="I50" s="1352"/>
      <c r="J50" s="1353"/>
      <c r="K50" s="1354"/>
      <c r="L50" s="1354"/>
      <c r="M50" s="1355"/>
      <c r="N50" s="1356"/>
    </row>
    <row r="51" spans="1:32" ht="22.5" customHeight="1" x14ac:dyDescent="0.25">
      <c r="D51" s="1353"/>
      <c r="E51" s="1357" t="s">
        <v>1476</v>
      </c>
      <c r="F51" s="1357"/>
      <c r="G51" s="1357"/>
      <c r="H51" s="2565" t="str">
        <f>IF(('FORMULAIRE PGA Eau potable'!$H$81='MENU DÉROULANT'!$C$28),"(Aucun actif)","")</f>
        <v/>
      </c>
      <c r="I51" s="1357" t="s">
        <v>0</v>
      </c>
      <c r="J51" s="1359"/>
      <c r="K51" s="1357"/>
      <c r="L51" s="2564" t="str">
        <f>IF(('FORMULAIRE PGA Eau potable'!$H$120='MENU DÉROULANT'!$F$28),"(Aucun actif)","")</f>
        <v/>
      </c>
      <c r="M51" s="1355"/>
      <c r="N51" s="1356"/>
    </row>
    <row r="52" spans="1:32" ht="18" customHeight="1" x14ac:dyDescent="0.25">
      <c r="D52" s="1358" t="s">
        <v>269</v>
      </c>
      <c r="E52" s="3269" t="str">
        <f>IF(ISBLANK('FORMULAIRE PGA Eau potable'!G160)=TRUE,"",CONCATENATE('FORMULAIRE PGA Eau potable'!G160,"; ",'FORMULAIRE PGA Eau potable'!K160))</f>
        <v/>
      </c>
      <c r="F52" s="3269"/>
      <c r="G52" s="3269"/>
      <c r="H52" s="3269"/>
      <c r="I52" s="3269" t="str">
        <f>IF(ISBLANK('FORMULAIRE PGA Eau potable'!G163)=TRUE,"",CONCATENATE('FORMULAIRE PGA Eau potable'!G163,"; ",'FORMULAIRE PGA Eau potable'!K163))</f>
        <v/>
      </c>
      <c r="J52" s="3269"/>
      <c r="K52" s="3269"/>
      <c r="L52" s="3269"/>
      <c r="M52" s="1355"/>
      <c r="N52" s="1356"/>
    </row>
    <row r="53" spans="1:32" ht="18" customHeight="1" x14ac:dyDescent="0.25">
      <c r="D53" s="1358" t="s">
        <v>270</v>
      </c>
      <c r="E53" s="3269" t="str">
        <f>IF(ISBLANK('FORMULAIRE PGA Eau potable'!G161)=TRUE,"",CONCATENATE('FORMULAIRE PGA Eau potable'!G161,"; ",'FORMULAIRE PGA Eau potable'!K161))</f>
        <v/>
      </c>
      <c r="F53" s="3269"/>
      <c r="G53" s="3269"/>
      <c r="H53" s="3269"/>
      <c r="I53" s="3269" t="str">
        <f>IF(ISBLANK('FORMULAIRE PGA Eau potable'!G164)=TRUE,"",CONCATENATE('FORMULAIRE PGA Eau potable'!G164,"; ",'FORMULAIRE PGA Eau potable'!K164))</f>
        <v/>
      </c>
      <c r="J53" s="3269"/>
      <c r="K53" s="3269"/>
      <c r="L53" s="3269"/>
      <c r="M53" s="1355"/>
      <c r="N53" s="1356"/>
    </row>
    <row r="54" spans="1:32" ht="18" customHeight="1" x14ac:dyDescent="0.25">
      <c r="D54" s="1358" t="s">
        <v>191</v>
      </c>
      <c r="E54" s="3269" t="str">
        <f>IF(ISBLANK('FORMULAIRE PGA Eau potable'!G162)=TRUE,"",CONCATENATE('FORMULAIRE PGA Eau potable'!G162,"; ",'FORMULAIRE PGA Eau potable'!K162))</f>
        <v/>
      </c>
      <c r="F54" s="3269"/>
      <c r="G54" s="3269"/>
      <c r="H54" s="3269"/>
      <c r="I54" s="3269" t="str">
        <f>IF(ISBLANK('FORMULAIRE PGA Eau potable'!G165)=TRUE,"",CONCATENATE('FORMULAIRE PGA Eau potable'!G165,"; ",'FORMULAIRE PGA Eau potable'!K165))</f>
        <v/>
      </c>
      <c r="J54" s="3269"/>
      <c r="K54" s="3269"/>
      <c r="L54" s="3269"/>
      <c r="M54" s="1355"/>
      <c r="N54" s="1356"/>
    </row>
    <row r="55" spans="1:32" x14ac:dyDescent="0.25">
      <c r="D55" s="1359"/>
      <c r="E55" s="1359"/>
      <c r="F55" s="1359"/>
      <c r="G55" s="1359"/>
      <c r="H55" s="1359"/>
      <c r="I55" s="1359"/>
      <c r="J55" s="1359"/>
      <c r="K55" s="1359"/>
      <c r="L55" s="1359"/>
      <c r="M55" s="1359"/>
    </row>
    <row r="58" spans="1:32" ht="22.5" customHeight="1" x14ac:dyDescent="0.3">
      <c r="B58" s="1285" t="s">
        <v>168</v>
      </c>
      <c r="C58" s="1285"/>
      <c r="D58" s="1285"/>
      <c r="E58" s="1285"/>
      <c r="F58" s="1285"/>
      <c r="G58" s="1285"/>
      <c r="H58" s="1285"/>
      <c r="I58" s="1285"/>
      <c r="J58" s="1285"/>
      <c r="K58" s="1285"/>
      <c r="L58" s="1285"/>
      <c r="M58" s="1285"/>
      <c r="N58" s="1285"/>
      <c r="O58" s="1285"/>
      <c r="P58" s="1285"/>
      <c r="Q58" s="1285"/>
      <c r="R58" s="1285"/>
      <c r="S58" s="1285"/>
      <c r="T58" s="1285"/>
      <c r="U58" s="1285"/>
      <c r="V58" s="1285"/>
      <c r="W58" s="1285"/>
      <c r="X58" s="1285"/>
      <c r="Y58" s="1285"/>
      <c r="Z58" s="1285"/>
      <c r="AA58" s="1285"/>
      <c r="AB58" s="1285"/>
      <c r="AC58" s="1285"/>
      <c r="AD58" s="1285"/>
      <c r="AE58" s="1285"/>
      <c r="AF58" s="1285"/>
    </row>
    <row r="59" spans="1:32" ht="18.75" x14ac:dyDescent="0.3">
      <c r="B59" s="1294"/>
      <c r="C59" s="1294"/>
      <c r="D59" s="1294"/>
      <c r="E59" s="1294"/>
      <c r="F59" s="1294"/>
      <c r="G59" s="1294"/>
      <c r="H59" s="1294"/>
      <c r="I59" s="1294"/>
      <c r="J59" s="1294"/>
      <c r="K59" s="1294"/>
      <c r="L59" s="1294"/>
      <c r="M59" s="1294"/>
      <c r="N59" s="1294"/>
      <c r="O59" s="1294"/>
      <c r="P59" s="1294"/>
    </row>
    <row r="60" spans="1:32" ht="24" x14ac:dyDescent="0.25">
      <c r="B60" s="517"/>
      <c r="C60" s="517"/>
      <c r="D60" s="517"/>
      <c r="E60" s="2613" t="s">
        <v>46</v>
      </c>
      <c r="F60" s="2614" t="s">
        <v>47</v>
      </c>
      <c r="G60" s="2614" t="s">
        <v>48</v>
      </c>
      <c r="H60" s="2614" t="s">
        <v>49</v>
      </c>
      <c r="I60" s="2614" t="s">
        <v>50</v>
      </c>
      <c r="J60" s="2614" t="s">
        <v>35</v>
      </c>
      <c r="K60" s="2615" t="s">
        <v>176</v>
      </c>
      <c r="L60" s="2614" t="s">
        <v>161</v>
      </c>
      <c r="M60" s="2614" t="s">
        <v>2161</v>
      </c>
      <c r="N60" s="2614" t="s">
        <v>2162</v>
      </c>
    </row>
    <row r="61" spans="1:32" s="314" customFormat="1" ht="105.75" customHeight="1" x14ac:dyDescent="0.25">
      <c r="A61" s="684"/>
      <c r="B61" s="380" t="s">
        <v>40</v>
      </c>
      <c r="C61" s="380"/>
      <c r="D61" s="380" t="s">
        <v>69</v>
      </c>
      <c r="E61" s="2609">
        <f>'FORMULAIRE PGA Eau potable'!J89</f>
        <v>0</v>
      </c>
      <c r="F61" s="1360">
        <f>'FORMULAIRE PGA Eau potable'!K89</f>
        <v>0</v>
      </c>
      <c r="G61" s="1360">
        <f>'FORMULAIRE PGA Eau potable'!L89</f>
        <v>0</v>
      </c>
      <c r="H61" s="1360">
        <f>'FORMULAIRE PGA Eau potable'!M89</f>
        <v>0</v>
      </c>
      <c r="I61" s="1360">
        <f>'FORMULAIRE PGA Eau potable'!N89</f>
        <v>0</v>
      </c>
      <c r="J61" s="1360">
        <f>'FORMULAIRE PGA Eau potable'!O89</f>
        <v>1</v>
      </c>
      <c r="K61" s="2611">
        <f>SUM(E61:J61)</f>
        <v>1</v>
      </c>
      <c r="L61" s="314">
        <f>'FORMULAIRE PGA Eau potable'!G609</f>
        <v>0</v>
      </c>
      <c r="M61" s="3292">
        <f>IF(I33=1,0,IF(I33=2,L61,IF(I33=3,L62,ROUNDDOWN(AVERAGE(L61:L62),0))))</f>
        <v>0</v>
      </c>
      <c r="N61" s="3292">
        <f>IF(I33=1,M61,IF(I41=1,M63,ROUNDDOWN(AVERAGE(M61:M64),0)))</f>
        <v>0</v>
      </c>
    </row>
    <row r="62" spans="1:32" s="314" customFormat="1" ht="105.75" customHeight="1" x14ac:dyDescent="0.25">
      <c r="A62" s="684"/>
      <c r="B62" s="2606" t="s">
        <v>40</v>
      </c>
      <c r="C62" s="2606"/>
      <c r="D62" s="2606" t="s">
        <v>77</v>
      </c>
      <c r="E62" s="2610">
        <f>'FORMULAIRE PGA Eau potable'!J98</f>
        <v>0</v>
      </c>
      <c r="F62" s="2607">
        <f>'FORMULAIRE PGA Eau potable'!K98</f>
        <v>0</v>
      </c>
      <c r="G62" s="2607">
        <f>'FORMULAIRE PGA Eau potable'!L98</f>
        <v>0</v>
      </c>
      <c r="H62" s="2607">
        <f>'FORMULAIRE PGA Eau potable'!M98</f>
        <v>0</v>
      </c>
      <c r="I62" s="2607">
        <f>'FORMULAIRE PGA Eau potable'!N98</f>
        <v>0</v>
      </c>
      <c r="J62" s="2607">
        <f>'FORMULAIRE PGA Eau potable'!O98</f>
        <v>1</v>
      </c>
      <c r="K62" s="2612">
        <f>SUM(E62:J62)</f>
        <v>1</v>
      </c>
      <c r="L62" s="2608">
        <f>'FORMULAIRE PGA Eau potable'!G610</f>
        <v>0</v>
      </c>
      <c r="M62" s="3294"/>
      <c r="N62" s="3293"/>
    </row>
    <row r="63" spans="1:32" s="314" customFormat="1" ht="105.75" customHeight="1" x14ac:dyDescent="0.25">
      <c r="A63" s="684"/>
      <c r="B63" s="380" t="s">
        <v>0</v>
      </c>
      <c r="C63" s="380"/>
      <c r="D63" s="380" t="s">
        <v>69</v>
      </c>
      <c r="E63" s="2609">
        <f>'FORMULAIRE PGA Eau potable'!J128</f>
        <v>0</v>
      </c>
      <c r="F63" s="1360">
        <f>'FORMULAIRE PGA Eau potable'!K128</f>
        <v>0</v>
      </c>
      <c r="G63" s="1360">
        <f>'FORMULAIRE PGA Eau potable'!L128</f>
        <v>0</v>
      </c>
      <c r="H63" s="1360">
        <f>'FORMULAIRE PGA Eau potable'!M128</f>
        <v>0</v>
      </c>
      <c r="I63" s="1360">
        <f>'FORMULAIRE PGA Eau potable'!N128</f>
        <v>0</v>
      </c>
      <c r="J63" s="1360">
        <f>'FORMULAIRE PGA Eau potable'!O128</f>
        <v>1</v>
      </c>
      <c r="K63" s="2611">
        <f>SUM(E63:J63)</f>
        <v>1</v>
      </c>
      <c r="L63" s="314">
        <f>'FORMULAIRE PGA Eau potable'!L609</f>
        <v>0</v>
      </c>
      <c r="M63" s="3292">
        <f>IF(I41=1,0,IF(I41=2,L63,IF(I41=3,L64,ROUNDDOWN(AVERAGE(L63:L64),0))))</f>
        <v>0</v>
      </c>
      <c r="N63" s="3293"/>
    </row>
    <row r="64" spans="1:32" s="314" customFormat="1" ht="105.75" customHeight="1" x14ac:dyDescent="0.25">
      <c r="A64" s="684"/>
      <c r="B64" s="2606" t="s">
        <v>0</v>
      </c>
      <c r="C64" s="2606"/>
      <c r="D64" s="2606" t="s">
        <v>77</v>
      </c>
      <c r="E64" s="2610">
        <f>'FORMULAIRE PGA Eau potable'!J137</f>
        <v>0</v>
      </c>
      <c r="F64" s="2607">
        <f>'FORMULAIRE PGA Eau potable'!K137</f>
        <v>0</v>
      </c>
      <c r="G64" s="2607">
        <f>'FORMULAIRE PGA Eau potable'!L137</f>
        <v>0</v>
      </c>
      <c r="H64" s="2607">
        <f>'FORMULAIRE PGA Eau potable'!M137</f>
        <v>0</v>
      </c>
      <c r="I64" s="2607">
        <f>'FORMULAIRE PGA Eau potable'!N137</f>
        <v>0</v>
      </c>
      <c r="J64" s="2607">
        <f>'FORMULAIRE PGA Eau potable'!O137</f>
        <v>1</v>
      </c>
      <c r="K64" s="2612">
        <f>SUM(E64:J64)</f>
        <v>1</v>
      </c>
      <c r="L64" s="2608">
        <f>'FORMULAIRE PGA Eau potable'!L610</f>
        <v>0</v>
      </c>
      <c r="M64" s="3294"/>
      <c r="N64" s="3294"/>
    </row>
    <row r="65" spans="1:32" s="314" customFormat="1" ht="17.25" customHeight="1" x14ac:dyDescent="0.25">
      <c r="A65" s="684"/>
      <c r="B65" s="380"/>
      <c r="C65" s="380"/>
      <c r="D65" s="380"/>
      <c r="E65" s="1360"/>
      <c r="F65" s="1360"/>
      <c r="G65" s="1360"/>
      <c r="H65" s="1360"/>
      <c r="I65" s="1360"/>
      <c r="J65" s="1360"/>
      <c r="K65" s="1361"/>
    </row>
    <row r="67" spans="1:32" ht="31.5" customHeight="1" x14ac:dyDescent="0.35">
      <c r="B67" s="1283" t="s">
        <v>250</v>
      </c>
      <c r="C67" s="1283"/>
      <c r="D67" s="1284"/>
      <c r="E67" s="1284"/>
      <c r="F67" s="1284"/>
      <c r="G67" s="1284"/>
      <c r="H67" s="1284"/>
      <c r="I67" s="1284"/>
      <c r="J67" s="1284"/>
      <c r="K67" s="1284"/>
      <c r="L67" s="1284"/>
      <c r="M67" s="1284"/>
      <c r="N67" s="1284"/>
      <c r="O67" s="1284"/>
      <c r="P67" s="1284"/>
      <c r="Q67" s="1284"/>
      <c r="R67" s="1284"/>
      <c r="S67" s="1284"/>
      <c r="T67" s="1284"/>
      <c r="U67" s="1284"/>
      <c r="V67" s="1284"/>
      <c r="W67" s="1284"/>
      <c r="X67" s="1284"/>
      <c r="Y67" s="1284"/>
      <c r="Z67" s="1284"/>
      <c r="AA67" s="1284"/>
      <c r="AB67" s="1284"/>
      <c r="AC67" s="1284"/>
      <c r="AD67" s="1284"/>
      <c r="AE67" s="1284"/>
      <c r="AF67" s="1284"/>
    </row>
    <row r="69" spans="1:32" ht="22.5" customHeight="1" x14ac:dyDescent="0.3">
      <c r="B69" s="1285" t="s">
        <v>226</v>
      </c>
      <c r="C69" s="1285"/>
      <c r="D69" s="1285"/>
      <c r="E69" s="1285"/>
      <c r="F69" s="1285"/>
      <c r="G69" s="1285"/>
      <c r="H69" s="1285"/>
      <c r="I69" s="1285"/>
      <c r="J69" s="1285"/>
      <c r="K69" s="1285"/>
      <c r="L69" s="1285"/>
      <c r="M69" s="1285"/>
      <c r="N69" s="1285"/>
      <c r="O69" s="1285"/>
      <c r="P69" s="1285"/>
      <c r="Q69" s="1285"/>
      <c r="R69" s="1285"/>
      <c r="S69" s="1285"/>
      <c r="T69" s="1285"/>
      <c r="U69" s="1285"/>
      <c r="V69" s="1285"/>
      <c r="W69" s="1285"/>
      <c r="X69" s="1285"/>
      <c r="Y69" s="1285"/>
      <c r="Z69" s="1285"/>
      <c r="AA69" s="1285"/>
      <c r="AB69" s="1285"/>
      <c r="AC69" s="1285"/>
      <c r="AD69" s="1285"/>
      <c r="AE69" s="1285"/>
      <c r="AF69" s="1285"/>
    </row>
    <row r="70" spans="1:32" ht="18.75" x14ac:dyDescent="0.3">
      <c r="B70" s="1294"/>
      <c r="C70" s="1294"/>
      <c r="D70" s="1294"/>
      <c r="E70" s="1294"/>
      <c r="F70" s="1294"/>
      <c r="G70" s="1294"/>
      <c r="H70" s="1294"/>
      <c r="I70" s="1294"/>
      <c r="J70" s="1294"/>
      <c r="K70" s="1294"/>
      <c r="L70" s="1294"/>
      <c r="M70" s="1294"/>
      <c r="N70" s="1294"/>
      <c r="O70" s="1294"/>
      <c r="P70" s="1294"/>
      <c r="Q70" s="1294"/>
      <c r="R70" s="1294"/>
      <c r="S70" s="1294"/>
      <c r="T70" s="1294"/>
      <c r="U70" s="1294"/>
      <c r="V70" s="1294"/>
      <c r="W70" s="1294"/>
      <c r="X70" s="1294"/>
      <c r="Y70" s="1294"/>
      <c r="Z70" s="1294"/>
      <c r="AA70" s="1294"/>
      <c r="AB70" s="1294"/>
      <c r="AC70" s="1294"/>
      <c r="AD70" s="1294"/>
      <c r="AE70" s="1294"/>
      <c r="AF70" s="1294"/>
    </row>
    <row r="71" spans="1:32" ht="25.5" customHeight="1" x14ac:dyDescent="0.3">
      <c r="B71" s="1294"/>
      <c r="C71" s="1294"/>
      <c r="D71" s="1362" t="s">
        <v>1811</v>
      </c>
      <c r="E71" s="1294"/>
      <c r="F71" s="1294"/>
      <c r="I71" s="1294"/>
      <c r="L71" s="1294"/>
      <c r="N71" s="1363" t="s">
        <v>161</v>
      </c>
      <c r="O71" s="1364">
        <f>IF(I33=1,'FORMULAIRE PGA Eau potable'!L613,IF(I44=1,'FORMULAIRE PGA Eau potable'!G613,ROUNDDOWN(AVERAGE('FORMULAIRE PGA Eau potable'!G613,'FORMULAIRE PGA Eau potable'!L613),0)))</f>
        <v>0</v>
      </c>
      <c r="P71" s="1294"/>
      <c r="Q71" s="1294"/>
      <c r="R71" s="1294"/>
      <c r="S71" s="1294"/>
      <c r="T71" s="1294"/>
      <c r="U71" s="1294"/>
      <c r="V71" s="1294"/>
      <c r="W71" s="1294"/>
      <c r="X71" s="1294"/>
      <c r="Y71" s="1294"/>
      <c r="Z71" s="1294"/>
      <c r="AA71" s="1294"/>
      <c r="AB71" s="1294"/>
      <c r="AC71" s="1294"/>
      <c r="AD71" s="1294"/>
      <c r="AE71" s="1294"/>
      <c r="AF71" s="1294"/>
    </row>
    <row r="72" spans="1:32" ht="18.75" x14ac:dyDescent="0.3">
      <c r="B72" s="1294"/>
      <c r="C72" s="1294"/>
      <c r="D72" s="1294"/>
      <c r="E72" s="1294"/>
      <c r="F72" s="1294"/>
      <c r="G72" s="1294"/>
      <c r="H72" s="1294"/>
      <c r="I72" s="1294"/>
      <c r="J72" s="1294"/>
      <c r="K72" s="1294"/>
      <c r="L72" s="1294"/>
      <c r="O72" s="1294"/>
      <c r="P72" s="1294"/>
      <c r="Q72" s="1294"/>
      <c r="R72" s="1294"/>
      <c r="S72" s="1294"/>
      <c r="T72" s="1294"/>
      <c r="U72" s="1294"/>
      <c r="V72" s="1294"/>
      <c r="W72" s="1294"/>
      <c r="X72" s="1294"/>
      <c r="Y72" s="1294"/>
      <c r="Z72" s="1294"/>
      <c r="AA72" s="1294"/>
      <c r="AB72" s="1294"/>
      <c r="AC72" s="1294"/>
      <c r="AD72" s="1294"/>
      <c r="AE72" s="1294"/>
      <c r="AF72" s="1294"/>
    </row>
    <row r="73" spans="1:32" ht="18.75" x14ac:dyDescent="0.3">
      <c r="B73" s="1294"/>
      <c r="C73" s="1294"/>
      <c r="D73" s="1294"/>
      <c r="E73" s="1294"/>
      <c r="F73" s="1294"/>
      <c r="G73" s="1294"/>
      <c r="H73" s="1294"/>
      <c r="I73" s="1294"/>
      <c r="J73" s="1294"/>
      <c r="K73" s="1294"/>
      <c r="L73" s="1294"/>
      <c r="M73" s="1294"/>
      <c r="N73" s="1294"/>
      <c r="O73" s="1294"/>
      <c r="P73" s="1294"/>
      <c r="Q73" s="1294"/>
      <c r="R73" s="1294"/>
      <c r="S73" s="1294"/>
      <c r="T73" s="1294"/>
      <c r="U73" s="1294"/>
      <c r="V73" s="1294"/>
      <c r="W73" s="1294"/>
      <c r="X73" s="1294"/>
      <c r="Y73" s="1294"/>
      <c r="Z73" s="1294"/>
      <c r="AA73" s="1294"/>
      <c r="AB73" s="1294"/>
      <c r="AC73" s="1294"/>
      <c r="AD73" s="1294"/>
      <c r="AE73" s="1294"/>
      <c r="AF73" s="1294"/>
    </row>
    <row r="74" spans="1:32" ht="22.5" customHeight="1" x14ac:dyDescent="0.3">
      <c r="B74" s="1285" t="s">
        <v>230</v>
      </c>
      <c r="C74" s="1285"/>
      <c r="D74" s="1285"/>
      <c r="E74" s="1285"/>
      <c r="F74" s="1285"/>
      <c r="G74" s="1285"/>
      <c r="H74" s="1285"/>
      <c r="I74" s="1285"/>
      <c r="J74" s="1285"/>
      <c r="K74" s="1285"/>
      <c r="L74" s="1285"/>
      <c r="M74" s="1285"/>
      <c r="N74" s="1285"/>
      <c r="O74" s="1285"/>
      <c r="P74" s="1285"/>
      <c r="Q74" s="1285"/>
      <c r="R74" s="1285"/>
      <c r="S74" s="1285"/>
      <c r="T74" s="1285"/>
      <c r="U74" s="1285"/>
      <c r="V74" s="1285"/>
      <c r="W74" s="1285"/>
      <c r="X74" s="1285"/>
      <c r="Y74" s="1285"/>
      <c r="Z74" s="1285"/>
      <c r="AA74" s="1285"/>
      <c r="AB74" s="1285"/>
      <c r="AC74" s="1285"/>
      <c r="AD74" s="1285"/>
      <c r="AE74" s="1285"/>
      <c r="AF74" s="1285"/>
    </row>
    <row r="75" spans="1:32" ht="18.75" x14ac:dyDescent="0.3">
      <c r="B75" s="1294"/>
      <c r="C75" s="1294"/>
      <c r="D75" s="1294"/>
      <c r="E75" s="1294"/>
      <c r="F75" s="1294"/>
      <c r="G75" s="1294"/>
      <c r="H75" s="1294"/>
      <c r="I75" s="1294"/>
      <c r="J75" s="1294"/>
      <c r="K75" s="1294"/>
      <c r="L75" s="1294"/>
      <c r="M75" s="1294"/>
      <c r="N75" s="1294"/>
      <c r="O75" s="1294"/>
      <c r="P75" s="1294"/>
      <c r="Q75" s="1294"/>
      <c r="R75" s="1294"/>
      <c r="S75" s="1294"/>
      <c r="T75" s="1294"/>
      <c r="U75" s="1294"/>
      <c r="V75" s="1294"/>
      <c r="W75" s="1294"/>
      <c r="X75" s="1294"/>
      <c r="Y75" s="1294"/>
      <c r="Z75" s="1294"/>
      <c r="AA75" s="1294"/>
      <c r="AB75" s="1294"/>
      <c r="AC75" s="1294"/>
      <c r="AD75" s="1294"/>
      <c r="AE75" s="1294"/>
      <c r="AF75" s="1294"/>
    </row>
    <row r="76" spans="1:32" ht="25.5" customHeight="1" x14ac:dyDescent="0.25">
      <c r="D76" s="1365" t="s">
        <v>223</v>
      </c>
      <c r="E76" s="1365" t="s">
        <v>1514</v>
      </c>
      <c r="F76" s="1365" t="s">
        <v>1515</v>
      </c>
      <c r="G76" s="1366"/>
      <c r="H76" s="314"/>
      <c r="I76" s="1367"/>
      <c r="J76" s="1368" t="str">
        <f>'MENU DÉROULANT'!D73</f>
        <v>Technique</v>
      </c>
      <c r="K76" s="1369" t="str">
        <f>'MENU DÉROULANT'!D74</f>
        <v>Citoyen</v>
      </c>
      <c r="L76" s="325"/>
      <c r="N76" s="1363" t="s">
        <v>161</v>
      </c>
      <c r="O76" s="1364">
        <f>O71</f>
        <v>0</v>
      </c>
    </row>
    <row r="77" spans="1:32" ht="18" customHeight="1" x14ac:dyDescent="0.25">
      <c r="B77" s="298"/>
      <c r="C77" s="298"/>
      <c r="D77" s="1127">
        <f>'FORMULAIRE PGA Eau potable'!D220</f>
        <v>0</v>
      </c>
      <c r="E77" s="1127">
        <f>'FORMULAIRE PGA Eau potable'!F220</f>
        <v>0</v>
      </c>
      <c r="F77" s="1127">
        <f>'FORMULAIRE PGA Eau potable'!G220</f>
        <v>0</v>
      </c>
      <c r="G77" s="28">
        <v>1</v>
      </c>
      <c r="H77" s="1370"/>
      <c r="I77" s="1371" t="str">
        <f>'MENU DÉROULANT'!C73</f>
        <v>Fonction</v>
      </c>
      <c r="J77" s="1372">
        <f>SUMIFS($G$77:$G$86,$E$77:$E$86,I77,$F$77:$F$86,$J$76)</f>
        <v>0</v>
      </c>
      <c r="K77" s="1373">
        <f>SUMIFS($G$77:$G$86,$E$77:$E$86,I77,$F$77:$F$86,$K$76)</f>
        <v>0</v>
      </c>
      <c r="L77" s="325"/>
      <c r="M77" s="325"/>
      <c r="N77" s="152"/>
    </row>
    <row r="78" spans="1:32" ht="18" customHeight="1" x14ac:dyDescent="0.25">
      <c r="B78" s="298"/>
      <c r="C78" s="298"/>
      <c r="D78" s="1127">
        <f>'FORMULAIRE PGA Eau potable'!D221</f>
        <v>0</v>
      </c>
      <c r="E78" s="1127">
        <f>'FORMULAIRE PGA Eau potable'!F221</f>
        <v>0</v>
      </c>
      <c r="F78" s="1127">
        <f>'FORMULAIRE PGA Eau potable'!G221</f>
        <v>0</v>
      </c>
      <c r="G78" s="28">
        <v>1</v>
      </c>
      <c r="H78" s="1370"/>
      <c r="I78" s="1371" t="str">
        <f>'MENU DÉROULANT'!C74</f>
        <v>Qualité</v>
      </c>
      <c r="J78" s="1374">
        <f>SUMIFS($G$77:$G$86,$E$77:$E$86,I78,$F$77:$F$86,$J$76)</f>
        <v>0</v>
      </c>
      <c r="K78" s="1375">
        <f>SUMIFS($G$77:$G$86,$E$77:$E$86,I78,$F$77:$F$86,$K$76)</f>
        <v>0</v>
      </c>
      <c r="L78" s="325"/>
      <c r="M78" s="325"/>
    </row>
    <row r="79" spans="1:32" ht="18" customHeight="1" x14ac:dyDescent="0.25">
      <c r="B79" s="298"/>
      <c r="C79" s="298"/>
      <c r="D79" s="1127">
        <f>'FORMULAIRE PGA Eau potable'!D222</f>
        <v>0</v>
      </c>
      <c r="E79" s="1127">
        <f>'FORMULAIRE PGA Eau potable'!F222</f>
        <v>0</v>
      </c>
      <c r="F79" s="1127">
        <f>'FORMULAIRE PGA Eau potable'!G222</f>
        <v>0</v>
      </c>
      <c r="G79" s="28">
        <v>1</v>
      </c>
      <c r="H79" s="1370"/>
      <c r="I79" s="1371" t="str">
        <f>'MENU DÉROULANT'!C75</f>
        <v>État</v>
      </c>
      <c r="J79" s="1374">
        <f>SUMIFS($G$77:$G$86,$E$77:$E$86,I79,$F$77:$F$86,$J$76)</f>
        <v>0</v>
      </c>
      <c r="K79" s="1375">
        <f>SUMIFS($G$77:$G$86,$E$77:$E$86,I79,$F$77:$F$86,$K$76)</f>
        <v>0</v>
      </c>
      <c r="L79" s="325"/>
      <c r="M79" s="325"/>
      <c r="N79" s="152"/>
    </row>
    <row r="80" spans="1:32" ht="18" customHeight="1" x14ac:dyDescent="0.25">
      <c r="B80" s="298"/>
      <c r="C80" s="298"/>
      <c r="D80" s="1127">
        <f>'FORMULAIRE PGA Eau potable'!D223</f>
        <v>0</v>
      </c>
      <c r="E80" s="1127">
        <f>'FORMULAIRE PGA Eau potable'!F223</f>
        <v>0</v>
      </c>
      <c r="F80" s="1127">
        <f>'FORMULAIRE PGA Eau potable'!G223</f>
        <v>0</v>
      </c>
      <c r="G80" s="28">
        <v>1</v>
      </c>
      <c r="H80" s="1370"/>
      <c r="I80" s="1371" t="str">
        <f>'MENU DÉROULANT'!C76</f>
        <v>Capacité</v>
      </c>
      <c r="J80" s="1374">
        <f>SUMIFS($G$77:$G$86,$E$77:$E$86,I80,$F$77:$F$86,$J$76)</f>
        <v>0</v>
      </c>
      <c r="K80" s="1375">
        <f>SUMIFS($G$77:$G$86,$E$77:$E$86,I80,$F$77:$F$86,$K$76)</f>
        <v>0</v>
      </c>
      <c r="L80" s="325"/>
      <c r="M80" s="325"/>
      <c r="N80" s="152"/>
    </row>
    <row r="81" spans="2:32" ht="18" customHeight="1" x14ac:dyDescent="0.25">
      <c r="B81" s="298"/>
      <c r="C81" s="298"/>
      <c r="D81" s="1127">
        <f>'FORMULAIRE PGA Eau potable'!D224</f>
        <v>0</v>
      </c>
      <c r="E81" s="1127">
        <f>'FORMULAIRE PGA Eau potable'!F224</f>
        <v>0</v>
      </c>
      <c r="F81" s="1127">
        <f>'FORMULAIRE PGA Eau potable'!G224</f>
        <v>0</v>
      </c>
      <c r="G81" s="28">
        <v>1</v>
      </c>
      <c r="H81" s="1370"/>
      <c r="I81" s="1376" t="str">
        <f>'MENU DÉROULANT'!C77</f>
        <v>Autre</v>
      </c>
      <c r="J81" s="1377">
        <f>SUMIFS($G$77:$G$86,$E$77:$E$86,I81,$F$77:$F$86,$J$76)</f>
        <v>0</v>
      </c>
      <c r="K81" s="1378">
        <f>SUMIFS($G$77:$G$86,$E$77:$E$86,I81,$F$77:$F$86,$K$76)</f>
        <v>0</v>
      </c>
      <c r="L81" s="325"/>
      <c r="M81" s="325"/>
      <c r="N81" s="152"/>
    </row>
    <row r="82" spans="2:32" ht="18" customHeight="1" x14ac:dyDescent="0.25">
      <c r="D82" s="1127">
        <f>'FORMULAIRE PGA Eau potable'!D225</f>
        <v>0</v>
      </c>
      <c r="E82" s="1127">
        <f>'FORMULAIRE PGA Eau potable'!F225</f>
        <v>0</v>
      </c>
      <c r="F82" s="1127">
        <f>'FORMULAIRE PGA Eau potable'!G225</f>
        <v>0</v>
      </c>
      <c r="G82" s="28">
        <v>1</v>
      </c>
      <c r="H82" s="1370"/>
      <c r="I82" s="1370"/>
      <c r="K82" s="1127"/>
      <c r="L82" s="325"/>
      <c r="M82" s="325"/>
    </row>
    <row r="83" spans="2:32" ht="18" customHeight="1" x14ac:dyDescent="0.25">
      <c r="D83" s="1127">
        <f>'FORMULAIRE PGA Eau potable'!D226</f>
        <v>0</v>
      </c>
      <c r="E83" s="1127">
        <f>'FORMULAIRE PGA Eau potable'!F226</f>
        <v>0</v>
      </c>
      <c r="F83" s="1127">
        <f>'FORMULAIRE PGA Eau potable'!G226</f>
        <v>0</v>
      </c>
      <c r="G83" s="28">
        <v>1</v>
      </c>
      <c r="H83" s="1370"/>
      <c r="I83" s="1370"/>
      <c r="J83" s="325"/>
      <c r="K83" s="1127"/>
      <c r="L83" s="325"/>
      <c r="M83" s="1379"/>
      <c r="N83" s="325"/>
    </row>
    <row r="84" spans="2:32" ht="18" customHeight="1" x14ac:dyDescent="0.25">
      <c r="D84" s="1127">
        <f>'FORMULAIRE PGA Eau potable'!D227</f>
        <v>0</v>
      </c>
      <c r="E84" s="1127">
        <f>'FORMULAIRE PGA Eau potable'!F227</f>
        <v>0</v>
      </c>
      <c r="F84" s="1127">
        <f>'FORMULAIRE PGA Eau potable'!G227</f>
        <v>0</v>
      </c>
      <c r="G84" s="28">
        <v>1</v>
      </c>
      <c r="H84" s="1370"/>
      <c r="I84" s="1370"/>
      <c r="J84" s="325"/>
      <c r="K84" s="1127"/>
      <c r="L84" s="325"/>
      <c r="M84" s="1379"/>
      <c r="N84" s="325"/>
    </row>
    <row r="85" spans="2:32" ht="18" customHeight="1" x14ac:dyDescent="0.25">
      <c r="D85" s="1127">
        <f>'FORMULAIRE PGA Eau potable'!D228</f>
        <v>0</v>
      </c>
      <c r="E85" s="1127">
        <f>'FORMULAIRE PGA Eau potable'!F228</f>
        <v>0</v>
      </c>
      <c r="F85" s="1127">
        <f>'FORMULAIRE PGA Eau potable'!G228</f>
        <v>0</v>
      </c>
      <c r="G85" s="28">
        <v>1</v>
      </c>
      <c r="H85" s="1370"/>
      <c r="I85" s="1370"/>
      <c r="J85" s="325"/>
      <c r="K85" s="1127"/>
      <c r="L85" s="325"/>
      <c r="M85" s="1379"/>
      <c r="N85" s="325"/>
    </row>
    <row r="86" spans="2:32" ht="18" customHeight="1" x14ac:dyDescent="0.25">
      <c r="D86" s="1127">
        <f>'FORMULAIRE PGA Eau potable'!D229</f>
        <v>0</v>
      </c>
      <c r="E86" s="1127">
        <f>'FORMULAIRE PGA Eau potable'!F229</f>
        <v>0</v>
      </c>
      <c r="F86" s="1127">
        <f>'FORMULAIRE PGA Eau potable'!G229</f>
        <v>0</v>
      </c>
      <c r="G86" s="28">
        <v>1</v>
      </c>
      <c r="H86" s="1370"/>
      <c r="I86" s="1370"/>
      <c r="J86" s="325"/>
      <c r="K86" s="1127"/>
      <c r="L86" s="325"/>
      <c r="M86" s="1379"/>
      <c r="N86" s="325"/>
    </row>
    <row r="87" spans="2:32" ht="18" customHeight="1" x14ac:dyDescent="0.25">
      <c r="D87" s="1127"/>
      <c r="E87" s="1127"/>
      <c r="F87" s="1127"/>
      <c r="H87" s="1370"/>
      <c r="I87" s="1370"/>
      <c r="J87" s="325"/>
      <c r="K87" s="1127"/>
      <c r="L87" s="325"/>
      <c r="M87" s="1379"/>
      <c r="N87" s="325"/>
    </row>
    <row r="88" spans="2:32" x14ac:dyDescent="0.25">
      <c r="M88" s="1127"/>
    </row>
    <row r="89" spans="2:32" ht="22.5" customHeight="1" x14ac:dyDescent="0.3">
      <c r="B89" s="1285" t="s">
        <v>1810</v>
      </c>
      <c r="C89" s="1285"/>
      <c r="D89" s="1285"/>
      <c r="E89" s="1285"/>
      <c r="F89" s="1285"/>
      <c r="G89" s="1285"/>
      <c r="H89" s="1285"/>
      <c r="I89" s="1285"/>
      <c r="J89" s="1285"/>
      <c r="K89" s="1285"/>
      <c r="L89" s="1285"/>
      <c r="M89" s="1285"/>
      <c r="N89" s="1285"/>
      <c r="O89" s="1285"/>
      <c r="P89" s="1285"/>
      <c r="Q89" s="1285"/>
      <c r="R89" s="1285"/>
      <c r="S89" s="1285"/>
      <c r="T89" s="1285"/>
      <c r="U89" s="1285"/>
      <c r="V89" s="1285"/>
      <c r="W89" s="1285"/>
      <c r="X89" s="1285"/>
      <c r="Y89" s="1285"/>
      <c r="Z89" s="1285"/>
      <c r="AA89" s="1285"/>
      <c r="AB89" s="1285"/>
      <c r="AC89" s="1285"/>
      <c r="AD89" s="1285"/>
      <c r="AE89" s="1285"/>
      <c r="AF89" s="1285"/>
    </row>
    <row r="91" spans="2:32" ht="25.5" customHeight="1" x14ac:dyDescent="0.25">
      <c r="D91" s="2178" t="s">
        <v>223</v>
      </c>
      <c r="E91" s="1380" t="s">
        <v>1516</v>
      </c>
      <c r="F91" s="1380" t="s">
        <v>1517</v>
      </c>
      <c r="G91" s="72"/>
      <c r="H91" s="1380"/>
      <c r="I91" s="3290" t="s">
        <v>1516</v>
      </c>
      <c r="J91" s="3291"/>
      <c r="K91" s="3290" t="s">
        <v>1517</v>
      </c>
      <c r="L91" s="3291"/>
      <c r="N91" s="1363" t="s">
        <v>161</v>
      </c>
      <c r="O91" s="1364">
        <f>O71</f>
        <v>0</v>
      </c>
    </row>
    <row r="92" spans="2:32" x14ac:dyDescent="0.25">
      <c r="D92" s="298">
        <f>'FORMULAIRE PGA Eau potable'!D220</f>
        <v>0</v>
      </c>
      <c r="E92" s="325">
        <f>'FORMULAIRE PGA Eau potable'!H220</f>
        <v>0</v>
      </c>
      <c r="F92" s="325">
        <f>'FORMULAIRE PGA Eau potable'!I220</f>
        <v>0</v>
      </c>
      <c r="I92" s="1381" t="str">
        <f>IF(E92=$G$99,"h",IF(E92=$G$100,"g",IF((E92=$G$101),"i","")))</f>
        <v/>
      </c>
      <c r="J92" s="1308" t="str">
        <f>IF(E92=$G$102,"Inconnu","")</f>
        <v/>
      </c>
      <c r="K92" s="1382" t="str">
        <f>IF(F92=$J$99,5,IF(F92=$J$100,0,IF((F92=$J$101),6,"")))</f>
        <v/>
      </c>
      <c r="L92" s="1383" t="str">
        <f>IF(F92=$J$102,"Aucun","")</f>
        <v/>
      </c>
    </row>
    <row r="93" spans="2:32" x14ac:dyDescent="0.25">
      <c r="D93" s="298">
        <f>'FORMULAIRE PGA Eau potable'!D221</f>
        <v>0</v>
      </c>
      <c r="E93" s="325">
        <f>'FORMULAIRE PGA Eau potable'!H221</f>
        <v>0</v>
      </c>
      <c r="F93" s="325">
        <f>'FORMULAIRE PGA Eau potable'!I221</f>
        <v>0</v>
      </c>
      <c r="I93" s="1381" t="str">
        <f>IF(E93=$G$99,"h",IF(E93=$G$100,"g",IF((E93=$G$101),"i","")))</f>
        <v/>
      </c>
      <c r="J93" s="1308" t="str">
        <f>IF(E93=$G$102,"Inconnu","")</f>
        <v/>
      </c>
      <c r="K93" s="1382" t="str">
        <f>IF(F93=$J$99,5,IF(F93=$J$100,0,IF((F93=$J$101),6,"")))</f>
        <v/>
      </c>
      <c r="L93" s="1383" t="str">
        <f>IF(F93=$J$102,"Aucun","")</f>
        <v/>
      </c>
    </row>
    <row r="94" spans="2:32" x14ac:dyDescent="0.25">
      <c r="D94" s="298">
        <f>'FORMULAIRE PGA Eau potable'!D222</f>
        <v>0</v>
      </c>
      <c r="E94" s="325">
        <f>'FORMULAIRE PGA Eau potable'!H222</f>
        <v>0</v>
      </c>
      <c r="F94" s="325">
        <f>'FORMULAIRE PGA Eau potable'!I222</f>
        <v>0</v>
      </c>
      <c r="I94" s="1384" t="str">
        <f>IF(E94=$G$99,"h",IF(E94=$G$100,"g",IF((E94=$G$101),"i","")))</f>
        <v/>
      </c>
      <c r="J94" s="1385" t="str">
        <f>IF(E94=$G$102,"Inconnu","")</f>
        <v/>
      </c>
      <c r="K94" s="1386" t="str">
        <f>IF(F94=$J$99,5,IF(F94=$J$100,0,IF((F94=$J$101),6,"")))</f>
        <v/>
      </c>
      <c r="L94" s="1387" t="str">
        <f>IF(F94=$J$102,"Aucun","")</f>
        <v/>
      </c>
    </row>
    <row r="95" spans="2:32" x14ac:dyDescent="0.25">
      <c r="I95" s="1388" t="str">
        <f t="shared" ref="I95:I96" si="1">IF(E95=$G$99,"h",IF(E95=$G$100,"g",IF((E95=$G$101),"i","")))</f>
        <v/>
      </c>
      <c r="J95" s="1389" t="str">
        <f t="shared" ref="J95:J96" si="2">IF(E95=$G$102,"Inconnu","")</f>
        <v/>
      </c>
      <c r="K95" s="1388" t="str">
        <f>IF(F95=$J$99,5,IF(F95=$J$100,0,IF((F95=$J$101),6,"")))</f>
        <v/>
      </c>
      <c r="L95" s="1390" t="str">
        <f t="shared" ref="L95:L96" si="3">IF(F95=$J$102,"Aucun","")</f>
        <v/>
      </c>
    </row>
    <row r="96" spans="2:32" x14ac:dyDescent="0.25">
      <c r="I96" s="1384" t="str">
        <f t="shared" si="1"/>
        <v/>
      </c>
      <c r="J96" s="1385" t="str">
        <f t="shared" si="2"/>
        <v/>
      </c>
      <c r="K96" s="1384" t="str">
        <f>IF(F96=$J$99,5,IF(F96=$J$100,0,IF((F96=$J$101),6,"")))</f>
        <v/>
      </c>
      <c r="L96" s="1387" t="str">
        <f t="shared" si="3"/>
        <v/>
      </c>
    </row>
    <row r="97" spans="2:32" x14ac:dyDescent="0.25">
      <c r="I97" s="1379"/>
      <c r="K97" s="1379"/>
    </row>
    <row r="98" spans="2:32" ht="15.75" x14ac:dyDescent="0.25">
      <c r="F98" s="1391"/>
      <c r="G98" s="1392" t="s">
        <v>1808</v>
      </c>
      <c r="H98" s="1393"/>
      <c r="I98" s="1391"/>
      <c r="J98" s="1392" t="s">
        <v>1809</v>
      </c>
      <c r="K98" s="1379"/>
    </row>
    <row r="99" spans="2:32" x14ac:dyDescent="0.25">
      <c r="G99" s="1379" t="str">
        <f>'MENU DÉROULANT'!E73</f>
        <v>Amélioration</v>
      </c>
      <c r="H99" s="325"/>
      <c r="J99" s="1379" t="str">
        <f>'MENU DÉROULANT'!F73</f>
        <v>Augmenter la performance</v>
      </c>
      <c r="K99" s="1379"/>
    </row>
    <row r="100" spans="2:32" x14ac:dyDescent="0.25">
      <c r="G100" s="1379" t="str">
        <f>'MENU DÉROULANT'!E74</f>
        <v>Stabilité</v>
      </c>
      <c r="H100" s="325"/>
      <c r="J100" s="1379" t="str">
        <f>'MENU DÉROULANT'!F74</f>
        <v>Maintenir la performance</v>
      </c>
      <c r="K100" s="1379"/>
    </row>
    <row r="101" spans="2:32" x14ac:dyDescent="0.25">
      <c r="G101" s="1379" t="str">
        <f>'MENU DÉROULANT'!E75</f>
        <v>Détérioration</v>
      </c>
      <c r="H101" s="325"/>
      <c r="J101" s="1379" t="str">
        <f>'MENU DÉROULANT'!F75</f>
        <v>Diminuer la performance</v>
      </c>
      <c r="K101" s="1379"/>
    </row>
    <row r="102" spans="2:32" x14ac:dyDescent="0.25">
      <c r="G102" s="1379" t="str">
        <f>'MENU DÉROULANT'!E76</f>
        <v>Inconnu</v>
      </c>
      <c r="J102" s="1379" t="str">
        <f>'MENU DÉROULANT'!F76</f>
        <v>Aucun objectif pour le moment</v>
      </c>
      <c r="K102" s="325"/>
    </row>
    <row r="103" spans="2:32" x14ac:dyDescent="0.25">
      <c r="G103" s="1379"/>
      <c r="J103" s="1379"/>
      <c r="K103" s="325"/>
    </row>
    <row r="104" spans="2:32" x14ac:dyDescent="0.25">
      <c r="I104" s="325"/>
      <c r="K104" s="325"/>
    </row>
    <row r="105" spans="2:32" ht="31.5" customHeight="1" x14ac:dyDescent="0.35">
      <c r="B105" s="1283" t="s">
        <v>2339</v>
      </c>
      <c r="C105" s="1283"/>
      <c r="D105" s="1284"/>
      <c r="E105" s="1284"/>
      <c r="F105" s="1284"/>
      <c r="G105" s="1284"/>
      <c r="H105" s="1284"/>
      <c r="I105" s="1284"/>
      <c r="J105" s="1284"/>
      <c r="K105" s="1284"/>
      <c r="L105" s="1284"/>
      <c r="M105" s="1284"/>
      <c r="N105" s="1284"/>
      <c r="O105" s="1284"/>
      <c r="P105" s="1284"/>
      <c r="Q105" s="1284"/>
      <c r="R105" s="1284"/>
      <c r="S105" s="1284"/>
      <c r="T105" s="1284"/>
      <c r="U105" s="1284"/>
      <c r="V105" s="1284"/>
      <c r="W105" s="1284"/>
      <c r="X105" s="1284"/>
      <c r="Y105" s="1284"/>
      <c r="Z105" s="1284"/>
      <c r="AA105" s="1284"/>
      <c r="AB105" s="1284"/>
      <c r="AC105" s="1284"/>
      <c r="AD105" s="1284"/>
      <c r="AE105" s="1284"/>
      <c r="AF105" s="1284"/>
    </row>
    <row r="107" spans="2:32" ht="22.5" customHeight="1" x14ac:dyDescent="0.3">
      <c r="B107" s="1285" t="s">
        <v>195</v>
      </c>
      <c r="C107" s="1285"/>
      <c r="D107" s="1285"/>
      <c r="E107" s="1285"/>
      <c r="F107" s="1285"/>
      <c r="G107" s="1285"/>
      <c r="H107" s="1285"/>
      <c r="I107" s="1285"/>
      <c r="J107" s="1285"/>
      <c r="K107" s="1285"/>
      <c r="L107" s="1285"/>
      <c r="M107" s="1285"/>
      <c r="N107" s="1285"/>
      <c r="O107" s="1285"/>
      <c r="P107" s="1285"/>
      <c r="Q107" s="1285"/>
      <c r="R107" s="1285"/>
      <c r="S107" s="1285"/>
      <c r="T107" s="1285"/>
      <c r="U107" s="1285"/>
      <c r="V107" s="1285"/>
      <c r="W107" s="1285"/>
      <c r="X107" s="1285"/>
      <c r="Y107" s="1285"/>
      <c r="Z107" s="1285"/>
      <c r="AA107" s="1285"/>
      <c r="AB107" s="1285"/>
      <c r="AC107" s="1285"/>
      <c r="AD107" s="1285"/>
      <c r="AE107" s="1285"/>
      <c r="AF107" s="1285"/>
    </row>
    <row r="109" spans="2:32" ht="18.75" x14ac:dyDescent="0.3">
      <c r="D109" s="1394" t="str">
        <f>'FORMULAIRE PGA Eau potable'!D311</f>
        <v>Catégories de changements</v>
      </c>
    </row>
    <row r="110" spans="2:32" x14ac:dyDescent="0.25">
      <c r="D110" s="1379" t="str">
        <f>'FORMULAIRE PGA Eau potable'!D312</f>
        <v>Démographiques</v>
      </c>
      <c r="E110" s="1395">
        <f>'FORMULAIRE PGA Eau potable'!F312</f>
        <v>0</v>
      </c>
      <c r="I110" s="28">
        <f t="shared" ref="I110:I115" si="4">IF(E110=$L$114,4,IF(E110=$L$113,3,IF(E110=$L$112,2,IF(E110=$L$111,1,0))))</f>
        <v>0</v>
      </c>
      <c r="K110" s="28" t="s">
        <v>166</v>
      </c>
      <c r="L110" s="1396" t="str">
        <f>'MENU DÉROULANT'!C96</f>
        <v>Aucun changement n'est anticipé.</v>
      </c>
    </row>
    <row r="111" spans="2:32" x14ac:dyDescent="0.25">
      <c r="D111" s="1379" t="str">
        <f>'FORMULAIRE PGA Eau potable'!D313</f>
        <v>Climatiques</v>
      </c>
      <c r="E111" s="1395">
        <f>'FORMULAIRE PGA Eau potable'!F313</f>
        <v>0</v>
      </c>
      <c r="I111" s="28">
        <f t="shared" si="4"/>
        <v>0</v>
      </c>
      <c r="L111" s="1396" t="str">
        <f>'MENU DÉROULANT'!C97</f>
        <v>Des changements sont anticipés à court terme (1-4 ans).</v>
      </c>
    </row>
    <row r="112" spans="2:32" x14ac:dyDescent="0.25">
      <c r="D112" s="1379" t="str">
        <f>'FORMULAIRE PGA Eau potable'!D314</f>
        <v>Cadre légal et règlementaire</v>
      </c>
      <c r="E112" s="1395">
        <f>'FORMULAIRE PGA Eau potable'!F314</f>
        <v>0</v>
      </c>
      <c r="I112" s="28">
        <f t="shared" si="4"/>
        <v>0</v>
      </c>
      <c r="L112" s="1396" t="str">
        <f>'MENU DÉROULANT'!C98</f>
        <v>Des changements sont anticipés à moyen terme (5-7 ans).</v>
      </c>
    </row>
    <row r="113" spans="4:31" x14ac:dyDescent="0.25">
      <c r="D113" s="1379" t="str">
        <f>'FORMULAIRE PGA Eau potable'!D315</f>
        <v>Économiques</v>
      </c>
      <c r="E113" s="1395">
        <f>'FORMULAIRE PGA Eau potable'!F315</f>
        <v>0</v>
      </c>
      <c r="I113" s="28">
        <f t="shared" si="4"/>
        <v>0</v>
      </c>
      <c r="L113" s="1396" t="str">
        <f>'MENU DÉROULANT'!C99</f>
        <v>Des changements sont à prévoir à long terme (8-10 ans).</v>
      </c>
    </row>
    <row r="114" spans="4:31" x14ac:dyDescent="0.25">
      <c r="D114" s="1379" t="str">
        <f>'FORMULAIRE PGA Eau potable'!D316</f>
        <v>Technologiques</v>
      </c>
      <c r="E114" s="1395">
        <f>'FORMULAIRE PGA Eau potable'!F316</f>
        <v>0</v>
      </c>
      <c r="I114" s="28">
        <f t="shared" si="4"/>
        <v>0</v>
      </c>
      <c r="L114" s="1396" t="str">
        <f>'MENU DÉROULANT'!C100</f>
        <v>Des changements sont à prévoir continuellement sur 10 ans.</v>
      </c>
    </row>
    <row r="115" spans="4:31" x14ac:dyDescent="0.25">
      <c r="D115" s="1379" t="str">
        <f>CONCATENATE(K115,L115)</f>
        <v xml:space="preserve">Autre </v>
      </c>
      <c r="E115" s="1395">
        <f>'FORMULAIRE PGA Eau potable'!F317</f>
        <v>0</v>
      </c>
      <c r="I115" s="28">
        <f t="shared" si="4"/>
        <v>0</v>
      </c>
      <c r="K115" s="1397" t="s">
        <v>225</v>
      </c>
      <c r="L115" s="3277" t="str">
        <f>IF('FORMULAIRE PGA Eau potable'!E317=0,"",CONCATENATE("(",'FORMULAIRE PGA Eau potable'!E317,")"))</f>
        <v/>
      </c>
      <c r="M115" s="3277"/>
      <c r="N115" s="3277"/>
    </row>
    <row r="117" spans="4:31" ht="24.75" customHeight="1" x14ac:dyDescent="0.25">
      <c r="D117" s="1398"/>
      <c r="K117" s="1399" t="s">
        <v>1791</v>
      </c>
      <c r="L117" s="1400">
        <f>IF(I33=1,'FORMULAIRE PGA Eau potable'!L621,IF(I44=1,'FORMULAIRE PGA Eau potable'!G621,ROUNDDOWN(AVERAGE('FORMULAIRE PGA Eau potable'!G621,'FORMULAIRE PGA Eau potable'!L621),0)))</f>
        <v>0</v>
      </c>
    </row>
    <row r="118" spans="4:31" ht="9" customHeight="1" x14ac:dyDescent="0.25">
      <c r="Q118" s="88"/>
      <c r="R118" s="88"/>
      <c r="S118" s="55"/>
      <c r="T118" s="55"/>
      <c r="U118" s="55"/>
      <c r="V118" s="55"/>
      <c r="W118" s="55"/>
      <c r="X118" s="55"/>
      <c r="Y118" s="55"/>
      <c r="Z118" s="55"/>
      <c r="AA118" s="55"/>
      <c r="AB118" s="55"/>
      <c r="AC118" s="55"/>
      <c r="AD118" s="55"/>
      <c r="AE118" s="55"/>
    </row>
    <row r="119" spans="4:31" ht="8.25" customHeight="1" x14ac:dyDescent="0.25">
      <c r="Q119" s="3289" t="str">
        <f>D110</f>
        <v>Démographiques</v>
      </c>
      <c r="R119" s="1401"/>
      <c r="S119" s="122"/>
      <c r="T119" s="55"/>
      <c r="U119" s="55"/>
      <c r="V119" s="55"/>
      <c r="W119" s="55"/>
      <c r="X119" s="55"/>
      <c r="Y119" s="55"/>
      <c r="Z119" s="55"/>
      <c r="AA119" s="55"/>
      <c r="AB119" s="55"/>
      <c r="AC119" s="55"/>
      <c r="AD119" s="55"/>
      <c r="AE119" s="55"/>
    </row>
    <row r="120" spans="4:31" ht="9.75" customHeight="1" x14ac:dyDescent="0.25">
      <c r="E120" s="373"/>
      <c r="Q120" s="3289"/>
      <c r="R120" s="1401"/>
      <c r="S120" s="122"/>
      <c r="T120" s="55"/>
      <c r="U120" s="55"/>
      <c r="V120" s="55"/>
      <c r="W120" s="55"/>
      <c r="X120" s="55"/>
      <c r="Y120" s="55"/>
      <c r="Z120" s="55"/>
      <c r="AA120" s="55"/>
      <c r="AB120" s="55"/>
      <c r="AC120" s="55"/>
      <c r="AD120" s="55"/>
      <c r="AE120" s="55"/>
    </row>
    <row r="121" spans="4:31" ht="10.5" customHeight="1" x14ac:dyDescent="0.25">
      <c r="Q121" s="3289" t="str">
        <f>D111</f>
        <v>Climatiques</v>
      </c>
      <c r="R121" s="1401"/>
      <c r="S121" s="122"/>
      <c r="T121" s="55"/>
      <c r="U121" s="55"/>
      <c r="V121" s="55"/>
      <c r="W121" s="55"/>
      <c r="X121" s="55"/>
      <c r="Y121" s="55"/>
      <c r="Z121" s="55"/>
      <c r="AA121" s="55"/>
      <c r="AB121" s="55"/>
      <c r="AC121" s="55"/>
      <c r="AD121" s="55"/>
      <c r="AE121" s="55"/>
    </row>
    <row r="122" spans="4:31" ht="9.75" customHeight="1" x14ac:dyDescent="0.25">
      <c r="Q122" s="3289"/>
      <c r="R122" s="1401"/>
      <c r="S122" s="122"/>
      <c r="T122" s="55"/>
      <c r="U122" s="55"/>
      <c r="V122" s="55"/>
      <c r="W122" s="55"/>
      <c r="X122" s="55"/>
      <c r="Y122" s="55"/>
      <c r="Z122" s="55"/>
      <c r="AA122" s="55"/>
      <c r="AB122" s="55"/>
      <c r="AC122" s="55"/>
      <c r="AD122" s="55"/>
      <c r="AE122" s="55"/>
    </row>
    <row r="123" spans="4:31" ht="10.5" customHeight="1" x14ac:dyDescent="0.25">
      <c r="Q123" s="3289" t="str">
        <f>D112</f>
        <v>Cadre légal et règlementaire</v>
      </c>
      <c r="R123" s="1401"/>
      <c r="S123" s="122"/>
      <c r="T123" s="55"/>
      <c r="U123" s="55"/>
      <c r="V123" s="55"/>
      <c r="W123" s="55"/>
      <c r="X123" s="55"/>
      <c r="Y123" s="55"/>
      <c r="Z123" s="55"/>
      <c r="AA123" s="55"/>
      <c r="AB123" s="55"/>
      <c r="AC123" s="55"/>
      <c r="AD123" s="55"/>
      <c r="AE123" s="55"/>
    </row>
    <row r="124" spans="4:31" ht="9.75" customHeight="1" x14ac:dyDescent="0.25">
      <c r="Q124" s="3289"/>
      <c r="R124" s="1401"/>
      <c r="S124" s="122"/>
      <c r="T124" s="55"/>
      <c r="U124" s="55"/>
      <c r="V124" s="55"/>
      <c r="W124" s="55"/>
      <c r="X124" s="55"/>
      <c r="Y124" s="55"/>
      <c r="Z124" s="55"/>
      <c r="AA124" s="55"/>
      <c r="AB124" s="55"/>
      <c r="AC124" s="55"/>
      <c r="AD124" s="55"/>
      <c r="AE124" s="55"/>
    </row>
    <row r="125" spans="4:31" ht="10.5" customHeight="1" x14ac:dyDescent="0.25">
      <c r="Q125" s="3289" t="str">
        <f>D113</f>
        <v>Économiques</v>
      </c>
      <c r="R125" s="1401"/>
      <c r="S125" s="122"/>
      <c r="T125" s="55"/>
      <c r="U125" s="55"/>
      <c r="V125" s="55"/>
      <c r="W125" s="55"/>
      <c r="X125" s="55"/>
      <c r="Y125" s="55"/>
      <c r="Z125" s="55"/>
      <c r="AA125" s="55"/>
      <c r="AB125" s="55"/>
      <c r="AC125" s="55"/>
      <c r="AD125" s="55"/>
      <c r="AE125" s="55"/>
    </row>
    <row r="126" spans="4:31" ht="9.75" customHeight="1" x14ac:dyDescent="0.25">
      <c r="Q126" s="3289"/>
      <c r="R126" s="1401"/>
      <c r="S126" s="122"/>
      <c r="T126" s="55"/>
      <c r="U126" s="55"/>
      <c r="V126" s="55"/>
      <c r="W126" s="55"/>
      <c r="X126" s="55"/>
      <c r="Y126" s="55"/>
      <c r="Z126" s="55"/>
      <c r="AA126" s="55"/>
      <c r="AB126" s="55"/>
      <c r="AC126" s="55"/>
      <c r="AD126" s="55"/>
      <c r="AE126" s="55"/>
    </row>
    <row r="127" spans="4:31" ht="10.5" customHeight="1" x14ac:dyDescent="0.25">
      <c r="Q127" s="3289" t="str">
        <f>D114</f>
        <v>Technologiques</v>
      </c>
      <c r="R127" s="1401"/>
      <c r="S127" s="122"/>
      <c r="T127" s="55"/>
      <c r="U127" s="55"/>
      <c r="V127" s="55"/>
      <c r="W127" s="55"/>
      <c r="X127" s="55"/>
      <c r="Y127" s="55"/>
      <c r="Z127" s="55"/>
      <c r="AA127" s="55"/>
      <c r="AB127" s="55"/>
      <c r="AC127" s="55"/>
      <c r="AD127" s="55"/>
      <c r="AE127" s="55"/>
    </row>
    <row r="128" spans="4:31" ht="9.75" customHeight="1" x14ac:dyDescent="0.25">
      <c r="Q128" s="3289"/>
      <c r="R128" s="1401"/>
      <c r="S128" s="122"/>
      <c r="T128" s="55"/>
      <c r="U128" s="55"/>
      <c r="V128" s="55"/>
      <c r="W128" s="55"/>
      <c r="X128" s="55"/>
      <c r="Y128" s="55"/>
      <c r="Z128" s="55"/>
      <c r="AA128" s="55"/>
      <c r="AB128" s="55"/>
      <c r="AC128" s="55"/>
      <c r="AD128" s="55"/>
      <c r="AE128" s="55"/>
    </row>
    <row r="129" spans="2:32" ht="10.5" customHeight="1" x14ac:dyDescent="0.25">
      <c r="Q129" s="3289" t="str">
        <f>D115</f>
        <v xml:space="preserve">Autre </v>
      </c>
      <c r="R129" s="1401"/>
      <c r="S129" s="122"/>
      <c r="T129" s="55"/>
      <c r="U129" s="55"/>
      <c r="V129" s="55"/>
      <c r="W129" s="55"/>
      <c r="X129" s="55"/>
      <c r="Y129" s="55"/>
      <c r="Z129" s="55"/>
      <c r="AA129" s="55"/>
      <c r="AB129" s="55"/>
      <c r="AC129" s="55"/>
      <c r="AD129" s="55"/>
      <c r="AE129" s="55"/>
    </row>
    <row r="130" spans="2:32" ht="9.75" customHeight="1" x14ac:dyDescent="0.25">
      <c r="Q130" s="3289"/>
      <c r="R130" s="1401"/>
      <c r="S130" s="122"/>
      <c r="T130" s="55"/>
      <c r="U130" s="55"/>
      <c r="V130" s="55"/>
      <c r="W130" s="55"/>
      <c r="X130" s="55"/>
      <c r="Y130" s="55"/>
      <c r="Z130" s="55"/>
      <c r="AA130" s="55"/>
      <c r="AB130" s="55"/>
      <c r="AC130" s="55"/>
      <c r="AD130" s="55"/>
      <c r="AE130" s="55"/>
    </row>
    <row r="131" spans="2:32" ht="10.5" customHeight="1" x14ac:dyDescent="0.25">
      <c r="Q131" s="88"/>
      <c r="R131" s="1402"/>
      <c r="S131" s="1403"/>
      <c r="T131" s="162"/>
      <c r="U131" s="162"/>
      <c r="V131" s="162"/>
      <c r="W131" s="162"/>
      <c r="X131" s="162"/>
      <c r="Y131" s="162"/>
      <c r="Z131" s="162"/>
      <c r="AA131" s="162"/>
      <c r="AB131" s="162"/>
      <c r="AC131" s="162"/>
      <c r="AD131" s="162"/>
      <c r="AE131" s="55"/>
    </row>
    <row r="132" spans="2:32" ht="6.75" customHeight="1" x14ac:dyDescent="0.25">
      <c r="Q132" s="1404"/>
      <c r="R132" s="1404"/>
      <c r="S132" s="55"/>
      <c r="T132" s="55"/>
      <c r="U132" s="55"/>
      <c r="V132" s="55"/>
      <c r="W132" s="55"/>
      <c r="X132" s="55"/>
      <c r="Y132" s="55"/>
      <c r="Z132" s="55"/>
      <c r="AA132" s="55"/>
      <c r="AB132" s="55"/>
      <c r="AC132" s="55"/>
      <c r="AD132" s="55"/>
      <c r="AE132" s="55"/>
    </row>
    <row r="133" spans="2:32" ht="13.5" customHeight="1" x14ac:dyDescent="0.25">
      <c r="Q133" s="88"/>
      <c r="R133" s="88"/>
      <c r="S133" s="55"/>
      <c r="T133" s="55"/>
      <c r="U133" s="55"/>
      <c r="V133" s="1405" t="s">
        <v>231</v>
      </c>
      <c r="W133" s="1406"/>
      <c r="X133" s="1406"/>
      <c r="Y133" s="1406"/>
      <c r="Z133" s="1405" t="s">
        <v>231</v>
      </c>
      <c r="AA133" s="1406"/>
      <c r="AB133" s="1406"/>
      <c r="AC133" s="1406"/>
      <c r="AD133" s="1405" t="s">
        <v>231</v>
      </c>
      <c r="AE133" s="55"/>
    </row>
    <row r="134" spans="2:32" ht="22.5" customHeight="1" x14ac:dyDescent="0.25">
      <c r="R134" s="55"/>
      <c r="S134" s="55"/>
      <c r="U134" s="126"/>
      <c r="V134" s="1405" t="s">
        <v>237</v>
      </c>
      <c r="W134" s="1407"/>
      <c r="X134" s="1407"/>
      <c r="Y134" s="1408"/>
      <c r="Z134" s="1405" t="s">
        <v>238</v>
      </c>
      <c r="AA134" s="1407"/>
      <c r="AB134" s="1407"/>
      <c r="AC134" s="1408"/>
      <c r="AD134" s="1405" t="s">
        <v>239</v>
      </c>
      <c r="AE134" s="55"/>
    </row>
    <row r="138" spans="2:32" ht="22.5" customHeight="1" x14ac:dyDescent="0.3">
      <c r="B138" s="1285" t="s">
        <v>196</v>
      </c>
      <c r="C138" s="1285"/>
      <c r="D138" s="1285"/>
      <c r="E138" s="1285"/>
      <c r="F138" s="1285"/>
      <c r="G138" s="1285"/>
      <c r="H138" s="1285"/>
      <c r="I138" s="1285"/>
      <c r="J138" s="1285"/>
      <c r="K138" s="1285"/>
      <c r="L138" s="1285"/>
      <c r="M138" s="1285"/>
      <c r="N138" s="1285"/>
      <c r="O138" s="1285"/>
      <c r="P138" s="1285"/>
      <c r="Q138" s="1285"/>
      <c r="R138" s="1285"/>
      <c r="S138" s="1285"/>
      <c r="T138" s="1285"/>
      <c r="U138" s="1285"/>
      <c r="V138" s="1285"/>
      <c r="W138" s="1285"/>
      <c r="X138" s="1285"/>
      <c r="Y138" s="1285"/>
      <c r="Z138" s="1285"/>
      <c r="AA138" s="1285"/>
      <c r="AB138" s="1285"/>
      <c r="AC138" s="1285"/>
      <c r="AD138" s="1285"/>
      <c r="AE138" s="1285"/>
      <c r="AF138" s="1285"/>
    </row>
    <row r="140" spans="2:32" ht="18.75" x14ac:dyDescent="0.3">
      <c r="D140" s="1394" t="str">
        <f>'FORMULAIRE PGA Eau potable'!D268</f>
        <v>Catégories de risques</v>
      </c>
    </row>
    <row r="141" spans="2:32" x14ac:dyDescent="0.25">
      <c r="D141" s="1379" t="str">
        <f>CONCATENATE(K146,L146)</f>
        <v xml:space="preserve">Autre </v>
      </c>
      <c r="E141" s="1395">
        <f>'FORMULAIRE PGA Eau potable'!F274</f>
        <v>0</v>
      </c>
      <c r="I141" s="28">
        <f t="shared" ref="I141:I146" si="5">IF(E141=$L$144,3,IF(E141=$L$143,2,IF(E141=$L$142,1,0)))</f>
        <v>0</v>
      </c>
      <c r="K141" s="28" t="s">
        <v>166</v>
      </c>
      <c r="L141" s="325" t="str">
        <f>'MENU DÉROULANT'!C85</f>
        <v>Aucun risque associé n'a été déterminé.</v>
      </c>
    </row>
    <row r="142" spans="2:32" x14ac:dyDescent="0.25">
      <c r="D142" s="1379" t="str">
        <f>'FORMULAIRE PGA Eau potable'!D272</f>
        <v>Manque d'informations</v>
      </c>
      <c r="E142" s="1395">
        <f>'FORMULAIRE PGA Eau potable'!F272</f>
        <v>0</v>
      </c>
      <c r="I142" s="28">
        <f t="shared" si="5"/>
        <v>0</v>
      </c>
      <c r="L142" s="325" t="str">
        <f>'MENU DÉROULANT'!C86</f>
        <v>Les risques associés sont de niveau modéré ou faible.</v>
      </c>
    </row>
    <row r="143" spans="2:32" x14ac:dyDescent="0.25">
      <c r="D143" s="1379" t="str">
        <f>'FORMULAIRE PGA Eau potable'!D273</f>
        <v>Changements climatiques</v>
      </c>
      <c r="E143" s="1395">
        <f>'FORMULAIRE PGA Eau potable'!F273</f>
        <v>0</v>
      </c>
      <c r="I143" s="28">
        <f t="shared" si="5"/>
        <v>0</v>
      </c>
      <c r="L143" s="325" t="str">
        <f>'MENU DÉROULANT'!C87</f>
        <v>Certains risques associés sont de niveau élevé.</v>
      </c>
    </row>
    <row r="144" spans="2:32" x14ac:dyDescent="0.25">
      <c r="D144" s="1379" t="str">
        <f>'FORMULAIRE PGA Eau potable'!D271</f>
        <v>Sous-financement</v>
      </c>
      <c r="E144" s="1395">
        <f>'FORMULAIRE PGA Eau potable'!F271</f>
        <v>0</v>
      </c>
      <c r="I144" s="28">
        <f t="shared" si="5"/>
        <v>0</v>
      </c>
      <c r="L144" s="325" t="str">
        <f>'MENU DÉROULANT'!C88</f>
        <v>Certains risques associés sont de niveau très élevé.</v>
      </c>
    </row>
    <row r="145" spans="4:31" x14ac:dyDescent="0.25">
      <c r="D145" s="1379" t="str">
        <f>'FORMULAIRE PGA Eau potable'!D270</f>
        <v>Dotation de personnel</v>
      </c>
      <c r="E145" s="1395">
        <f>'FORMULAIRE PGA Eau potable'!F270</f>
        <v>0</v>
      </c>
      <c r="I145" s="28">
        <f t="shared" si="5"/>
        <v>0</v>
      </c>
    </row>
    <row r="146" spans="4:31" x14ac:dyDescent="0.25">
      <c r="D146" s="1379" t="str">
        <f>'FORMULAIRE PGA Eau potable'!D269</f>
        <v>Actifs critiques</v>
      </c>
      <c r="E146" s="1395">
        <f>'FORMULAIRE PGA Eau potable'!F269</f>
        <v>0</v>
      </c>
      <c r="I146" s="28">
        <f t="shared" si="5"/>
        <v>0</v>
      </c>
      <c r="K146" s="1409" t="s">
        <v>225</v>
      </c>
      <c r="L146" s="3277" t="str">
        <f>IF('FORMULAIRE PGA Eau potable'!E274=0,"",CONCATENATE("(",'FORMULAIRE PGA Eau potable'!E274,")"))</f>
        <v/>
      </c>
      <c r="M146" s="3277"/>
      <c r="N146" s="3277"/>
    </row>
    <row r="148" spans="4:31" ht="24.75" customHeight="1" x14ac:dyDescent="0.25">
      <c r="K148" s="1399" t="s">
        <v>1791</v>
      </c>
      <c r="L148" s="1400">
        <f>IF(I33=1,'FORMULAIRE PGA Eau potable'!L617,IF(I44=1,'FORMULAIRE PGA Eau potable'!G617,ROUNDDOWN(AVERAGE('FORMULAIRE PGA Eau potable'!G617,'FORMULAIRE PGA Eau potable'!L617),0)))</f>
        <v>0</v>
      </c>
    </row>
    <row r="150" spans="4:31" x14ac:dyDescent="0.25">
      <c r="Q150" s="88"/>
      <c r="R150" s="88"/>
      <c r="S150" s="55"/>
      <c r="T150" s="55"/>
      <c r="U150" s="55"/>
      <c r="V150" s="55"/>
      <c r="W150" s="55"/>
      <c r="X150" s="55"/>
      <c r="Y150" s="55"/>
      <c r="Z150" s="55"/>
      <c r="AA150" s="55"/>
      <c r="AB150" s="55"/>
      <c r="AC150" s="55"/>
      <c r="AD150" s="55"/>
      <c r="AE150" s="55"/>
    </row>
    <row r="151" spans="4:31" ht="6.75" customHeight="1" x14ac:dyDescent="0.25">
      <c r="Q151" s="3289" t="str">
        <f>D146</f>
        <v>Actifs critiques</v>
      </c>
      <c r="R151" s="1401"/>
      <c r="S151" s="122"/>
      <c r="T151" s="55"/>
      <c r="U151" s="55"/>
      <c r="V151" s="55"/>
      <c r="W151" s="55"/>
      <c r="X151" s="55"/>
      <c r="Y151" s="55"/>
      <c r="Z151" s="55"/>
      <c r="AA151" s="55"/>
      <c r="AB151" s="55"/>
      <c r="AC151" s="55"/>
      <c r="AD151" s="55"/>
      <c r="AE151" s="55"/>
    </row>
    <row r="152" spans="4:31" ht="12" customHeight="1" x14ac:dyDescent="0.25">
      <c r="Q152" s="3289"/>
      <c r="R152" s="1401"/>
      <c r="S152" s="122"/>
      <c r="T152" s="55"/>
      <c r="U152" s="55"/>
      <c r="V152" s="55"/>
      <c r="W152" s="55"/>
      <c r="X152" s="55"/>
      <c r="Y152" s="55"/>
      <c r="Z152" s="55"/>
      <c r="AA152" s="55"/>
      <c r="AB152" s="55"/>
      <c r="AC152" s="55"/>
      <c r="AD152" s="55"/>
      <c r="AE152" s="55"/>
    </row>
    <row r="153" spans="4:31" ht="6.75" customHeight="1" x14ac:dyDescent="0.25">
      <c r="Q153" s="3289" t="str">
        <f>D145</f>
        <v>Dotation de personnel</v>
      </c>
      <c r="R153" s="1401"/>
      <c r="S153" s="122"/>
      <c r="T153" s="55"/>
      <c r="U153" s="55"/>
      <c r="V153" s="55"/>
      <c r="W153" s="55"/>
      <c r="X153" s="55"/>
      <c r="Y153" s="55"/>
      <c r="Z153" s="55"/>
      <c r="AA153" s="55"/>
      <c r="AB153" s="55"/>
      <c r="AC153" s="55"/>
      <c r="AD153" s="55"/>
      <c r="AE153" s="55"/>
    </row>
    <row r="154" spans="4:31" ht="12" customHeight="1" x14ac:dyDescent="0.25">
      <c r="Q154" s="3289"/>
      <c r="R154" s="1401"/>
      <c r="S154" s="122"/>
      <c r="T154" s="55"/>
      <c r="U154" s="55"/>
      <c r="V154" s="55"/>
      <c r="W154" s="55"/>
      <c r="X154" s="55"/>
      <c r="Y154" s="55"/>
      <c r="Z154" s="55"/>
      <c r="AA154" s="55"/>
      <c r="AB154" s="55"/>
      <c r="AC154" s="55"/>
      <c r="AD154" s="55"/>
      <c r="AE154" s="55"/>
    </row>
    <row r="155" spans="4:31" ht="6.75" customHeight="1" x14ac:dyDescent="0.25">
      <c r="Q155" s="3289" t="str">
        <f>D144</f>
        <v>Sous-financement</v>
      </c>
      <c r="R155" s="1401"/>
      <c r="S155" s="122"/>
      <c r="T155" s="55"/>
      <c r="U155" s="55"/>
      <c r="V155" s="55"/>
      <c r="W155" s="55"/>
      <c r="X155" s="55"/>
      <c r="Y155" s="55"/>
      <c r="Z155" s="55"/>
      <c r="AA155" s="55"/>
      <c r="AB155" s="55"/>
      <c r="AC155" s="55"/>
      <c r="AD155" s="55"/>
      <c r="AE155" s="55"/>
    </row>
    <row r="156" spans="4:31" ht="12" customHeight="1" x14ac:dyDescent="0.25">
      <c r="Q156" s="3289"/>
      <c r="R156" s="1401"/>
      <c r="S156" s="122"/>
      <c r="T156" s="55"/>
      <c r="U156" s="55"/>
      <c r="V156" s="55"/>
      <c r="W156" s="55"/>
      <c r="X156" s="55"/>
      <c r="Y156" s="55"/>
      <c r="Z156" s="55"/>
      <c r="AA156" s="55"/>
      <c r="AB156" s="55"/>
      <c r="AC156" s="55"/>
      <c r="AD156" s="55"/>
      <c r="AE156" s="55"/>
    </row>
    <row r="157" spans="4:31" ht="6.75" customHeight="1" x14ac:dyDescent="0.25">
      <c r="Q157" s="3289" t="str">
        <f>D143</f>
        <v>Changements climatiques</v>
      </c>
      <c r="R157" s="1401"/>
      <c r="S157" s="122"/>
      <c r="T157" s="55"/>
      <c r="U157" s="55"/>
      <c r="V157" s="55"/>
      <c r="W157" s="55"/>
      <c r="X157" s="55"/>
      <c r="Y157" s="55"/>
      <c r="Z157" s="55"/>
      <c r="AA157" s="55"/>
      <c r="AB157" s="55"/>
      <c r="AC157" s="55"/>
      <c r="AD157" s="55"/>
      <c r="AE157" s="55"/>
    </row>
    <row r="158" spans="4:31" ht="12" customHeight="1" x14ac:dyDescent="0.25">
      <c r="Q158" s="3289"/>
      <c r="R158" s="1401"/>
      <c r="S158" s="122"/>
      <c r="T158" s="55"/>
      <c r="U158" s="55"/>
      <c r="V158" s="55"/>
      <c r="W158" s="55"/>
      <c r="X158" s="55"/>
      <c r="Y158" s="55"/>
      <c r="Z158" s="55"/>
      <c r="AA158" s="55"/>
      <c r="AB158" s="55"/>
      <c r="AC158" s="55"/>
      <c r="AD158" s="55"/>
      <c r="AE158" s="55"/>
    </row>
    <row r="159" spans="4:31" ht="6.75" customHeight="1" x14ac:dyDescent="0.25">
      <c r="Q159" s="3289" t="str">
        <f>D142</f>
        <v>Manque d'informations</v>
      </c>
      <c r="R159" s="1401"/>
      <c r="S159" s="122"/>
      <c r="T159" s="55"/>
      <c r="U159" s="55"/>
      <c r="V159" s="55"/>
      <c r="W159" s="55"/>
      <c r="X159" s="55"/>
      <c r="Y159" s="55"/>
      <c r="Z159" s="55"/>
      <c r="AA159" s="55"/>
      <c r="AB159" s="55"/>
      <c r="AC159" s="55"/>
      <c r="AD159" s="55"/>
      <c r="AE159" s="55"/>
    </row>
    <row r="160" spans="4:31" ht="12" customHeight="1" x14ac:dyDescent="0.25">
      <c r="Q160" s="3289"/>
      <c r="R160" s="1401"/>
      <c r="S160" s="122"/>
      <c r="T160" s="55"/>
      <c r="U160" s="55"/>
      <c r="V160" s="55"/>
      <c r="W160" s="55"/>
      <c r="X160" s="55"/>
      <c r="Y160" s="55"/>
      <c r="Z160" s="55"/>
      <c r="AA160" s="55"/>
      <c r="AB160" s="55"/>
      <c r="AC160" s="55"/>
      <c r="AD160" s="55"/>
      <c r="AE160" s="55"/>
    </row>
    <row r="161" spans="1:32" ht="6.75" customHeight="1" x14ac:dyDescent="0.25">
      <c r="Q161" s="3289" t="str">
        <f>D141</f>
        <v xml:space="preserve">Autre </v>
      </c>
      <c r="R161" s="1401"/>
      <c r="S161" s="122"/>
      <c r="T161" s="55"/>
      <c r="U161" s="55"/>
      <c r="V161" s="55"/>
      <c r="W161" s="55"/>
      <c r="X161" s="55"/>
      <c r="Y161" s="55"/>
      <c r="Z161" s="55"/>
      <c r="AA161" s="55"/>
      <c r="AB161" s="55"/>
      <c r="AC161" s="55"/>
      <c r="AD161" s="55"/>
      <c r="AE161" s="55"/>
    </row>
    <row r="162" spans="1:32" ht="12" customHeight="1" x14ac:dyDescent="0.25">
      <c r="Q162" s="3289"/>
      <c r="R162" s="1401"/>
      <c r="S162" s="122"/>
      <c r="T162" s="55"/>
      <c r="U162" s="55"/>
      <c r="V162" s="55"/>
      <c r="W162" s="55"/>
      <c r="X162" s="55"/>
      <c r="Y162" s="55"/>
      <c r="Z162" s="55"/>
      <c r="AA162" s="55"/>
      <c r="AB162" s="55"/>
      <c r="AC162" s="55"/>
      <c r="AD162" s="55"/>
      <c r="AE162" s="55"/>
    </row>
    <row r="163" spans="1:32" ht="6.75" customHeight="1" x14ac:dyDescent="0.25">
      <c r="Q163" s="1410"/>
      <c r="R163" s="1411"/>
      <c r="S163" s="1403"/>
      <c r="T163" s="162"/>
      <c r="U163" s="162"/>
      <c r="V163" s="162"/>
      <c r="W163" s="162"/>
      <c r="X163" s="162"/>
      <c r="Y163" s="162"/>
      <c r="Z163" s="162"/>
      <c r="AA163" s="162"/>
      <c r="AB163" s="162"/>
      <c r="AC163" s="162"/>
      <c r="AD163" s="162"/>
      <c r="AE163" s="55"/>
    </row>
    <row r="164" spans="1:32" ht="6.75" customHeight="1" x14ac:dyDescent="0.25">
      <c r="Q164" s="88"/>
      <c r="R164" s="88"/>
      <c r="S164" s="55"/>
      <c r="T164" s="55"/>
      <c r="U164" s="55"/>
      <c r="V164" s="55"/>
      <c r="W164" s="55"/>
      <c r="X164" s="55"/>
      <c r="Y164" s="55"/>
      <c r="Z164" s="55"/>
      <c r="AA164" s="55"/>
      <c r="AB164" s="55"/>
      <c r="AC164" s="55"/>
      <c r="AD164" s="55"/>
      <c r="AE164" s="55"/>
    </row>
    <row r="165" spans="1:32" ht="13.5" customHeight="1" x14ac:dyDescent="0.25">
      <c r="Q165" s="88"/>
      <c r="R165" s="88"/>
      <c r="S165" s="55"/>
      <c r="T165" s="55"/>
      <c r="U165" s="55"/>
      <c r="V165" s="1412" t="s">
        <v>232</v>
      </c>
      <c r="W165" s="1406"/>
      <c r="X165" s="1406"/>
      <c r="Y165" s="1406"/>
      <c r="Z165" s="1412" t="s">
        <v>232</v>
      </c>
      <c r="AA165" s="1406"/>
      <c r="AB165" s="1406"/>
      <c r="AC165" s="1406"/>
      <c r="AD165" s="1412" t="s">
        <v>232</v>
      </c>
      <c r="AE165" s="55"/>
    </row>
    <row r="166" spans="1:32" ht="12" customHeight="1" x14ac:dyDescent="0.25">
      <c r="Q166" s="88"/>
      <c r="R166" s="88"/>
      <c r="S166" s="55"/>
      <c r="T166" s="55"/>
      <c r="U166" s="55"/>
      <c r="V166" s="1412" t="s">
        <v>233</v>
      </c>
      <c r="W166" s="1406"/>
      <c r="X166" s="1406"/>
      <c r="Y166" s="1406"/>
      <c r="Z166" s="1412" t="s">
        <v>233</v>
      </c>
      <c r="AA166" s="1406"/>
      <c r="AB166" s="1406"/>
      <c r="AC166" s="1406"/>
      <c r="AD166" s="1412" t="s">
        <v>233</v>
      </c>
      <c r="AE166" s="55"/>
    </row>
    <row r="167" spans="1:32" s="314" customFormat="1" ht="18.75" customHeight="1" x14ac:dyDescent="0.25">
      <c r="A167" s="684"/>
      <c r="Q167" s="684"/>
      <c r="R167" s="684"/>
      <c r="S167" s="684"/>
      <c r="T167" s="1413"/>
      <c r="U167" s="1413"/>
      <c r="V167" s="1414" t="s">
        <v>234</v>
      </c>
      <c r="W167" s="1407"/>
      <c r="X167" s="1407"/>
      <c r="Y167" s="1415"/>
      <c r="Z167" s="1414" t="s">
        <v>235</v>
      </c>
      <c r="AA167" s="1407"/>
      <c r="AB167" s="1407"/>
      <c r="AC167" s="1415"/>
      <c r="AD167" s="1414" t="s">
        <v>236</v>
      </c>
      <c r="AE167" s="684"/>
    </row>
    <row r="171" spans="1:32" ht="31.5" customHeight="1" x14ac:dyDescent="0.35">
      <c r="B171" s="1283" t="s">
        <v>1775</v>
      </c>
      <c r="C171" s="1283"/>
      <c r="D171" s="1284"/>
      <c r="E171" s="1284"/>
      <c r="F171" s="1284"/>
      <c r="G171" s="1284"/>
      <c r="H171" s="1284"/>
      <c r="I171" s="1284"/>
      <c r="J171" s="1284"/>
      <c r="K171" s="1284"/>
      <c r="L171" s="1284"/>
      <c r="M171" s="1284"/>
      <c r="N171" s="1284"/>
      <c r="O171" s="1284"/>
      <c r="P171" s="1284"/>
      <c r="Q171" s="1284"/>
      <c r="R171" s="1284"/>
      <c r="S171" s="1284"/>
      <c r="T171" s="1284"/>
      <c r="U171" s="1284"/>
      <c r="V171" s="1284"/>
      <c r="W171" s="1284"/>
      <c r="X171" s="1284"/>
      <c r="Y171" s="1284"/>
      <c r="Z171" s="1284"/>
      <c r="AA171" s="1284"/>
      <c r="AB171" s="1284"/>
      <c r="AC171" s="1284"/>
      <c r="AD171" s="1284"/>
      <c r="AE171" s="1284"/>
      <c r="AF171" s="1284"/>
    </row>
    <row r="174" spans="1:32" ht="22.5" customHeight="1" x14ac:dyDescent="0.3">
      <c r="B174" s="1285" t="s">
        <v>169</v>
      </c>
      <c r="C174" s="1285"/>
      <c r="D174" s="1285"/>
      <c r="E174" s="1285"/>
      <c r="F174" s="1285"/>
      <c r="G174" s="1285"/>
      <c r="H174" s="1285"/>
      <c r="I174" s="1285"/>
      <c r="J174" s="1285"/>
      <c r="K174" s="1285"/>
      <c r="L174" s="1285"/>
      <c r="M174" s="1285"/>
      <c r="N174" s="1285"/>
      <c r="O174" s="1285"/>
      <c r="P174" s="1285"/>
      <c r="Q174" s="1285"/>
      <c r="R174" s="1285"/>
      <c r="S174" s="1285"/>
      <c r="T174" s="1285"/>
      <c r="U174" s="1285"/>
      <c r="V174" s="1285"/>
      <c r="W174" s="1285"/>
      <c r="X174" s="1285"/>
      <c r="Y174" s="1285"/>
      <c r="Z174" s="1285"/>
      <c r="AA174" s="1285"/>
      <c r="AB174" s="1285"/>
      <c r="AC174" s="1285"/>
      <c r="AD174" s="1285"/>
      <c r="AE174" s="1285"/>
      <c r="AF174" s="1285"/>
    </row>
    <row r="175" spans="1:32" ht="21" x14ac:dyDescent="0.25">
      <c r="B175" s="1416"/>
      <c r="C175" s="1416"/>
    </row>
    <row r="176" spans="1:32" ht="24.75" customHeight="1" x14ac:dyDescent="0.35">
      <c r="D176" s="1417" t="s">
        <v>42</v>
      </c>
      <c r="E176" s="1348"/>
      <c r="F176" s="1348"/>
      <c r="G176" s="1348"/>
      <c r="H176" s="1348"/>
      <c r="I176" s="1348"/>
      <c r="J176" s="1348"/>
      <c r="K176" s="1348"/>
      <c r="L176" s="1348"/>
      <c r="M176" s="1348"/>
      <c r="N176" s="1348"/>
      <c r="O176" s="1348"/>
    </row>
    <row r="177" spans="2:16" ht="6" customHeight="1" x14ac:dyDescent="0.25">
      <c r="B177" s="1416"/>
      <c r="C177" s="1416"/>
    </row>
    <row r="178" spans="2:16" ht="6" customHeight="1" x14ac:dyDescent="0.25">
      <c r="B178" s="1416"/>
      <c r="C178" s="1416"/>
    </row>
    <row r="179" spans="2:16" x14ac:dyDescent="0.25">
      <c r="B179" s="314"/>
      <c r="C179" s="314"/>
      <c r="D179" s="1418"/>
      <c r="E179" s="1418">
        <f>'FORMULAIRE PGA Eau potable'!E410</f>
        <v>0</v>
      </c>
      <c r="F179" s="1418">
        <f>E179+1</f>
        <v>1</v>
      </c>
      <c r="G179" s="1418">
        <f t="shared" ref="G179:N179" si="6">F179+1</f>
        <v>2</v>
      </c>
      <c r="H179" s="1418">
        <f t="shared" si="6"/>
        <v>3</v>
      </c>
      <c r="I179" s="1418">
        <f t="shared" si="6"/>
        <v>4</v>
      </c>
      <c r="J179" s="1418">
        <f t="shared" si="6"/>
        <v>5</v>
      </c>
      <c r="K179" s="1418">
        <f t="shared" si="6"/>
        <v>6</v>
      </c>
      <c r="L179" s="1418">
        <f t="shared" si="6"/>
        <v>7</v>
      </c>
      <c r="M179" s="1418">
        <f t="shared" si="6"/>
        <v>8</v>
      </c>
      <c r="N179" s="1418">
        <f t="shared" si="6"/>
        <v>9</v>
      </c>
      <c r="O179" s="1419" t="s">
        <v>1822</v>
      </c>
    </row>
    <row r="180" spans="2:16" x14ac:dyDescent="0.25">
      <c r="D180" s="1420" t="s">
        <v>129</v>
      </c>
      <c r="E180" s="1421">
        <f>E238+E255</f>
        <v>0</v>
      </c>
      <c r="F180" s="1421">
        <f>E180</f>
        <v>0</v>
      </c>
      <c r="G180" s="1421">
        <f t="shared" ref="G180:N180" si="7">F180</f>
        <v>0</v>
      </c>
      <c r="H180" s="1421">
        <f t="shared" si="7"/>
        <v>0</v>
      </c>
      <c r="I180" s="1421">
        <f t="shared" si="7"/>
        <v>0</v>
      </c>
      <c r="J180" s="1421">
        <f t="shared" si="7"/>
        <v>0</v>
      </c>
      <c r="K180" s="1421">
        <f t="shared" si="7"/>
        <v>0</v>
      </c>
      <c r="L180" s="1421">
        <f t="shared" si="7"/>
        <v>0</v>
      </c>
      <c r="M180" s="1421">
        <f t="shared" si="7"/>
        <v>0</v>
      </c>
      <c r="N180" s="1421">
        <f t="shared" si="7"/>
        <v>0</v>
      </c>
      <c r="O180" s="1422">
        <f>SUM(E180:N180)</f>
        <v>0</v>
      </c>
    </row>
    <row r="181" spans="2:16" x14ac:dyDescent="0.25">
      <c r="D181" s="919" t="s">
        <v>1</v>
      </c>
      <c r="E181" s="1348">
        <f>E239+E256</f>
        <v>0</v>
      </c>
      <c r="F181" s="1348">
        <f t="shared" ref="F181:N181" si="8">F239+F256</f>
        <v>0</v>
      </c>
      <c r="G181" s="1348">
        <f t="shared" si="8"/>
        <v>0</v>
      </c>
      <c r="H181" s="1348">
        <f t="shared" si="8"/>
        <v>0</v>
      </c>
      <c r="I181" s="1348">
        <f t="shared" si="8"/>
        <v>0</v>
      </c>
      <c r="J181" s="1348">
        <f t="shared" si="8"/>
        <v>0</v>
      </c>
      <c r="K181" s="1348">
        <f t="shared" si="8"/>
        <v>0</v>
      </c>
      <c r="L181" s="1348">
        <f t="shared" si="8"/>
        <v>0</v>
      </c>
      <c r="M181" s="1348">
        <f t="shared" si="8"/>
        <v>0</v>
      </c>
      <c r="N181" s="1348">
        <f t="shared" si="8"/>
        <v>0</v>
      </c>
      <c r="O181" s="1348">
        <f>SUM(E181:N181)</f>
        <v>0</v>
      </c>
    </row>
    <row r="182" spans="2:16" x14ac:dyDescent="0.25">
      <c r="D182" s="919" t="s">
        <v>2</v>
      </c>
      <c r="E182" s="1348">
        <f t="shared" ref="E182:N185" si="9">E240+E257</f>
        <v>0</v>
      </c>
      <c r="F182" s="1348">
        <f t="shared" si="9"/>
        <v>0</v>
      </c>
      <c r="G182" s="1348">
        <f t="shared" si="9"/>
        <v>0</v>
      </c>
      <c r="H182" s="1348">
        <f t="shared" si="9"/>
        <v>0</v>
      </c>
      <c r="I182" s="1348">
        <f t="shared" si="9"/>
        <v>0</v>
      </c>
      <c r="J182" s="1348">
        <f t="shared" si="9"/>
        <v>0</v>
      </c>
      <c r="K182" s="1348">
        <f t="shared" si="9"/>
        <v>0</v>
      </c>
      <c r="L182" s="1348">
        <f t="shared" si="9"/>
        <v>0</v>
      </c>
      <c r="M182" s="1348">
        <f t="shared" si="9"/>
        <v>0</v>
      </c>
      <c r="N182" s="1348">
        <f t="shared" si="9"/>
        <v>0</v>
      </c>
      <c r="O182" s="1348">
        <f t="shared" ref="O182:O185" si="10">SUM(E182:N182)</f>
        <v>0</v>
      </c>
    </row>
    <row r="183" spans="2:16" x14ac:dyDescent="0.25">
      <c r="D183" s="919" t="s">
        <v>5</v>
      </c>
      <c r="E183" s="1348">
        <f t="shared" si="9"/>
        <v>0</v>
      </c>
      <c r="F183" s="1348">
        <f t="shared" si="9"/>
        <v>0</v>
      </c>
      <c r="G183" s="1348">
        <f t="shared" si="9"/>
        <v>0</v>
      </c>
      <c r="H183" s="1348">
        <f t="shared" si="9"/>
        <v>0</v>
      </c>
      <c r="I183" s="1348">
        <f t="shared" si="9"/>
        <v>0</v>
      </c>
      <c r="J183" s="1348">
        <f t="shared" si="9"/>
        <v>0</v>
      </c>
      <c r="K183" s="1348">
        <f t="shared" si="9"/>
        <v>0</v>
      </c>
      <c r="L183" s="1348">
        <f t="shared" si="9"/>
        <v>0</v>
      </c>
      <c r="M183" s="1348">
        <f t="shared" si="9"/>
        <v>0</v>
      </c>
      <c r="N183" s="1348">
        <f t="shared" si="9"/>
        <v>0</v>
      </c>
      <c r="O183" s="1348">
        <f t="shared" si="10"/>
        <v>0</v>
      </c>
    </row>
    <row r="184" spans="2:16" x14ac:dyDescent="0.25">
      <c r="D184" s="919" t="s">
        <v>3</v>
      </c>
      <c r="E184" s="1348">
        <f t="shared" si="9"/>
        <v>0</v>
      </c>
      <c r="F184" s="1348">
        <f t="shared" si="9"/>
        <v>0</v>
      </c>
      <c r="G184" s="1348">
        <f t="shared" si="9"/>
        <v>0</v>
      </c>
      <c r="H184" s="1348">
        <f t="shared" si="9"/>
        <v>0</v>
      </c>
      <c r="I184" s="1348">
        <f t="shared" si="9"/>
        <v>0</v>
      </c>
      <c r="J184" s="1348">
        <f t="shared" si="9"/>
        <v>0</v>
      </c>
      <c r="K184" s="1348">
        <f t="shared" si="9"/>
        <v>0</v>
      </c>
      <c r="L184" s="1348">
        <f t="shared" si="9"/>
        <v>0</v>
      </c>
      <c r="M184" s="1348">
        <f t="shared" si="9"/>
        <v>0</v>
      </c>
      <c r="N184" s="1348">
        <f t="shared" si="9"/>
        <v>0</v>
      </c>
      <c r="O184" s="1348">
        <f t="shared" si="10"/>
        <v>0</v>
      </c>
    </row>
    <row r="185" spans="2:16" x14ac:dyDescent="0.25">
      <c r="D185" s="1423" t="s">
        <v>4</v>
      </c>
      <c r="E185" s="1424">
        <f t="shared" si="9"/>
        <v>0</v>
      </c>
      <c r="F185" s="1424">
        <f t="shared" si="9"/>
        <v>0</v>
      </c>
      <c r="G185" s="1424">
        <f t="shared" si="9"/>
        <v>0</v>
      </c>
      <c r="H185" s="1424">
        <f t="shared" si="9"/>
        <v>0</v>
      </c>
      <c r="I185" s="1424">
        <f t="shared" si="9"/>
        <v>0</v>
      </c>
      <c r="J185" s="1424">
        <f t="shared" si="9"/>
        <v>0</v>
      </c>
      <c r="K185" s="1424">
        <f t="shared" si="9"/>
        <v>0</v>
      </c>
      <c r="L185" s="1424">
        <f t="shared" si="9"/>
        <v>0</v>
      </c>
      <c r="M185" s="1424">
        <f t="shared" si="9"/>
        <v>0</v>
      </c>
      <c r="N185" s="1424">
        <f t="shared" si="9"/>
        <v>0</v>
      </c>
      <c r="O185" s="1424">
        <f t="shared" si="10"/>
        <v>0</v>
      </c>
    </row>
    <row r="186" spans="2:16" x14ac:dyDescent="0.25">
      <c r="D186" s="919"/>
      <c r="E186" s="1348"/>
      <c r="F186" s="1348"/>
      <c r="G186" s="1348"/>
      <c r="H186" s="1348"/>
      <c r="I186" s="1348"/>
      <c r="J186" s="1348"/>
      <c r="K186" s="1348"/>
      <c r="L186" s="1348"/>
      <c r="M186" s="1348"/>
      <c r="N186" s="1348"/>
      <c r="O186" s="1348"/>
    </row>
    <row r="187" spans="2:16" ht="24.75" customHeight="1" x14ac:dyDescent="0.35">
      <c r="D187" s="1417" t="s">
        <v>1821</v>
      </c>
      <c r="E187" s="1348"/>
      <c r="F187" s="1348"/>
      <c r="H187" s="1348"/>
      <c r="I187" s="1348"/>
      <c r="J187" s="1348"/>
      <c r="M187" s="1348"/>
      <c r="N187" s="1348"/>
      <c r="O187" s="1348"/>
    </row>
    <row r="188" spans="2:16" ht="7.5" customHeight="1" x14ac:dyDescent="0.25">
      <c r="D188" s="919"/>
      <c r="E188" s="1348"/>
      <c r="F188" s="1348"/>
      <c r="G188" s="1348"/>
      <c r="H188" s="1348"/>
      <c r="I188" s="1348"/>
      <c r="J188" s="1348"/>
      <c r="K188" s="1348"/>
      <c r="L188" s="1348"/>
      <c r="M188" s="1348"/>
      <c r="N188" s="1348"/>
      <c r="O188" s="1348"/>
    </row>
    <row r="189" spans="2:16" ht="18.75" x14ac:dyDescent="0.3">
      <c r="B189" s="1425"/>
      <c r="C189" s="1425"/>
      <c r="E189" s="2179" t="s">
        <v>182</v>
      </c>
      <c r="F189" s="1426" t="s">
        <v>1879</v>
      </c>
      <c r="G189" s="1426" t="s">
        <v>1878</v>
      </c>
      <c r="H189" s="1426" t="s">
        <v>163</v>
      </c>
      <c r="I189" s="1348"/>
      <c r="K189" s="3271" t="s">
        <v>184</v>
      </c>
      <c r="L189" s="3272"/>
      <c r="M189" s="1426" t="s">
        <v>1879</v>
      </c>
      <c r="N189" s="1426" t="s">
        <v>1878</v>
      </c>
      <c r="O189" s="1426" t="s">
        <v>163</v>
      </c>
    </row>
    <row r="190" spans="2:16" x14ac:dyDescent="0.25">
      <c r="E190" s="1127" t="s">
        <v>173</v>
      </c>
      <c r="F190" s="152">
        <f>'FORMULAIRE PGA Eau potable'!G630</f>
        <v>0</v>
      </c>
      <c r="G190" s="1427">
        <v>0.5</v>
      </c>
      <c r="H190" s="3278">
        <f>ROUNDDOWN((F190*G190+F191*G191),0)</f>
        <v>0</v>
      </c>
      <c r="I190" s="1348"/>
      <c r="J190" s="1348"/>
      <c r="L190" s="1127" t="s">
        <v>173</v>
      </c>
      <c r="M190" s="152">
        <f>'FORMULAIRE PGA Eau potable'!L630</f>
        <v>0</v>
      </c>
      <c r="N190" s="1427">
        <v>0.5</v>
      </c>
      <c r="O190" s="3278">
        <f>ROUNDDOWN((M190*N190+M191*N191),0)</f>
        <v>0</v>
      </c>
      <c r="P190" s="1428" t="s">
        <v>183</v>
      </c>
    </row>
    <row r="191" spans="2:16" x14ac:dyDescent="0.25">
      <c r="E191" s="1127" t="s">
        <v>172</v>
      </c>
      <c r="F191" s="152">
        <f>'FORMULAIRE PGA Eau potable'!G625</f>
        <v>0</v>
      </c>
      <c r="G191" s="1427">
        <v>0.5</v>
      </c>
      <c r="H191" s="3278"/>
      <c r="I191" s="1348"/>
      <c r="L191" s="1127" t="s">
        <v>172</v>
      </c>
      <c r="M191" s="152">
        <f>'FORMULAIRE PGA Eau potable'!L625</f>
        <v>0</v>
      </c>
      <c r="N191" s="1427">
        <v>0.5</v>
      </c>
      <c r="O191" s="3278"/>
      <c r="P191" s="1429" t="s">
        <v>1875</v>
      </c>
    </row>
    <row r="192" spans="2:16" x14ac:dyDescent="0.25">
      <c r="E192" s="1127" t="s">
        <v>1815</v>
      </c>
      <c r="F192" s="152">
        <f>'FORMULAIRE PGA Eau potable'!G631</f>
        <v>0</v>
      </c>
      <c r="G192" s="1427">
        <f>2/3/3</f>
        <v>0.22222222222222221</v>
      </c>
      <c r="H192" s="3278">
        <f>ROUNDDOWN((F192*G192+F193*G193+F194*G194+F196*G196+F197*G197+F198*G198),0)</f>
        <v>0</v>
      </c>
      <c r="I192" s="1348"/>
      <c r="L192" s="1127" t="s">
        <v>1815</v>
      </c>
      <c r="M192" s="152">
        <f>'FORMULAIRE PGA Eau potable'!L631</f>
        <v>0</v>
      </c>
      <c r="N192" s="1427">
        <f>2/3/3</f>
        <v>0.22222222222222221</v>
      </c>
      <c r="O192" s="3278">
        <f>ROUNDDOWN((M192*N192+M193*N193+M194*N194+M196*N196+M197*N197+M198*N198),0)</f>
        <v>0</v>
      </c>
      <c r="P192" s="1429" t="s">
        <v>1876</v>
      </c>
    </row>
    <row r="193" spans="4:16" x14ac:dyDescent="0.25">
      <c r="E193" s="1127" t="s">
        <v>174</v>
      </c>
      <c r="F193" s="152">
        <f>'FORMULAIRE PGA Eau potable'!G626</f>
        <v>0</v>
      </c>
      <c r="G193" s="1427">
        <f t="shared" ref="G193:G194" si="11">2/3/3</f>
        <v>0.22222222222222221</v>
      </c>
      <c r="H193" s="3278"/>
      <c r="I193" s="1348"/>
      <c r="L193" s="1127" t="s">
        <v>174</v>
      </c>
      <c r="M193" s="152">
        <f>'FORMULAIRE PGA Eau potable'!L626</f>
        <v>0</v>
      </c>
      <c r="N193" s="1427">
        <f t="shared" ref="N193:N194" si="12">2/3/3</f>
        <v>0.22222222222222221</v>
      </c>
      <c r="O193" s="3278"/>
      <c r="P193" s="1429" t="s">
        <v>1877</v>
      </c>
    </row>
    <row r="194" spans="4:16" x14ac:dyDescent="0.25">
      <c r="E194" s="1127" t="s">
        <v>175</v>
      </c>
      <c r="F194" s="152">
        <f>'FORMULAIRE PGA Eau potable'!G627</f>
        <v>0</v>
      </c>
      <c r="G194" s="1427">
        <f t="shared" si="11"/>
        <v>0.22222222222222221</v>
      </c>
      <c r="H194" s="3278"/>
      <c r="I194" s="1348"/>
      <c r="L194" s="1127" t="s">
        <v>175</v>
      </c>
      <c r="M194" s="152">
        <f>'FORMULAIRE PGA Eau potable'!L627</f>
        <v>0</v>
      </c>
      <c r="N194" s="1427">
        <f t="shared" si="12"/>
        <v>0.22222222222222221</v>
      </c>
      <c r="O194" s="3278"/>
      <c r="P194" s="1429" t="s">
        <v>1896</v>
      </c>
    </row>
    <row r="195" spans="4:16" x14ac:dyDescent="0.25">
      <c r="E195" s="1350" t="s">
        <v>1816</v>
      </c>
      <c r="G195" s="1427"/>
      <c r="H195" s="3278"/>
      <c r="I195" s="1348"/>
      <c r="L195" s="1350" t="s">
        <v>1816</v>
      </c>
      <c r="N195" s="1427"/>
      <c r="O195" s="3278"/>
      <c r="P195" s="1429" t="s">
        <v>1897</v>
      </c>
    </row>
    <row r="196" spans="4:16" x14ac:dyDescent="0.25">
      <c r="E196" s="1127" t="s">
        <v>1817</v>
      </c>
      <c r="F196" s="152">
        <f>'FORMULAIRE PGA Eau potable'!G614</f>
        <v>0</v>
      </c>
      <c r="G196" s="1427">
        <f>1/3/3</f>
        <v>0.1111111111111111</v>
      </c>
      <c r="H196" s="3278"/>
      <c r="I196" s="1348"/>
      <c r="J196" s="1426"/>
      <c r="L196" s="1127" t="s">
        <v>1817</v>
      </c>
      <c r="M196" s="152">
        <f>'FORMULAIRE PGA Eau potable'!L614</f>
        <v>0</v>
      </c>
      <c r="N196" s="1427">
        <f>1/3/3</f>
        <v>0.1111111111111111</v>
      </c>
      <c r="O196" s="3278"/>
    </row>
    <row r="197" spans="4:16" x14ac:dyDescent="0.25">
      <c r="E197" s="1127" t="s">
        <v>1531</v>
      </c>
      <c r="F197" s="152">
        <f>'FORMULAIRE PGA Eau potable'!G618</f>
        <v>0</v>
      </c>
      <c r="G197" s="1427">
        <f t="shared" ref="G197:G198" si="13">1/3/3</f>
        <v>0.1111111111111111</v>
      </c>
      <c r="H197" s="3278"/>
      <c r="I197" s="1348"/>
      <c r="J197" s="1348"/>
      <c r="L197" s="1127" t="s">
        <v>1531</v>
      </c>
      <c r="M197" s="152">
        <f>'FORMULAIRE PGA Eau potable'!L618</f>
        <v>0</v>
      </c>
      <c r="N197" s="1427">
        <f t="shared" ref="N197:N198" si="14">1/3/3</f>
        <v>0.1111111111111111</v>
      </c>
      <c r="O197" s="3278"/>
    </row>
    <row r="198" spans="4:16" x14ac:dyDescent="0.25">
      <c r="E198" s="1127" t="s">
        <v>1530</v>
      </c>
      <c r="F198" s="152">
        <f>'FORMULAIRE PGA Eau potable'!G622</f>
        <v>0</v>
      </c>
      <c r="G198" s="1427">
        <f t="shared" si="13"/>
        <v>0.1111111111111111</v>
      </c>
      <c r="H198" s="3278"/>
      <c r="I198" s="1348"/>
      <c r="J198" s="1348"/>
      <c r="L198" s="1127" t="s">
        <v>1530</v>
      </c>
      <c r="M198" s="152">
        <f>'FORMULAIRE PGA Eau potable'!L622</f>
        <v>0</v>
      </c>
      <c r="N198" s="1427">
        <f t="shared" si="14"/>
        <v>0.1111111111111111</v>
      </c>
      <c r="O198" s="3278"/>
    </row>
    <row r="199" spans="4:16" x14ac:dyDescent="0.25">
      <c r="D199" s="1127"/>
      <c r="E199" s="152"/>
      <c r="F199" s="1430"/>
      <c r="G199" s="1430"/>
      <c r="H199" s="1430"/>
      <c r="I199" s="1348"/>
      <c r="J199" s="1348"/>
      <c r="K199" s="1127"/>
      <c r="L199" s="152"/>
      <c r="M199" s="1430"/>
      <c r="N199" s="1430"/>
      <c r="O199" s="1430"/>
    </row>
    <row r="200" spans="4:16" ht="18.75" customHeight="1" x14ac:dyDescent="0.25">
      <c r="D200" s="3271" t="s">
        <v>2061</v>
      </c>
      <c r="E200" s="3272"/>
      <c r="F200" s="1426" t="s">
        <v>1879</v>
      </c>
      <c r="G200" s="1426" t="s">
        <v>1878</v>
      </c>
      <c r="H200" s="1426" t="s">
        <v>163</v>
      </c>
      <c r="I200" s="1431"/>
      <c r="J200" s="1431"/>
      <c r="K200" s="1432" t="s">
        <v>1880</v>
      </c>
      <c r="L200" s="152"/>
      <c r="M200" s="1430"/>
      <c r="N200" s="1430"/>
      <c r="O200" s="1430"/>
    </row>
    <row r="201" spans="4:16" x14ac:dyDescent="0.25">
      <c r="E201" s="1127" t="s">
        <v>173</v>
      </c>
      <c r="F201" s="152">
        <f>IF($I$33=1,M190,IF($I$41=1,F190,AVERAGE(F190,M190)))</f>
        <v>0</v>
      </c>
      <c r="G201" s="1427">
        <v>0.5</v>
      </c>
      <c r="H201" s="3278">
        <f>ROUNDDOWN((F201*G201+F202*G202),0)</f>
        <v>0</v>
      </c>
      <c r="I201" s="152">
        <v>0.15</v>
      </c>
      <c r="J201" s="152">
        <f>(F201*I201)</f>
        <v>0</v>
      </c>
      <c r="K201" s="3278">
        <f>ROUNDDOWN(SUM(J201:J209),0)</f>
        <v>0</v>
      </c>
      <c r="L201" s="152"/>
      <c r="M201" s="1430"/>
      <c r="N201" s="1430"/>
      <c r="O201" s="1430"/>
      <c r="P201" s="1429" t="s">
        <v>1881</v>
      </c>
    </row>
    <row r="202" spans="4:16" x14ac:dyDescent="0.25">
      <c r="E202" s="1127" t="s">
        <v>172</v>
      </c>
      <c r="F202" s="152">
        <f t="shared" ref="F202:F209" si="15">IF($I$33=1,M191,IF($I$41=1,F191,AVERAGE(F191,M191)))</f>
        <v>0</v>
      </c>
      <c r="G202" s="1427">
        <v>0.5</v>
      </c>
      <c r="H202" s="3278"/>
      <c r="I202" s="152">
        <v>0.15</v>
      </c>
      <c r="J202" s="152">
        <f t="shared" ref="J202:J209" si="16">(F202*I202)</f>
        <v>0</v>
      </c>
      <c r="K202" s="3278"/>
      <c r="L202" s="152"/>
      <c r="M202" s="1430"/>
      <c r="N202" s="1430"/>
      <c r="O202" s="1430"/>
    </row>
    <row r="203" spans="4:16" x14ac:dyDescent="0.25">
      <c r="E203" s="1127" t="s">
        <v>1815</v>
      </c>
      <c r="F203" s="152">
        <f t="shared" si="15"/>
        <v>0</v>
      </c>
      <c r="G203" s="1427">
        <f>2/3/3</f>
        <v>0.22222222222222221</v>
      </c>
      <c r="H203" s="3278">
        <f>ROUNDDOWN((F203*G203+F204*G204+F205*G205+F207*G207+F208*G208+F209*G209),0)</f>
        <v>0</v>
      </c>
      <c r="I203" s="1427">
        <v>0.15</v>
      </c>
      <c r="J203" s="152">
        <f t="shared" si="16"/>
        <v>0</v>
      </c>
      <c r="K203" s="3278"/>
      <c r="L203" s="152"/>
      <c r="M203" s="1430"/>
      <c r="N203" s="1430"/>
      <c r="O203" s="1430"/>
    </row>
    <row r="204" spans="4:16" x14ac:dyDescent="0.25">
      <c r="E204" s="1127" t="s">
        <v>174</v>
      </c>
      <c r="F204" s="152">
        <f t="shared" si="15"/>
        <v>0</v>
      </c>
      <c r="G204" s="1427">
        <f t="shared" ref="G204:G205" si="17">2/3/3</f>
        <v>0.22222222222222221</v>
      </c>
      <c r="H204" s="3278"/>
      <c r="I204" s="1427">
        <v>0.15</v>
      </c>
      <c r="J204" s="152">
        <f t="shared" si="16"/>
        <v>0</v>
      </c>
      <c r="K204" s="3278"/>
      <c r="L204" s="152"/>
      <c r="M204" s="1430"/>
      <c r="N204" s="1430"/>
      <c r="O204" s="1430"/>
    </row>
    <row r="205" spans="4:16" x14ac:dyDescent="0.25">
      <c r="E205" s="1127" t="s">
        <v>175</v>
      </c>
      <c r="F205" s="152">
        <f t="shared" si="15"/>
        <v>0</v>
      </c>
      <c r="G205" s="1427">
        <f t="shared" si="17"/>
        <v>0.22222222222222221</v>
      </c>
      <c r="H205" s="3278"/>
      <c r="I205" s="1427">
        <v>0.15</v>
      </c>
      <c r="J205" s="152">
        <f t="shared" si="16"/>
        <v>0</v>
      </c>
      <c r="K205" s="3278"/>
      <c r="L205" s="152"/>
      <c r="M205" s="1430"/>
      <c r="N205" s="1430"/>
      <c r="O205" s="1430"/>
    </row>
    <row r="206" spans="4:16" x14ac:dyDescent="0.25">
      <c r="E206" s="1350" t="s">
        <v>1816</v>
      </c>
      <c r="F206" s="152"/>
      <c r="G206" s="1427"/>
      <c r="H206" s="3278"/>
      <c r="I206" s="1427"/>
      <c r="J206" s="152"/>
      <c r="K206" s="3278"/>
      <c r="L206" s="152"/>
      <c r="M206" s="1430"/>
      <c r="N206" s="1430"/>
      <c r="O206" s="1430"/>
    </row>
    <row r="207" spans="4:16" x14ac:dyDescent="0.25">
      <c r="E207" s="1127" t="s">
        <v>1817</v>
      </c>
      <c r="F207" s="152">
        <f t="shared" si="15"/>
        <v>0</v>
      </c>
      <c r="G207" s="1427">
        <f>1/3/3</f>
        <v>0.1111111111111111</v>
      </c>
      <c r="H207" s="3278"/>
      <c r="I207" s="1427">
        <f>0.25/3</f>
        <v>8.3333333333333329E-2</v>
      </c>
      <c r="J207" s="152">
        <f t="shared" si="16"/>
        <v>0</v>
      </c>
      <c r="K207" s="3278"/>
      <c r="L207" s="152"/>
      <c r="M207" s="1430"/>
      <c r="N207" s="1430"/>
      <c r="O207" s="1430"/>
      <c r="P207" s="1428" t="s">
        <v>2164</v>
      </c>
    </row>
    <row r="208" spans="4:16" x14ac:dyDescent="0.25">
      <c r="E208" s="1127" t="s">
        <v>1531</v>
      </c>
      <c r="F208" s="152">
        <f t="shared" si="15"/>
        <v>0</v>
      </c>
      <c r="G208" s="1427">
        <f t="shared" ref="G208:G209" si="18">1/3/3</f>
        <v>0.1111111111111111</v>
      </c>
      <c r="H208" s="3278"/>
      <c r="I208" s="1427">
        <f>0.25/3</f>
        <v>8.3333333333333329E-2</v>
      </c>
      <c r="J208" s="152">
        <f t="shared" si="16"/>
        <v>0</v>
      </c>
      <c r="K208" s="3278"/>
      <c r="L208" s="152"/>
      <c r="M208" s="1430"/>
      <c r="N208" s="1430"/>
      <c r="O208" s="1430"/>
      <c r="P208" s="1429" t="s">
        <v>2165</v>
      </c>
    </row>
    <row r="209" spans="2:32" x14ac:dyDescent="0.25">
      <c r="E209" s="1127" t="s">
        <v>1530</v>
      </c>
      <c r="F209" s="152">
        <f t="shared" si="15"/>
        <v>0</v>
      </c>
      <c r="G209" s="1427">
        <f t="shared" si="18"/>
        <v>0.1111111111111111</v>
      </c>
      <c r="H209" s="3278"/>
      <c r="I209" s="1427">
        <f>0.25/3</f>
        <v>8.3333333333333329E-2</v>
      </c>
      <c r="J209" s="152">
        <f t="shared" si="16"/>
        <v>0</v>
      </c>
      <c r="K209" s="3278"/>
      <c r="L209" s="152"/>
      <c r="M209" s="1430"/>
      <c r="N209" s="1430"/>
      <c r="O209" s="1430"/>
      <c r="P209" s="1429" t="s">
        <v>2163</v>
      </c>
    </row>
    <row r="210" spans="2:32" x14ac:dyDescent="0.25">
      <c r="D210" s="1127"/>
      <c r="E210" s="152"/>
      <c r="F210" s="1430"/>
      <c r="G210" s="1430"/>
      <c r="H210" s="1430"/>
      <c r="I210" s="1348"/>
      <c r="J210" s="1348"/>
      <c r="K210" s="1127"/>
      <c r="L210" s="152"/>
      <c r="M210" s="1430"/>
      <c r="N210" s="1430"/>
      <c r="O210" s="1430"/>
    </row>
    <row r="211" spans="2:32" x14ac:dyDescent="0.25">
      <c r="D211" s="1127"/>
      <c r="E211" s="152"/>
      <c r="F211" s="1430"/>
      <c r="G211" s="1430"/>
      <c r="H211" s="1430"/>
      <c r="I211" s="1348"/>
      <c r="J211" s="1348"/>
      <c r="K211" s="1127"/>
      <c r="L211" s="152"/>
      <c r="M211" s="1430"/>
      <c r="N211" s="1430"/>
      <c r="O211" s="1430"/>
    </row>
    <row r="212" spans="2:32" ht="15" customHeight="1" x14ac:dyDescent="0.25">
      <c r="D212" s="1127"/>
      <c r="E212" s="1433"/>
      <c r="F212" s="1430"/>
      <c r="G212" s="1430"/>
      <c r="H212" s="1430"/>
      <c r="I212" s="1348"/>
      <c r="J212" s="1348"/>
      <c r="K212" s="1127"/>
      <c r="L212" s="152"/>
      <c r="M212" s="1430"/>
      <c r="N212" s="1430"/>
      <c r="O212" s="1430"/>
    </row>
    <row r="213" spans="2:32" ht="15" customHeight="1" x14ac:dyDescent="0.25">
      <c r="D213" s="1127"/>
      <c r="E213" s="1433"/>
      <c r="F213" s="1430"/>
      <c r="G213" s="1430"/>
      <c r="H213" s="1430"/>
      <c r="I213" s="1348"/>
      <c r="J213" s="1348"/>
      <c r="K213" s="1127"/>
      <c r="L213" s="152"/>
      <c r="M213" s="1430"/>
      <c r="N213" s="1430"/>
      <c r="O213" s="1430"/>
    </row>
    <row r="214" spans="2:32" ht="220.5" customHeight="1" x14ac:dyDescent="0.25"/>
    <row r="217" spans="2:32" ht="22.5" customHeight="1" x14ac:dyDescent="0.3">
      <c r="B217" s="1285" t="s">
        <v>170</v>
      </c>
      <c r="C217" s="1285"/>
      <c r="D217" s="1285"/>
      <c r="E217" s="1285"/>
      <c r="F217" s="1285"/>
      <c r="G217" s="1285"/>
      <c r="H217" s="1285"/>
      <c r="I217" s="1285"/>
      <c r="J217" s="1285"/>
      <c r="K217" s="1285"/>
      <c r="L217" s="1285"/>
      <c r="M217" s="1285"/>
      <c r="N217" s="1285"/>
      <c r="O217" s="1285"/>
      <c r="P217" s="1285"/>
      <c r="Q217" s="1285"/>
      <c r="R217" s="1285"/>
      <c r="S217" s="1285"/>
      <c r="T217" s="1285"/>
      <c r="U217" s="1285"/>
      <c r="V217" s="1285"/>
      <c r="W217" s="1285"/>
      <c r="X217" s="1285"/>
      <c r="Y217" s="1285"/>
      <c r="Z217" s="1285"/>
      <c r="AA217" s="1285"/>
      <c r="AB217" s="1285"/>
      <c r="AC217" s="1285"/>
      <c r="AD217" s="1285"/>
      <c r="AE217" s="1285"/>
      <c r="AF217" s="1285"/>
    </row>
    <row r="218" spans="2:32" ht="21" x14ac:dyDescent="0.25">
      <c r="B218" s="1416"/>
      <c r="C218" s="1416"/>
    </row>
    <row r="219" spans="2:32" ht="21" x14ac:dyDescent="0.35">
      <c r="B219" s="1416"/>
      <c r="C219" s="1416"/>
      <c r="D219" s="1417" t="s">
        <v>1820</v>
      </c>
      <c r="J219" s="1417" t="s">
        <v>1821</v>
      </c>
    </row>
    <row r="220" spans="2:32" ht="9" customHeight="1" x14ac:dyDescent="0.25">
      <c r="B220" s="1416"/>
      <c r="C220" s="1416"/>
    </row>
    <row r="221" spans="2:32" ht="33" customHeight="1" x14ac:dyDescent="0.25">
      <c r="D221" s="3273" t="s">
        <v>1819</v>
      </c>
      <c r="E221" s="3273"/>
      <c r="F221" s="1434" t="s">
        <v>129</v>
      </c>
      <c r="G221" s="1127" t="s">
        <v>171</v>
      </c>
      <c r="J221" s="517"/>
      <c r="K221" s="1424"/>
      <c r="L221" s="1435" t="s">
        <v>163</v>
      </c>
      <c r="M221" s="1348"/>
    </row>
    <row r="222" spans="2:32" x14ac:dyDescent="0.25">
      <c r="D222" s="1436" t="s">
        <v>1</v>
      </c>
      <c r="E222" s="1437">
        <f>O181/10</f>
        <v>0</v>
      </c>
      <c r="F222" s="1437">
        <f>'FORMULAIRE PGA Eau potable'!F351+'FORMULAIRE PGA Eau potable'!F361</f>
        <v>0</v>
      </c>
      <c r="G222" s="1438">
        <f t="shared" ref="G222:G227" si="19">F222-E222</f>
        <v>0</v>
      </c>
      <c r="K222" s="1439" t="s">
        <v>1894</v>
      </c>
      <c r="L222" s="302">
        <f>ROUNDDOWN((F203*0.75+$F$207*0.25/3+$F$208*0.25/3+$F$209*0.25/3),0)</f>
        <v>0</v>
      </c>
      <c r="O222" s="1440" t="s">
        <v>179</v>
      </c>
      <c r="P222" s="1429" t="s">
        <v>1818</v>
      </c>
    </row>
    <row r="223" spans="2:32" x14ac:dyDescent="0.25">
      <c r="D223" s="919" t="s">
        <v>2</v>
      </c>
      <c r="E223" s="1441">
        <f>O182/10</f>
        <v>0</v>
      </c>
      <c r="F223" s="1441">
        <f>'FORMULAIRE PGA Eau potable'!H351+'FORMULAIRE PGA Eau potable'!H361</f>
        <v>0</v>
      </c>
      <c r="G223" s="1442">
        <f t="shared" si="19"/>
        <v>0</v>
      </c>
      <c r="K223" s="1439" t="s">
        <v>5</v>
      </c>
      <c r="L223" s="302">
        <f>ROUNDDOWN((F204*0.75+$F$207*0.25/3+$F$208*0.25/3+$F$209*0.25/3),0)</f>
        <v>0</v>
      </c>
      <c r="O223" s="1443"/>
      <c r="P223" s="1429"/>
    </row>
    <row r="224" spans="2:32" x14ac:dyDescent="0.25">
      <c r="D224" s="919" t="s">
        <v>5</v>
      </c>
      <c r="E224" s="1441">
        <f>O183/10</f>
        <v>0</v>
      </c>
      <c r="F224" s="1441">
        <f>'FORMULAIRE PGA Eau potable'!K351+'FORMULAIRE PGA Eau potable'!K361</f>
        <v>0</v>
      </c>
      <c r="G224" s="1442">
        <f t="shared" si="19"/>
        <v>0</v>
      </c>
      <c r="K224" s="1439" t="s">
        <v>1895</v>
      </c>
      <c r="L224" s="302">
        <f>ROUNDDOWN((F205*0.75+$F$207*0.25/3+$F$208*0.25/3+$F$209*0.25/3),0)</f>
        <v>0</v>
      </c>
      <c r="O224" s="1440" t="s">
        <v>179</v>
      </c>
      <c r="P224" s="1429" t="s">
        <v>1875</v>
      </c>
    </row>
    <row r="225" spans="1:32" x14ac:dyDescent="0.25">
      <c r="D225" s="919" t="s">
        <v>3</v>
      </c>
      <c r="E225" s="1441">
        <f>O184/10</f>
        <v>0</v>
      </c>
      <c r="F225" s="1441">
        <f>'FORMULAIRE PGA Eau potable'!M351+'FORMULAIRE PGA Eau potable'!M361</f>
        <v>0</v>
      </c>
      <c r="G225" s="1442">
        <f t="shared" si="19"/>
        <v>0</v>
      </c>
      <c r="P225" s="1429" t="s">
        <v>1876</v>
      </c>
    </row>
    <row r="226" spans="1:32" x14ac:dyDescent="0.25">
      <c r="D226" s="1423" t="s">
        <v>4</v>
      </c>
      <c r="E226" s="1444">
        <f>O185/10</f>
        <v>0</v>
      </c>
      <c r="F226" s="1444">
        <f>'FORMULAIRE PGA Eau potable'!O351+'FORMULAIRE PGA Eau potable'!O361</f>
        <v>0</v>
      </c>
      <c r="G226" s="1445">
        <f t="shared" si="19"/>
        <v>0</v>
      </c>
      <c r="P226" s="1429" t="s">
        <v>1882</v>
      </c>
    </row>
    <row r="227" spans="1:32" x14ac:dyDescent="0.25">
      <c r="D227" s="919" t="s">
        <v>6</v>
      </c>
      <c r="E227" s="1442">
        <f>SUM(E222:E226)</f>
        <v>0</v>
      </c>
      <c r="F227" s="1442">
        <f>SUM(F222:F226)</f>
        <v>0</v>
      </c>
      <c r="G227" s="1442">
        <f t="shared" si="19"/>
        <v>0</v>
      </c>
      <c r="K227" s="152"/>
      <c r="P227" s="1429" t="s">
        <v>1898</v>
      </c>
    </row>
    <row r="228" spans="1:32" x14ac:dyDescent="0.25">
      <c r="P228" s="1429" t="s">
        <v>1897</v>
      </c>
    </row>
    <row r="231" spans="1:32" ht="22.5" customHeight="1" x14ac:dyDescent="0.3">
      <c r="B231" s="1285" t="s">
        <v>180</v>
      </c>
      <c r="C231" s="1285"/>
      <c r="D231" s="1285"/>
      <c r="E231" s="1285"/>
      <c r="F231" s="1285"/>
      <c r="G231" s="1285"/>
      <c r="H231" s="1285"/>
      <c r="I231" s="1285"/>
      <c r="J231" s="1285"/>
      <c r="K231" s="1285"/>
      <c r="L231" s="1285"/>
      <c r="M231" s="1285"/>
      <c r="N231" s="1285"/>
      <c r="O231" s="1285"/>
      <c r="P231" s="1285"/>
      <c r="Q231" s="1285"/>
      <c r="R231" s="1285"/>
      <c r="S231" s="1285"/>
      <c r="T231" s="1285"/>
      <c r="U231" s="1285"/>
      <c r="V231" s="1285"/>
      <c r="W231" s="1285"/>
      <c r="X231" s="1285"/>
      <c r="Y231" s="1285"/>
      <c r="Z231" s="1285"/>
      <c r="AA231" s="1285"/>
      <c r="AB231" s="1285"/>
      <c r="AC231" s="1285"/>
      <c r="AD231" s="1285"/>
      <c r="AE231" s="1285"/>
      <c r="AF231" s="1285"/>
    </row>
    <row r="232" spans="1:32" ht="18.75" x14ac:dyDescent="0.3">
      <c r="B232" s="1294"/>
      <c r="C232" s="1294"/>
      <c r="D232" s="1294"/>
      <c r="E232" s="1294"/>
      <c r="F232" s="1294"/>
      <c r="G232" s="1294"/>
      <c r="H232" s="1294"/>
      <c r="I232" s="1294"/>
      <c r="J232" s="1294"/>
      <c r="K232" s="1294"/>
      <c r="L232" s="1294"/>
      <c r="M232" s="1294"/>
      <c r="N232" s="1294"/>
      <c r="O232" s="1294"/>
      <c r="P232" s="1294"/>
      <c r="Q232" s="1294"/>
      <c r="R232" s="1294"/>
      <c r="S232" s="1294"/>
      <c r="T232" s="1294"/>
      <c r="U232" s="1294"/>
      <c r="V232" s="1294"/>
      <c r="W232" s="1294"/>
      <c r="X232" s="1294"/>
      <c r="Y232" s="1294"/>
      <c r="Z232" s="1294"/>
      <c r="AA232" s="1294"/>
      <c r="AB232" s="1294"/>
      <c r="AC232" s="1294"/>
      <c r="AD232" s="1294"/>
      <c r="AE232" s="1294"/>
      <c r="AF232" s="1294"/>
    </row>
    <row r="233" spans="1:32" ht="26.25" customHeight="1" x14ac:dyDescent="0.35">
      <c r="B233" s="1416"/>
      <c r="C233" s="1416"/>
      <c r="D233" s="1417" t="s">
        <v>1890</v>
      </c>
      <c r="I233" s="1417"/>
    </row>
    <row r="234" spans="1:32" ht="22.5" customHeight="1" x14ac:dyDescent="0.25">
      <c r="B234" s="1416"/>
      <c r="C234" s="1416"/>
    </row>
    <row r="235" spans="1:32" ht="21" x14ac:dyDescent="0.25">
      <c r="B235" s="1416"/>
      <c r="C235" s="1416"/>
      <c r="D235" s="1446" t="s">
        <v>182</v>
      </c>
      <c r="E235" s="72"/>
    </row>
    <row r="236" spans="1:32" ht="9.75" customHeight="1" x14ac:dyDescent="0.25">
      <c r="B236" s="1416"/>
      <c r="C236" s="1416"/>
      <c r="D236" s="1447"/>
      <c r="E236" s="72"/>
    </row>
    <row r="237" spans="1:32" s="72" customFormat="1" ht="20.25" customHeight="1" x14ac:dyDescent="0.25">
      <c r="A237" s="82"/>
      <c r="D237" s="1448"/>
      <c r="E237" s="1296">
        <f>'FORMULAIRE PGA Eau potable'!E410</f>
        <v>0</v>
      </c>
      <c r="F237" s="1296">
        <f>E237+1</f>
        <v>1</v>
      </c>
      <c r="G237" s="1296">
        <f t="shared" ref="G237:N237" si="20">F237+1</f>
        <v>2</v>
      </c>
      <c r="H237" s="1296">
        <f t="shared" si="20"/>
        <v>3</v>
      </c>
      <c r="I237" s="1296">
        <f t="shared" si="20"/>
        <v>4</v>
      </c>
      <c r="J237" s="1296">
        <f t="shared" si="20"/>
        <v>5</v>
      </c>
      <c r="K237" s="1296">
        <f t="shared" si="20"/>
        <v>6</v>
      </c>
      <c r="L237" s="1296">
        <f t="shared" si="20"/>
        <v>7</v>
      </c>
      <c r="M237" s="1296">
        <f t="shared" si="20"/>
        <v>8</v>
      </c>
      <c r="N237" s="1296">
        <f t="shared" si="20"/>
        <v>9</v>
      </c>
      <c r="O237" s="1449" t="s">
        <v>1822</v>
      </c>
    </row>
    <row r="238" spans="1:32" x14ac:dyDescent="0.25">
      <c r="D238" s="1450" t="s">
        <v>129</v>
      </c>
      <c r="E238" s="1451">
        <f>'FORMULAIRE PGA Eau potable'!F355</f>
        <v>0</v>
      </c>
      <c r="F238" s="1452">
        <f>E238</f>
        <v>0</v>
      </c>
      <c r="G238" s="1452">
        <f t="shared" ref="G238:N238" si="21">F238</f>
        <v>0</v>
      </c>
      <c r="H238" s="1452">
        <f t="shared" si="21"/>
        <v>0</v>
      </c>
      <c r="I238" s="1452">
        <f t="shared" si="21"/>
        <v>0</v>
      </c>
      <c r="J238" s="1452">
        <f t="shared" si="21"/>
        <v>0</v>
      </c>
      <c r="K238" s="1452">
        <f t="shared" si="21"/>
        <v>0</v>
      </c>
      <c r="L238" s="1452">
        <f t="shared" si="21"/>
        <v>0</v>
      </c>
      <c r="M238" s="1452">
        <f t="shared" si="21"/>
        <v>0</v>
      </c>
      <c r="N238" s="1452">
        <f t="shared" si="21"/>
        <v>0</v>
      </c>
      <c r="O238" s="1453">
        <f>SUM(E238:N238)</f>
        <v>0</v>
      </c>
    </row>
    <row r="239" spans="1:32" x14ac:dyDescent="0.25">
      <c r="B239" s="919"/>
      <c r="C239" s="919"/>
      <c r="D239" s="919" t="s">
        <v>1</v>
      </c>
      <c r="E239" s="1454">
        <f>'FORMULAIRE PGA Eau potable'!E412</f>
        <v>0</v>
      </c>
      <c r="F239" s="1454">
        <f>'FORMULAIRE PGA Eau potable'!F412</f>
        <v>0</v>
      </c>
      <c r="G239" s="1454">
        <f>'FORMULAIRE PGA Eau potable'!G412</f>
        <v>0</v>
      </c>
      <c r="H239" s="1454">
        <f>'FORMULAIRE PGA Eau potable'!H412</f>
        <v>0</v>
      </c>
      <c r="I239" s="1454">
        <f>'FORMULAIRE PGA Eau potable'!I412</f>
        <v>0</v>
      </c>
      <c r="J239" s="1454">
        <f>'FORMULAIRE PGA Eau potable'!J412</f>
        <v>0</v>
      </c>
      <c r="K239" s="1454">
        <f>'FORMULAIRE PGA Eau potable'!K412</f>
        <v>0</v>
      </c>
      <c r="L239" s="1454">
        <f>'FORMULAIRE PGA Eau potable'!L412</f>
        <v>0</v>
      </c>
      <c r="M239" s="1454">
        <f>'FORMULAIRE PGA Eau potable'!M412</f>
        <v>0</v>
      </c>
      <c r="N239" s="1454">
        <f>'FORMULAIRE PGA Eau potable'!N412</f>
        <v>0</v>
      </c>
      <c r="O239" s="1455">
        <f>SUM(E239:N239)</f>
        <v>0</v>
      </c>
      <c r="P239" s="1456" t="str">
        <f>IF(ISERR(O239/$O$244)=TRUE,"",(O239/$O$244))</f>
        <v/>
      </c>
    </row>
    <row r="240" spans="1:32" x14ac:dyDescent="0.25">
      <c r="B240" s="919"/>
      <c r="C240" s="919"/>
      <c r="D240" s="919" t="s">
        <v>2</v>
      </c>
      <c r="E240" s="1454">
        <f>'FORMULAIRE PGA Eau potable'!E419</f>
        <v>0</v>
      </c>
      <c r="F240" s="1454">
        <f>'FORMULAIRE PGA Eau potable'!F419</f>
        <v>0</v>
      </c>
      <c r="G240" s="1454">
        <f>'FORMULAIRE PGA Eau potable'!G419</f>
        <v>0</v>
      </c>
      <c r="H240" s="1454">
        <f>'FORMULAIRE PGA Eau potable'!H419</f>
        <v>0</v>
      </c>
      <c r="I240" s="1454">
        <f>'FORMULAIRE PGA Eau potable'!I419</f>
        <v>0</v>
      </c>
      <c r="J240" s="1454">
        <f>'FORMULAIRE PGA Eau potable'!J419</f>
        <v>0</v>
      </c>
      <c r="K240" s="1454">
        <f>'FORMULAIRE PGA Eau potable'!K419</f>
        <v>0</v>
      </c>
      <c r="L240" s="1454">
        <f>'FORMULAIRE PGA Eau potable'!L419</f>
        <v>0</v>
      </c>
      <c r="M240" s="1454">
        <f>'FORMULAIRE PGA Eau potable'!M419</f>
        <v>0</v>
      </c>
      <c r="N240" s="1454">
        <f>'FORMULAIRE PGA Eau potable'!N419</f>
        <v>0</v>
      </c>
      <c r="O240" s="1455">
        <f t="shared" ref="O240:O243" si="22">SUM(E240:N240)</f>
        <v>0</v>
      </c>
      <c r="P240" s="1456" t="str">
        <f t="shared" ref="P240:P243" si="23">IF(ISERR(O240/$O$244)=TRUE,"",(O240/$O$244))</f>
        <v/>
      </c>
    </row>
    <row r="241" spans="1:16" x14ac:dyDescent="0.25">
      <c r="B241" s="919"/>
      <c r="C241" s="919"/>
      <c r="D241" s="919" t="s">
        <v>5</v>
      </c>
      <c r="E241" s="1454">
        <f>'FORMULAIRE PGA Eau potable'!E427</f>
        <v>0</v>
      </c>
      <c r="F241" s="1454">
        <f>'FORMULAIRE PGA Eau potable'!F427</f>
        <v>0</v>
      </c>
      <c r="G241" s="1454">
        <f>'FORMULAIRE PGA Eau potable'!G427</f>
        <v>0</v>
      </c>
      <c r="H241" s="1454">
        <f>'FORMULAIRE PGA Eau potable'!H427</f>
        <v>0</v>
      </c>
      <c r="I241" s="1454">
        <f>'FORMULAIRE PGA Eau potable'!I427</f>
        <v>0</v>
      </c>
      <c r="J241" s="1454">
        <f>'FORMULAIRE PGA Eau potable'!J427</f>
        <v>0</v>
      </c>
      <c r="K241" s="1454">
        <f>'FORMULAIRE PGA Eau potable'!K427</f>
        <v>0</v>
      </c>
      <c r="L241" s="1454">
        <f>'FORMULAIRE PGA Eau potable'!L427</f>
        <v>0</v>
      </c>
      <c r="M241" s="1454">
        <f>'FORMULAIRE PGA Eau potable'!M427</f>
        <v>0</v>
      </c>
      <c r="N241" s="1454">
        <f>'FORMULAIRE PGA Eau potable'!N427</f>
        <v>0</v>
      </c>
      <c r="O241" s="1455">
        <f t="shared" si="22"/>
        <v>0</v>
      </c>
      <c r="P241" s="1456" t="str">
        <f t="shared" si="23"/>
        <v/>
      </c>
    </row>
    <row r="242" spans="1:16" x14ac:dyDescent="0.25">
      <c r="B242" s="919"/>
      <c r="C242" s="919"/>
      <c r="D242" s="919" t="s">
        <v>3</v>
      </c>
      <c r="E242" s="1454">
        <f>'FORMULAIRE PGA Eau potable'!E436</f>
        <v>0</v>
      </c>
      <c r="F242" s="1454">
        <f>'FORMULAIRE PGA Eau potable'!F436</f>
        <v>0</v>
      </c>
      <c r="G242" s="1454">
        <f>'FORMULAIRE PGA Eau potable'!G436</f>
        <v>0</v>
      </c>
      <c r="H242" s="1454">
        <f>'FORMULAIRE PGA Eau potable'!H436</f>
        <v>0</v>
      </c>
      <c r="I242" s="1454">
        <f>'FORMULAIRE PGA Eau potable'!I436</f>
        <v>0</v>
      </c>
      <c r="J242" s="1454">
        <f>'FORMULAIRE PGA Eau potable'!J436</f>
        <v>0</v>
      </c>
      <c r="K242" s="1454">
        <f>'FORMULAIRE PGA Eau potable'!K436</f>
        <v>0</v>
      </c>
      <c r="L242" s="1454">
        <f>'FORMULAIRE PGA Eau potable'!L436</f>
        <v>0</v>
      </c>
      <c r="M242" s="1454">
        <f>'FORMULAIRE PGA Eau potable'!M436</f>
        <v>0</v>
      </c>
      <c r="N242" s="1454">
        <f>'FORMULAIRE PGA Eau potable'!N436</f>
        <v>0</v>
      </c>
      <c r="O242" s="1455">
        <f t="shared" si="22"/>
        <v>0</v>
      </c>
      <c r="P242" s="1456" t="str">
        <f t="shared" si="23"/>
        <v/>
      </c>
    </row>
    <row r="243" spans="1:16" x14ac:dyDescent="0.25">
      <c r="B243" s="919"/>
      <c r="C243" s="919"/>
      <c r="D243" s="919" t="s">
        <v>4</v>
      </c>
      <c r="E243" s="1454">
        <f>'FORMULAIRE PGA Eau potable'!E442</f>
        <v>0</v>
      </c>
      <c r="F243" s="1454">
        <f>'FORMULAIRE PGA Eau potable'!F442</f>
        <v>0</v>
      </c>
      <c r="G243" s="1454">
        <f>'FORMULAIRE PGA Eau potable'!G442</f>
        <v>0</v>
      </c>
      <c r="H243" s="1454">
        <f>'FORMULAIRE PGA Eau potable'!H442</f>
        <v>0</v>
      </c>
      <c r="I243" s="1454">
        <f>'FORMULAIRE PGA Eau potable'!I442</f>
        <v>0</v>
      </c>
      <c r="J243" s="1454">
        <f>'FORMULAIRE PGA Eau potable'!J442</f>
        <v>0</v>
      </c>
      <c r="K243" s="1454">
        <f>'FORMULAIRE PGA Eau potable'!K442</f>
        <v>0</v>
      </c>
      <c r="L243" s="1454">
        <f>'FORMULAIRE PGA Eau potable'!L442</f>
        <v>0</v>
      </c>
      <c r="M243" s="1454">
        <f>'FORMULAIRE PGA Eau potable'!M442</f>
        <v>0</v>
      </c>
      <c r="N243" s="1454">
        <f>'FORMULAIRE PGA Eau potable'!N442</f>
        <v>0</v>
      </c>
      <c r="O243" s="1455">
        <f t="shared" si="22"/>
        <v>0</v>
      </c>
      <c r="P243" s="1456" t="str">
        <f t="shared" si="23"/>
        <v/>
      </c>
    </row>
    <row r="244" spans="1:16" ht="18.75" customHeight="1" x14ac:dyDescent="0.25">
      <c r="B244" s="919"/>
      <c r="C244" s="919"/>
      <c r="D244" s="1457" t="s">
        <v>6</v>
      </c>
      <c r="E244" s="1458">
        <f>SUM(E239:E243)</f>
        <v>0</v>
      </c>
      <c r="F244" s="1458">
        <f t="shared" ref="F244:N244" si="24">SUM(F239:F243)</f>
        <v>0</v>
      </c>
      <c r="G244" s="1458">
        <f t="shared" si="24"/>
        <v>0</v>
      </c>
      <c r="H244" s="1458">
        <f t="shared" si="24"/>
        <v>0</v>
      </c>
      <c r="I244" s="1458">
        <f t="shared" si="24"/>
        <v>0</v>
      </c>
      <c r="J244" s="1458">
        <f t="shared" si="24"/>
        <v>0</v>
      </c>
      <c r="K244" s="1458">
        <f t="shared" si="24"/>
        <v>0</v>
      </c>
      <c r="L244" s="1458">
        <f t="shared" si="24"/>
        <v>0</v>
      </c>
      <c r="M244" s="1458">
        <f t="shared" si="24"/>
        <v>0</v>
      </c>
      <c r="N244" s="1458">
        <f t="shared" si="24"/>
        <v>0</v>
      </c>
      <c r="O244" s="1459">
        <f>SUM(E244:N244)</f>
        <v>0</v>
      </c>
      <c r="P244" s="1460">
        <f>IF(O272=0,0,O244/O272)</f>
        <v>0</v>
      </c>
    </row>
    <row r="245" spans="1:16" x14ac:dyDescent="0.25">
      <c r="B245" s="919"/>
      <c r="C245" s="919"/>
      <c r="D245" s="919"/>
      <c r="E245" s="1454"/>
      <c r="F245" s="1454"/>
      <c r="G245" s="1454"/>
      <c r="H245" s="1454"/>
      <c r="I245" s="1454"/>
      <c r="J245" s="1454"/>
      <c r="K245" s="1454"/>
      <c r="L245" s="1454"/>
      <c r="M245" s="1454"/>
      <c r="N245" s="1454"/>
      <c r="O245" s="1454"/>
      <c r="P245" s="1460"/>
    </row>
    <row r="246" spans="1:16" x14ac:dyDescent="0.25">
      <c r="B246" s="919"/>
      <c r="C246" s="919"/>
      <c r="D246" s="919"/>
      <c r="E246" s="1461"/>
      <c r="F246" s="1461"/>
      <c r="G246" s="1461"/>
      <c r="H246" s="1461"/>
      <c r="I246" s="1461"/>
      <c r="J246" s="1461"/>
      <c r="K246" s="1461"/>
      <c r="L246" s="1461"/>
      <c r="M246" s="1461"/>
      <c r="N246" s="1461"/>
      <c r="O246" s="1461"/>
      <c r="P246" s="1462"/>
    </row>
    <row r="247" spans="1:16" ht="21.75" customHeight="1" x14ac:dyDescent="0.3">
      <c r="B247" s="919"/>
      <c r="C247" s="919"/>
      <c r="D247" s="1463" t="s">
        <v>161</v>
      </c>
      <c r="E247" s="1464" t="s">
        <v>1528</v>
      </c>
      <c r="F247" s="1465" t="s">
        <v>1</v>
      </c>
      <c r="G247" s="1466" t="s">
        <v>1528</v>
      </c>
      <c r="H247" s="1465" t="s">
        <v>2</v>
      </c>
      <c r="I247" s="1467" t="s">
        <v>1528</v>
      </c>
      <c r="J247" s="1465" t="s">
        <v>5</v>
      </c>
      <c r="K247" s="55"/>
      <c r="L247" s="1468" t="s">
        <v>1528</v>
      </c>
      <c r="M247" s="1465" t="s">
        <v>3</v>
      </c>
      <c r="N247" s="1469" t="s">
        <v>1528</v>
      </c>
      <c r="O247" s="1465" t="s">
        <v>4</v>
      </c>
      <c r="P247" s="55"/>
    </row>
    <row r="248" spans="1:16" ht="18.75" customHeight="1" x14ac:dyDescent="0.25">
      <c r="B248" s="919"/>
      <c r="C248" s="919"/>
      <c r="D248" s="1470">
        <f>H192</f>
        <v>0</v>
      </c>
      <c r="E248" s="1471"/>
      <c r="F248" s="3268">
        <f>O239</f>
        <v>0</v>
      </c>
      <c r="G248" s="3268"/>
      <c r="H248" s="3268">
        <f>O240</f>
        <v>0</v>
      </c>
      <c r="I248" s="3268"/>
      <c r="J248" s="3268">
        <f>O241</f>
        <v>0</v>
      </c>
      <c r="K248" s="3268"/>
      <c r="L248" s="55"/>
      <c r="M248" s="3268">
        <f>O242</f>
        <v>0</v>
      </c>
      <c r="N248" s="3268"/>
      <c r="O248" s="3268">
        <f>O243</f>
        <v>0</v>
      </c>
      <c r="P248" s="3268"/>
    </row>
    <row r="249" spans="1:16" ht="11.25" customHeight="1" x14ac:dyDescent="0.25">
      <c r="B249" s="919"/>
      <c r="C249" s="919"/>
      <c r="D249" s="919"/>
      <c r="E249" s="1472"/>
      <c r="F249" s="1461"/>
      <c r="G249" s="1461"/>
      <c r="H249" s="1472"/>
      <c r="I249" s="1461"/>
      <c r="J249" s="1461"/>
      <c r="K249" s="1461"/>
      <c r="L249" s="1461"/>
      <c r="M249" s="1461"/>
      <c r="N249" s="1461"/>
      <c r="O249" s="1461"/>
      <c r="P249" s="1462"/>
    </row>
    <row r="250" spans="1:16" x14ac:dyDescent="0.25">
      <c r="B250" s="919"/>
      <c r="C250" s="919"/>
      <c r="D250" s="919"/>
      <c r="E250" s="1454"/>
      <c r="F250" s="1454"/>
      <c r="G250" s="1454"/>
      <c r="H250" s="1454"/>
      <c r="I250" s="1454"/>
      <c r="J250" s="1454"/>
      <c r="N250" s="1454"/>
      <c r="O250" s="1454"/>
      <c r="P250" s="1460"/>
    </row>
    <row r="251" spans="1:16" ht="113.25" customHeight="1" x14ac:dyDescent="0.25">
      <c r="D251" s="1127"/>
      <c r="E251" s="1127"/>
    </row>
    <row r="252" spans="1:16" ht="21" customHeight="1" x14ac:dyDescent="0.25">
      <c r="D252" s="1446" t="s">
        <v>184</v>
      </c>
      <c r="E252" s="72"/>
    </row>
    <row r="253" spans="1:16" ht="9.75" customHeight="1" x14ac:dyDescent="0.25">
      <c r="B253" s="1416"/>
      <c r="C253" s="1416"/>
      <c r="D253" s="1447"/>
      <c r="E253" s="72"/>
    </row>
    <row r="254" spans="1:16" s="72" customFormat="1" ht="20.25" customHeight="1" x14ac:dyDescent="0.25">
      <c r="A254" s="82"/>
      <c r="D254" s="1448"/>
      <c r="E254" s="1296">
        <f>'FORMULAIRE PGA Eau potable'!E410</f>
        <v>0</v>
      </c>
      <c r="F254" s="1296">
        <f>E254+1</f>
        <v>1</v>
      </c>
      <c r="G254" s="1296">
        <f t="shared" ref="G254" si="25">F254+1</f>
        <v>2</v>
      </c>
      <c r="H254" s="1296">
        <f t="shared" ref="H254" si="26">G254+1</f>
        <v>3</v>
      </c>
      <c r="I254" s="1296">
        <f t="shared" ref="I254" si="27">H254+1</f>
        <v>4</v>
      </c>
      <c r="J254" s="1296">
        <f t="shared" ref="J254" si="28">I254+1</f>
        <v>5</v>
      </c>
      <c r="K254" s="1296">
        <f t="shared" ref="K254" si="29">J254+1</f>
        <v>6</v>
      </c>
      <c r="L254" s="1296">
        <f t="shared" ref="L254" si="30">K254+1</f>
        <v>7</v>
      </c>
      <c r="M254" s="1296">
        <f t="shared" ref="M254" si="31">L254+1</f>
        <v>8</v>
      </c>
      <c r="N254" s="1296">
        <f t="shared" ref="N254" si="32">M254+1</f>
        <v>9</v>
      </c>
      <c r="O254" s="1449" t="s">
        <v>1822</v>
      </c>
    </row>
    <row r="255" spans="1:16" x14ac:dyDescent="0.25">
      <c r="D255" s="1450" t="s">
        <v>129</v>
      </c>
      <c r="E255" s="1451">
        <f>'FORMULAIRE PGA Eau potable'!F365</f>
        <v>0</v>
      </c>
      <c r="F255" s="1451">
        <f>E255</f>
        <v>0</v>
      </c>
      <c r="G255" s="1451">
        <f t="shared" ref="G255:N255" si="33">F255</f>
        <v>0</v>
      </c>
      <c r="H255" s="1451">
        <f t="shared" si="33"/>
        <v>0</v>
      </c>
      <c r="I255" s="1451">
        <f t="shared" si="33"/>
        <v>0</v>
      </c>
      <c r="J255" s="1451">
        <f t="shared" si="33"/>
        <v>0</v>
      </c>
      <c r="K255" s="1451">
        <f t="shared" si="33"/>
        <v>0</v>
      </c>
      <c r="L255" s="1451">
        <f t="shared" si="33"/>
        <v>0</v>
      </c>
      <c r="M255" s="1451">
        <f t="shared" si="33"/>
        <v>0</v>
      </c>
      <c r="N255" s="1451">
        <f t="shared" si="33"/>
        <v>0</v>
      </c>
      <c r="O255" s="1453">
        <f>SUM(E255:N255)</f>
        <v>0</v>
      </c>
    </row>
    <row r="256" spans="1:16" x14ac:dyDescent="0.25">
      <c r="D256" s="919" t="s">
        <v>1</v>
      </c>
      <c r="E256" s="1454">
        <f>'FORMULAIRE PGA Eau potable'!E457</f>
        <v>0</v>
      </c>
      <c r="F256" s="1454">
        <f>'FORMULAIRE PGA Eau potable'!F457</f>
        <v>0</v>
      </c>
      <c r="G256" s="1454">
        <f>'FORMULAIRE PGA Eau potable'!G457</f>
        <v>0</v>
      </c>
      <c r="H256" s="1454">
        <f>'FORMULAIRE PGA Eau potable'!H457</f>
        <v>0</v>
      </c>
      <c r="I256" s="1454">
        <f>'FORMULAIRE PGA Eau potable'!I457</f>
        <v>0</v>
      </c>
      <c r="J256" s="1454">
        <f>'FORMULAIRE PGA Eau potable'!J457</f>
        <v>0</v>
      </c>
      <c r="K256" s="1454">
        <f>'FORMULAIRE PGA Eau potable'!K457</f>
        <v>0</v>
      </c>
      <c r="L256" s="1454">
        <f>'FORMULAIRE PGA Eau potable'!L457</f>
        <v>0</v>
      </c>
      <c r="M256" s="1454">
        <f>'FORMULAIRE PGA Eau potable'!M457</f>
        <v>0</v>
      </c>
      <c r="N256" s="1454">
        <f>'FORMULAIRE PGA Eau potable'!N457</f>
        <v>0</v>
      </c>
      <c r="O256" s="1455">
        <f>SUM(E256:N256)</f>
        <v>0</v>
      </c>
      <c r="P256" s="1456" t="str">
        <f>IF(ISERR(O256/$O$261)=TRUE,"",(O256/$O$261))</f>
        <v/>
      </c>
    </row>
    <row r="257" spans="2:16" x14ac:dyDescent="0.25">
      <c r="D257" s="919" t="s">
        <v>2</v>
      </c>
      <c r="E257" s="1454">
        <f>'FORMULAIRE PGA Eau potable'!E464</f>
        <v>0</v>
      </c>
      <c r="F257" s="1454">
        <f>'FORMULAIRE PGA Eau potable'!F464</f>
        <v>0</v>
      </c>
      <c r="G257" s="1454">
        <f>'FORMULAIRE PGA Eau potable'!G464</f>
        <v>0</v>
      </c>
      <c r="H257" s="1454">
        <f>'FORMULAIRE PGA Eau potable'!H464</f>
        <v>0</v>
      </c>
      <c r="I257" s="1454">
        <f>'FORMULAIRE PGA Eau potable'!I464</f>
        <v>0</v>
      </c>
      <c r="J257" s="1454">
        <f>'FORMULAIRE PGA Eau potable'!J464</f>
        <v>0</v>
      </c>
      <c r="K257" s="1454">
        <f>'FORMULAIRE PGA Eau potable'!K464</f>
        <v>0</v>
      </c>
      <c r="L257" s="1454">
        <f>'FORMULAIRE PGA Eau potable'!L464</f>
        <v>0</v>
      </c>
      <c r="M257" s="1454">
        <f>'FORMULAIRE PGA Eau potable'!M464</f>
        <v>0</v>
      </c>
      <c r="N257" s="1454">
        <f>'FORMULAIRE PGA Eau potable'!N464</f>
        <v>0</v>
      </c>
      <c r="O257" s="1455">
        <f t="shared" ref="O257:O260" si="34">SUM(E257:N257)</f>
        <v>0</v>
      </c>
      <c r="P257" s="1456" t="str">
        <f t="shared" ref="P257:P260" si="35">IF(ISERR(O257/$O$261)=TRUE,"",(O257/$O$261))</f>
        <v/>
      </c>
    </row>
    <row r="258" spans="2:16" x14ac:dyDescent="0.25">
      <c r="D258" s="919" t="s">
        <v>5</v>
      </c>
      <c r="E258" s="1454">
        <f>'FORMULAIRE PGA Eau potable'!E472</f>
        <v>0</v>
      </c>
      <c r="F258" s="1454">
        <f>'FORMULAIRE PGA Eau potable'!F472</f>
        <v>0</v>
      </c>
      <c r="G258" s="1454">
        <f>'FORMULAIRE PGA Eau potable'!G472</f>
        <v>0</v>
      </c>
      <c r="H258" s="1454">
        <f>'FORMULAIRE PGA Eau potable'!H472</f>
        <v>0</v>
      </c>
      <c r="I258" s="1454">
        <f>'FORMULAIRE PGA Eau potable'!I472</f>
        <v>0</v>
      </c>
      <c r="J258" s="1454">
        <f>'FORMULAIRE PGA Eau potable'!J472</f>
        <v>0</v>
      </c>
      <c r="K258" s="1454">
        <f>'FORMULAIRE PGA Eau potable'!K472</f>
        <v>0</v>
      </c>
      <c r="L258" s="1454">
        <f>'FORMULAIRE PGA Eau potable'!L472</f>
        <v>0</v>
      </c>
      <c r="M258" s="1454">
        <f>'FORMULAIRE PGA Eau potable'!M472</f>
        <v>0</v>
      </c>
      <c r="N258" s="1454">
        <f>'FORMULAIRE PGA Eau potable'!N472</f>
        <v>0</v>
      </c>
      <c r="O258" s="1455">
        <f t="shared" si="34"/>
        <v>0</v>
      </c>
      <c r="P258" s="1456" t="str">
        <f t="shared" si="35"/>
        <v/>
      </c>
    </row>
    <row r="259" spans="2:16" x14ac:dyDescent="0.25">
      <c r="D259" s="919" t="s">
        <v>3</v>
      </c>
      <c r="E259" s="1454">
        <f>'FORMULAIRE PGA Eau potable'!E481</f>
        <v>0</v>
      </c>
      <c r="F259" s="1454">
        <f>'FORMULAIRE PGA Eau potable'!F481</f>
        <v>0</v>
      </c>
      <c r="G259" s="1454">
        <f>'FORMULAIRE PGA Eau potable'!G481</f>
        <v>0</v>
      </c>
      <c r="H259" s="1454">
        <f>'FORMULAIRE PGA Eau potable'!H481</f>
        <v>0</v>
      </c>
      <c r="I259" s="1454">
        <f>'FORMULAIRE PGA Eau potable'!I481</f>
        <v>0</v>
      </c>
      <c r="J259" s="1454">
        <f>'FORMULAIRE PGA Eau potable'!J481</f>
        <v>0</v>
      </c>
      <c r="K259" s="1454">
        <f>'FORMULAIRE PGA Eau potable'!K481</f>
        <v>0</v>
      </c>
      <c r="L259" s="1454">
        <f>'FORMULAIRE PGA Eau potable'!L481</f>
        <v>0</v>
      </c>
      <c r="M259" s="1454">
        <f>'FORMULAIRE PGA Eau potable'!M481</f>
        <v>0</v>
      </c>
      <c r="N259" s="1454">
        <f>'FORMULAIRE PGA Eau potable'!N481</f>
        <v>0</v>
      </c>
      <c r="O259" s="1455">
        <f t="shared" si="34"/>
        <v>0</v>
      </c>
      <c r="P259" s="1456" t="str">
        <f t="shared" si="35"/>
        <v/>
      </c>
    </row>
    <row r="260" spans="2:16" x14ac:dyDescent="0.25">
      <c r="D260" s="919" t="s">
        <v>4</v>
      </c>
      <c r="E260" s="1454">
        <f>'FORMULAIRE PGA Eau potable'!E487</f>
        <v>0</v>
      </c>
      <c r="F260" s="1454">
        <f>'FORMULAIRE PGA Eau potable'!F487</f>
        <v>0</v>
      </c>
      <c r="G260" s="1454">
        <f>'FORMULAIRE PGA Eau potable'!G487</f>
        <v>0</v>
      </c>
      <c r="H260" s="1454">
        <f>'FORMULAIRE PGA Eau potable'!H487</f>
        <v>0</v>
      </c>
      <c r="I260" s="1454">
        <f>'FORMULAIRE PGA Eau potable'!I487</f>
        <v>0</v>
      </c>
      <c r="J260" s="1454">
        <f>'FORMULAIRE PGA Eau potable'!J487</f>
        <v>0</v>
      </c>
      <c r="K260" s="1454">
        <f>'FORMULAIRE PGA Eau potable'!K487</f>
        <v>0</v>
      </c>
      <c r="L260" s="1454">
        <f>'FORMULAIRE PGA Eau potable'!L487</f>
        <v>0</v>
      </c>
      <c r="M260" s="1454">
        <f>'FORMULAIRE PGA Eau potable'!M487</f>
        <v>0</v>
      </c>
      <c r="N260" s="1454">
        <f>'FORMULAIRE PGA Eau potable'!N487</f>
        <v>0</v>
      </c>
      <c r="O260" s="1455">
        <f t="shared" si="34"/>
        <v>0</v>
      </c>
      <c r="P260" s="1456" t="str">
        <f t="shared" si="35"/>
        <v/>
      </c>
    </row>
    <row r="261" spans="2:16" ht="21" customHeight="1" x14ac:dyDescent="0.25">
      <c r="D261" s="1457" t="s">
        <v>6</v>
      </c>
      <c r="E261" s="1458">
        <f>SUM(E256:E260)</f>
        <v>0</v>
      </c>
      <c r="F261" s="1458">
        <f t="shared" ref="F261" si="36">SUM(F256:F260)</f>
        <v>0</v>
      </c>
      <c r="G261" s="1458">
        <f t="shared" ref="G261" si="37">SUM(G256:G260)</f>
        <v>0</v>
      </c>
      <c r="H261" s="1458">
        <f t="shared" ref="H261" si="38">SUM(H256:H260)</f>
        <v>0</v>
      </c>
      <c r="I261" s="1458">
        <f t="shared" ref="I261" si="39">SUM(I256:I260)</f>
        <v>0</v>
      </c>
      <c r="J261" s="1458">
        <f t="shared" ref="J261" si="40">SUM(J256:J260)</f>
        <v>0</v>
      </c>
      <c r="K261" s="1458">
        <f t="shared" ref="K261" si="41">SUM(K256:K260)</f>
        <v>0</v>
      </c>
      <c r="L261" s="1458">
        <f t="shared" ref="L261" si="42">SUM(L256:L260)</f>
        <v>0</v>
      </c>
      <c r="M261" s="1458">
        <f t="shared" ref="M261" si="43">SUM(M256:M260)</f>
        <v>0</v>
      </c>
      <c r="N261" s="1458">
        <f t="shared" ref="N261" si="44">SUM(N256:N260)</f>
        <v>0</v>
      </c>
      <c r="O261" s="1459">
        <f>SUM(E261:N261)</f>
        <v>0</v>
      </c>
      <c r="P261" s="1460">
        <f>IF(O272=0,0,O261/O272)</f>
        <v>0</v>
      </c>
    </row>
    <row r="262" spans="2:16" x14ac:dyDescent="0.25">
      <c r="B262" s="919"/>
      <c r="C262" s="919"/>
      <c r="D262" s="919"/>
      <c r="E262" s="1454"/>
      <c r="F262" s="1454"/>
      <c r="G262" s="1454"/>
      <c r="H262" s="1454"/>
      <c r="I262" s="1454"/>
      <c r="J262" s="1454"/>
      <c r="K262" s="1454"/>
      <c r="L262" s="1454"/>
      <c r="M262" s="1454"/>
      <c r="N262" s="1454"/>
      <c r="O262" s="1454"/>
      <c r="P262" s="1460"/>
    </row>
    <row r="263" spans="2:16" x14ac:dyDescent="0.25">
      <c r="B263" s="919"/>
      <c r="C263" s="919"/>
      <c r="D263" s="919"/>
      <c r="E263" s="1461"/>
      <c r="F263" s="1461"/>
      <c r="G263" s="1461"/>
      <c r="H263" s="1461"/>
      <c r="I263" s="1461"/>
      <c r="J263" s="1461"/>
      <c r="K263" s="1461"/>
      <c r="L263" s="1461"/>
      <c r="M263" s="1461"/>
      <c r="N263" s="1461"/>
      <c r="O263" s="1461"/>
      <c r="P263" s="1462"/>
    </row>
    <row r="264" spans="2:16" ht="21.75" customHeight="1" x14ac:dyDescent="0.3">
      <c r="B264" s="919"/>
      <c r="C264" s="919"/>
      <c r="D264" s="1463" t="s">
        <v>161</v>
      </c>
      <c r="E264" s="1464" t="s">
        <v>1528</v>
      </c>
      <c r="F264" s="1465" t="s">
        <v>1</v>
      </c>
      <c r="G264" s="1466" t="s">
        <v>1528</v>
      </c>
      <c r="H264" s="1465" t="s">
        <v>2</v>
      </c>
      <c r="I264" s="1467" t="s">
        <v>1528</v>
      </c>
      <c r="J264" s="1465" t="s">
        <v>5</v>
      </c>
      <c r="K264" s="55"/>
      <c r="L264" s="1468" t="s">
        <v>1528</v>
      </c>
      <c r="M264" s="1465" t="s">
        <v>3</v>
      </c>
      <c r="N264" s="1469" t="s">
        <v>1528</v>
      </c>
      <c r="O264" s="1465" t="s">
        <v>4</v>
      </c>
      <c r="P264" s="55"/>
    </row>
    <row r="265" spans="2:16" ht="18.75" customHeight="1" x14ac:dyDescent="0.25">
      <c r="B265" s="919"/>
      <c r="C265" s="919"/>
      <c r="D265" s="1470">
        <f>O192</f>
        <v>0</v>
      </c>
      <c r="E265" s="1471"/>
      <c r="F265" s="3268">
        <f>O256</f>
        <v>0</v>
      </c>
      <c r="G265" s="3268"/>
      <c r="H265" s="3268">
        <f>O257</f>
        <v>0</v>
      </c>
      <c r="I265" s="3268"/>
      <c r="J265" s="3268">
        <f>O258</f>
        <v>0</v>
      </c>
      <c r="K265" s="3268"/>
      <c r="L265" s="55"/>
      <c r="M265" s="3268">
        <f>O259</f>
        <v>0</v>
      </c>
      <c r="N265" s="3268"/>
      <c r="O265" s="3268">
        <f>O260</f>
        <v>0</v>
      </c>
      <c r="P265" s="3268"/>
    </row>
    <row r="266" spans="2:16" ht="11.25" customHeight="1" x14ac:dyDescent="0.25">
      <c r="B266" s="919"/>
      <c r="C266" s="919"/>
      <c r="D266" s="919"/>
      <c r="E266" s="1472"/>
      <c r="F266" s="1461"/>
      <c r="G266" s="1461"/>
      <c r="H266" s="1472"/>
      <c r="I266" s="1461"/>
      <c r="J266" s="1461"/>
      <c r="K266" s="1461"/>
      <c r="L266" s="1461"/>
      <c r="M266" s="1461"/>
      <c r="N266" s="1461"/>
      <c r="O266" s="1461"/>
      <c r="P266" s="1462"/>
    </row>
    <row r="267" spans="2:16" x14ac:dyDescent="0.25">
      <c r="B267" s="919"/>
      <c r="C267" s="919"/>
      <c r="D267" s="919"/>
      <c r="E267" s="1454"/>
      <c r="F267" s="1454"/>
      <c r="G267" s="1454"/>
      <c r="H267" s="1454"/>
      <c r="I267" s="1454"/>
      <c r="J267" s="1454"/>
      <c r="N267" s="1454"/>
      <c r="O267" s="1454"/>
      <c r="P267" s="1460"/>
    </row>
    <row r="268" spans="2:16" ht="113.25" customHeight="1" x14ac:dyDescent="0.25"/>
    <row r="270" spans="2:16" ht="21.75" customHeight="1" x14ac:dyDescent="0.25">
      <c r="D270" s="1446" t="s">
        <v>2061</v>
      </c>
    </row>
    <row r="271" spans="2:16" ht="7.5" customHeight="1" x14ac:dyDescent="0.25">
      <c r="D271" s="1447"/>
    </row>
    <row r="272" spans="2:16" ht="20.25" customHeight="1" x14ac:dyDescent="0.25">
      <c r="D272" s="1457" t="s">
        <v>6</v>
      </c>
      <c r="E272" s="1458">
        <f>E244+E261</f>
        <v>0</v>
      </c>
      <c r="F272" s="1458">
        <f t="shared" ref="F272:N272" si="45">F244+F261</f>
        <v>0</v>
      </c>
      <c r="G272" s="1458">
        <f t="shared" si="45"/>
        <v>0</v>
      </c>
      <c r="H272" s="1458">
        <f t="shared" si="45"/>
        <v>0</v>
      </c>
      <c r="I272" s="1458">
        <f t="shared" si="45"/>
        <v>0</v>
      </c>
      <c r="J272" s="1458">
        <f t="shared" si="45"/>
        <v>0</v>
      </c>
      <c r="K272" s="1458">
        <f t="shared" si="45"/>
        <v>0</v>
      </c>
      <c r="L272" s="1458">
        <f t="shared" si="45"/>
        <v>0</v>
      </c>
      <c r="M272" s="1458">
        <f t="shared" si="45"/>
        <v>0</v>
      </c>
      <c r="N272" s="1458">
        <f t="shared" si="45"/>
        <v>0</v>
      </c>
      <c r="O272" s="1459">
        <f>O244+O261</f>
        <v>0</v>
      </c>
    </row>
    <row r="275" spans="1:32" ht="22.5" customHeight="1" x14ac:dyDescent="0.3">
      <c r="B275" s="1285" t="s">
        <v>181</v>
      </c>
      <c r="C275" s="1285"/>
      <c r="D275" s="1285"/>
      <c r="E275" s="1285"/>
      <c r="F275" s="1285"/>
      <c r="G275" s="1285"/>
      <c r="H275" s="1285"/>
      <c r="I275" s="1285"/>
      <c r="J275" s="1285"/>
      <c r="K275" s="1285"/>
      <c r="L275" s="1285"/>
      <c r="M275" s="1285"/>
      <c r="N275" s="1285"/>
      <c r="O275" s="1285"/>
      <c r="P275" s="1285"/>
      <c r="Q275" s="1285"/>
      <c r="R275" s="1285"/>
      <c r="S275" s="1285"/>
      <c r="T275" s="1285"/>
      <c r="U275" s="1285"/>
      <c r="V275" s="1285"/>
      <c r="W275" s="1285"/>
      <c r="X275" s="1285"/>
      <c r="Y275" s="1285"/>
      <c r="Z275" s="1285"/>
      <c r="AA275" s="1285"/>
      <c r="AB275" s="1285"/>
      <c r="AC275" s="1285"/>
      <c r="AD275" s="1285"/>
      <c r="AE275" s="1285"/>
      <c r="AF275" s="1285"/>
    </row>
    <row r="277" spans="1:32" ht="26.25" customHeight="1" x14ac:dyDescent="0.35">
      <c r="B277" s="1416"/>
      <c r="C277" s="1416"/>
      <c r="D277" s="1417" t="s">
        <v>1891</v>
      </c>
      <c r="I277" s="1417"/>
    </row>
    <row r="278" spans="1:32" ht="22.5" customHeight="1" x14ac:dyDescent="0.25">
      <c r="B278" s="1416"/>
      <c r="C278" s="1416"/>
    </row>
    <row r="279" spans="1:32" ht="15" customHeight="1" x14ac:dyDescent="0.25">
      <c r="E279" s="55"/>
      <c r="F279" s="55"/>
      <c r="G279" s="55"/>
      <c r="H279" s="55"/>
      <c r="I279" s="55"/>
      <c r="J279" s="55"/>
      <c r="K279" s="55"/>
    </row>
    <row r="280" spans="1:32" ht="15" customHeight="1" x14ac:dyDescent="0.25">
      <c r="E280" s="1473" t="s">
        <v>1893</v>
      </c>
      <c r="F280" s="55"/>
      <c r="G280" s="55"/>
      <c r="H280" s="55"/>
      <c r="I280" s="55"/>
      <c r="J280" s="55"/>
      <c r="K280" s="55"/>
    </row>
    <row r="281" spans="1:32" ht="20.25" customHeight="1" x14ac:dyDescent="0.25">
      <c r="E281" s="1473" t="s">
        <v>1825</v>
      </c>
      <c r="F281" s="1474"/>
      <c r="G281" s="1474"/>
      <c r="H281" s="1475"/>
      <c r="I281" s="55"/>
      <c r="J281" s="55"/>
      <c r="K281" s="55"/>
    </row>
    <row r="282" spans="1:32" s="72" customFormat="1" ht="19.5" customHeight="1" x14ac:dyDescent="0.25">
      <c r="A282" s="82"/>
      <c r="E282" s="1476" t="s">
        <v>1528</v>
      </c>
      <c r="F282" s="1465" t="s">
        <v>1529</v>
      </c>
      <c r="G282" s="1477"/>
      <c r="H282" s="1478"/>
      <c r="I282" s="82"/>
      <c r="J282" s="82"/>
      <c r="K282" s="82"/>
      <c r="L282" s="28"/>
      <c r="M282" s="1479">
        <f>'FORMULAIRE PGA Eau potable'!O413+'FORMULAIRE PGA Eau potable'!O420+'FORMULAIRE PGA Eau potable'!O458+'FORMULAIRE PGA Eau potable'!O465</f>
        <v>0</v>
      </c>
      <c r="N282" s="1480" t="e">
        <f>M282/$L$293</f>
        <v>#DIV/0!</v>
      </c>
    </row>
    <row r="283" spans="1:32" s="72" customFormat="1" ht="19.5" customHeight="1" x14ac:dyDescent="0.2">
      <c r="A283" s="82"/>
      <c r="E283" s="1481" t="s">
        <v>1528</v>
      </c>
      <c r="F283" s="1465" t="s">
        <v>1883</v>
      </c>
      <c r="G283" s="1482"/>
      <c r="H283" s="1482"/>
      <c r="I283" s="82"/>
      <c r="J283" s="82"/>
      <c r="K283" s="82"/>
      <c r="M283" s="1479">
        <f>'FORMULAIRE PGA Eau potable'!O428+'FORMULAIRE PGA Eau potable'!O437+'FORMULAIRE PGA Eau potable'!O443+'FORMULAIRE PGA Eau potable'!O473+'FORMULAIRE PGA Eau potable'!O482+'FORMULAIRE PGA Eau potable'!O488</f>
        <v>0</v>
      </c>
      <c r="N283" s="1480" t="e">
        <f>M283/$L$293</f>
        <v>#DIV/0!</v>
      </c>
    </row>
    <row r="284" spans="1:32" ht="12" customHeight="1" x14ac:dyDescent="0.25">
      <c r="E284" s="55"/>
      <c r="F284" s="1483"/>
      <c r="G284" s="1484"/>
      <c r="H284" s="1484"/>
      <c r="I284" s="55"/>
      <c r="J284" s="55"/>
      <c r="K284" s="55"/>
      <c r="M284" s="1479"/>
      <c r="N284" s="1480"/>
    </row>
    <row r="285" spans="1:32" ht="20.25" customHeight="1" x14ac:dyDescent="0.25">
      <c r="E285" s="1473" t="s">
        <v>1884</v>
      </c>
      <c r="F285" s="1483"/>
      <c r="G285" s="1484"/>
      <c r="H285" s="1484"/>
      <c r="I285" s="55"/>
      <c r="J285" s="55"/>
      <c r="K285" s="55"/>
      <c r="M285" s="1479"/>
      <c r="N285" s="1480"/>
    </row>
    <row r="286" spans="1:32" ht="19.5" customHeight="1" x14ac:dyDescent="0.25">
      <c r="E286" s="1485" t="s">
        <v>1528</v>
      </c>
      <c r="F286" s="1465" t="s">
        <v>2135</v>
      </c>
      <c r="G286" s="1484"/>
      <c r="H286" s="1484"/>
      <c r="I286" s="55"/>
      <c r="J286" s="55"/>
      <c r="K286" s="55"/>
      <c r="M286" s="1479">
        <f>'FORMULAIRE PGA Eau potable'!O429+'FORMULAIRE PGA Eau potable'!O474</f>
        <v>0</v>
      </c>
      <c r="N286" s="1480" t="e">
        <f>M286/$L$293</f>
        <v>#DIV/0!</v>
      </c>
    </row>
    <row r="287" spans="1:32" ht="12" customHeight="1" x14ac:dyDescent="0.25">
      <c r="E287" s="55"/>
      <c r="F287" s="1483"/>
      <c r="G287" s="1484"/>
      <c r="H287" s="1484"/>
      <c r="I287" s="55"/>
      <c r="J287" s="55"/>
      <c r="K287" s="55"/>
      <c r="M287" s="1479"/>
      <c r="N287" s="1480"/>
    </row>
    <row r="288" spans="1:32" ht="20.25" customHeight="1" x14ac:dyDescent="0.25">
      <c r="E288" s="1473" t="s">
        <v>1824</v>
      </c>
      <c r="F288" s="1483"/>
      <c r="G288" s="1484"/>
      <c r="H288" s="1484"/>
      <c r="I288" s="55"/>
      <c r="J288" s="55"/>
      <c r="K288" s="55"/>
      <c r="N288" s="1480"/>
    </row>
    <row r="289" spans="4:29" ht="19.5" customHeight="1" x14ac:dyDescent="0.25">
      <c r="E289" s="1486" t="s">
        <v>1528</v>
      </c>
      <c r="F289" s="1465" t="s">
        <v>1885</v>
      </c>
      <c r="G289" s="55"/>
      <c r="H289" s="55"/>
      <c r="I289" s="55"/>
      <c r="J289" s="55"/>
      <c r="K289" s="55"/>
      <c r="M289" s="1487">
        <f>'FORMULAIRE PGA Eau potable'!O415+'FORMULAIRE PGA Eau potable'!O422+'FORMULAIRE PGA Eau potable'!O460+'FORMULAIRE PGA Eau potable'!O467</f>
        <v>0</v>
      </c>
      <c r="N289" s="1480" t="e">
        <f>M289/$L$293</f>
        <v>#DIV/0!</v>
      </c>
    </row>
    <row r="290" spans="4:29" ht="19.5" customHeight="1" x14ac:dyDescent="0.25">
      <c r="E290" s="1488" t="s">
        <v>1528</v>
      </c>
      <c r="F290" s="1483" t="s">
        <v>1892</v>
      </c>
      <c r="G290" s="55"/>
      <c r="H290" s="55"/>
      <c r="I290" s="55"/>
      <c r="J290" s="55"/>
      <c r="K290" s="55"/>
      <c r="M290" s="1479">
        <f>H299+H301+H303+K299+K301+K303</f>
        <v>0</v>
      </c>
      <c r="N290" s="1480" t="e">
        <f>M290/$L$293</f>
        <v>#DIV/0!</v>
      </c>
      <c r="O290" s="1489" t="e">
        <f>SUM(N282:N290)</f>
        <v>#DIV/0!</v>
      </c>
    </row>
    <row r="291" spans="4:29" ht="15" customHeight="1" x14ac:dyDescent="0.25">
      <c r="E291" s="55"/>
      <c r="F291" s="1465" t="s">
        <v>1886</v>
      </c>
      <c r="G291" s="1490"/>
      <c r="H291" s="1484"/>
      <c r="I291" s="55"/>
      <c r="J291" s="55"/>
      <c r="K291" s="55"/>
    </row>
    <row r="292" spans="4:29" ht="17.25" customHeight="1" x14ac:dyDescent="0.25">
      <c r="E292" s="55"/>
      <c r="F292" s="55"/>
      <c r="G292" s="1490"/>
      <c r="H292" s="1484"/>
      <c r="I292" s="55"/>
      <c r="J292" s="55"/>
      <c r="K292" s="55"/>
      <c r="M292" s="1479"/>
    </row>
    <row r="293" spans="4:29" ht="26.25" customHeight="1" x14ac:dyDescent="0.3">
      <c r="D293" s="1463" t="s">
        <v>161</v>
      </c>
      <c r="F293" s="1491"/>
      <c r="G293" s="1492"/>
      <c r="H293" s="1442"/>
      <c r="L293" s="3266">
        <f>SUM(M282:M290)</f>
        <v>0</v>
      </c>
      <c r="M293" s="3266"/>
      <c r="N293" s="3266"/>
    </row>
    <row r="294" spans="4:29" ht="15" customHeight="1" x14ac:dyDescent="0.25">
      <c r="D294" s="1470">
        <f>H203</f>
        <v>0</v>
      </c>
      <c r="E294" s="1492"/>
      <c r="F294" s="1492"/>
      <c r="G294" s="1492"/>
      <c r="H294" s="1442"/>
    </row>
    <row r="295" spans="4:29" ht="234.75" customHeight="1" x14ac:dyDescent="0.25"/>
    <row r="296" spans="4:29" ht="17.25" customHeight="1" x14ac:dyDescent="0.25">
      <c r="F296" s="1491"/>
      <c r="G296" s="1492"/>
      <c r="H296" s="1442"/>
    </row>
    <row r="297" spans="4:29" ht="28.5" customHeight="1" x14ac:dyDescent="0.25">
      <c r="E297" s="1491"/>
      <c r="F297" s="1493"/>
      <c r="G297" s="1418"/>
      <c r="H297" s="1494" t="s">
        <v>1529</v>
      </c>
      <c r="I297" s="1495"/>
      <c r="J297" s="1418"/>
      <c r="K297" s="1494" t="s">
        <v>1829</v>
      </c>
      <c r="M297" s="1496" t="s">
        <v>161</v>
      </c>
      <c r="O297" s="1497"/>
      <c r="P297" s="1497"/>
      <c r="Q297" s="55"/>
      <c r="R297" s="1498" t="s">
        <v>1824</v>
      </c>
      <c r="T297" s="55"/>
      <c r="U297" s="55"/>
      <c r="V297" s="55"/>
      <c r="W297" s="55"/>
      <c r="X297" s="55"/>
      <c r="Y297" s="55"/>
      <c r="Z297" s="55"/>
      <c r="AA297" s="55"/>
    </row>
    <row r="298" spans="4:29" ht="21" customHeight="1" x14ac:dyDescent="0.25">
      <c r="D298" s="517"/>
      <c r="E298" s="517"/>
      <c r="F298" s="1499" t="s">
        <v>40</v>
      </c>
      <c r="G298" s="1500" t="s">
        <v>0</v>
      </c>
      <c r="H298" s="2180" t="s">
        <v>2065</v>
      </c>
      <c r="I298" s="1499" t="s">
        <v>40</v>
      </c>
      <c r="J298" s="1500" t="s">
        <v>0</v>
      </c>
      <c r="K298" s="2180" t="s">
        <v>2065</v>
      </c>
      <c r="M298" s="369"/>
      <c r="Q298" s="55"/>
      <c r="R298" s="55"/>
      <c r="S298" s="55"/>
      <c r="T298" s="55"/>
      <c r="U298" s="3298" t="s">
        <v>1529</v>
      </c>
      <c r="V298" s="3298"/>
      <c r="W298" s="3298"/>
      <c r="X298" s="3305" t="s">
        <v>1829</v>
      </c>
      <c r="Y298" s="3305"/>
      <c r="Z298" s="1501"/>
      <c r="AA298" s="1502"/>
    </row>
    <row r="299" spans="4:29" ht="38.25" customHeight="1" thickBot="1" x14ac:dyDescent="0.3">
      <c r="D299" s="1503"/>
      <c r="E299" s="1504" t="s">
        <v>1817</v>
      </c>
      <c r="F299" s="1505">
        <f>'FORMULAIRE PGA Eau potable'!O416+'FORMULAIRE PGA Eau potable'!O423</f>
        <v>0</v>
      </c>
      <c r="G299" s="1506">
        <f>'FORMULAIRE PGA Eau potable'!O461+'FORMULAIRE PGA Eau potable'!O468</f>
        <v>0</v>
      </c>
      <c r="H299" s="1507">
        <f>F299+G299</f>
        <v>0</v>
      </c>
      <c r="I299" s="1505">
        <f>'FORMULAIRE PGA Eau potable'!O431+'FORMULAIRE PGA Eau potable'!O439+'FORMULAIRE PGA Eau potable'!O445</f>
        <v>0</v>
      </c>
      <c r="J299" s="1506">
        <f>'FORMULAIRE PGA Eau potable'!O476+'FORMULAIRE PGA Eau potable'!O484+'FORMULAIRE PGA Eau potable'!O490</f>
        <v>0</v>
      </c>
      <c r="K299" s="1507">
        <f>I299+J299</f>
        <v>0</v>
      </c>
      <c r="M299" s="1508">
        <f>ROUNDDOWN(F207,0)</f>
        <v>0</v>
      </c>
      <c r="Q299" s="55"/>
      <c r="R299" s="1509"/>
      <c r="S299" s="3299" t="s">
        <v>1826</v>
      </c>
      <c r="T299" s="3299"/>
      <c r="U299" s="3299"/>
      <c r="V299" s="3303">
        <f>IF(ISERR(H299),0,H299)</f>
        <v>0</v>
      </c>
      <c r="W299" s="3303"/>
      <c r="X299" s="3297">
        <f>IF(ISERR(K299),0,K299)</f>
        <v>0</v>
      </c>
      <c r="Y299" s="3297"/>
      <c r="Z299" s="1510">
        <f>M299</f>
        <v>0</v>
      </c>
      <c r="AA299" s="1510"/>
      <c r="AB299" s="1511"/>
      <c r="AC299" s="1511"/>
    </row>
    <row r="300" spans="4:29" ht="9" customHeight="1" thickTop="1" x14ac:dyDescent="0.25">
      <c r="D300" s="1333"/>
      <c r="E300" s="1512"/>
      <c r="F300" s="1333"/>
      <c r="G300" s="517"/>
      <c r="H300" s="1385"/>
      <c r="I300" s="1333"/>
      <c r="J300" s="517"/>
      <c r="K300" s="1385"/>
      <c r="M300" s="369"/>
      <c r="Q300" s="55"/>
      <c r="R300" s="55"/>
      <c r="S300" s="1513"/>
      <c r="T300" s="55"/>
      <c r="U300" s="55"/>
      <c r="V300" s="1514"/>
      <c r="W300" s="1515"/>
      <c r="X300" s="1515"/>
      <c r="Y300" s="1515"/>
      <c r="Z300" s="1516"/>
      <c r="AA300" s="1516"/>
    </row>
    <row r="301" spans="4:29" ht="38.25" customHeight="1" thickBot="1" x14ac:dyDescent="0.3">
      <c r="D301" s="104"/>
      <c r="E301" s="1504" t="s">
        <v>1531</v>
      </c>
      <c r="F301" s="1505">
        <f>'FORMULAIRE PGA Eau potable'!O417+'FORMULAIRE PGA Eau potable'!O424</f>
        <v>0</v>
      </c>
      <c r="G301" s="1506">
        <f>'FORMULAIRE PGA Eau potable'!O462+'FORMULAIRE PGA Eau potable'!O469</f>
        <v>0</v>
      </c>
      <c r="H301" s="1507">
        <f>F301+G301</f>
        <v>0</v>
      </c>
      <c r="I301" s="1505">
        <f>'FORMULAIRE PGA Eau potable'!O432+'FORMULAIRE PGA Eau potable'!O440+'FORMULAIRE PGA Eau potable'!O446</f>
        <v>0</v>
      </c>
      <c r="J301" s="1506">
        <f>'FORMULAIRE PGA Eau potable'!O477+'FORMULAIRE PGA Eau potable'!O485+'FORMULAIRE PGA Eau potable'!O491</f>
        <v>0</v>
      </c>
      <c r="K301" s="1507">
        <f>I301+J301</f>
        <v>0</v>
      </c>
      <c r="M301" s="1508">
        <f>ROUNDDOWN(F208,0)</f>
        <v>0</v>
      </c>
      <c r="Q301" s="55"/>
      <c r="R301" s="1517"/>
      <c r="S301" s="3304" t="s">
        <v>1828</v>
      </c>
      <c r="T301" s="3304"/>
      <c r="U301" s="1518"/>
      <c r="V301" s="3302">
        <f>IF(ISERR(H301),0,H301)</f>
        <v>0</v>
      </c>
      <c r="W301" s="3302"/>
      <c r="X301" s="3296">
        <f>IF(ISERR(K301),0,K301)</f>
        <v>0</v>
      </c>
      <c r="Y301" s="3296"/>
      <c r="Z301" s="1519">
        <f>M301</f>
        <v>0</v>
      </c>
      <c r="AA301" s="1519"/>
    </row>
    <row r="302" spans="4:29" ht="9" customHeight="1" thickTop="1" x14ac:dyDescent="0.25">
      <c r="D302" s="1333"/>
      <c r="E302" s="1512"/>
      <c r="F302" s="1520"/>
      <c r="G302" s="1521"/>
      <c r="H302" s="1522"/>
      <c r="I302" s="1520"/>
      <c r="J302" s="1521"/>
      <c r="K302" s="1522"/>
      <c r="M302" s="369"/>
      <c r="Q302" s="55"/>
      <c r="R302" s="55"/>
      <c r="S302" s="1513"/>
      <c r="T302" s="55"/>
      <c r="U302" s="55"/>
      <c r="V302" s="1514"/>
      <c r="W302" s="1515"/>
      <c r="X302" s="1515"/>
      <c r="Y302" s="1515"/>
      <c r="Z302" s="1516"/>
      <c r="AA302" s="1516"/>
    </row>
    <row r="303" spans="4:29" ht="38.25" customHeight="1" thickBot="1" x14ac:dyDescent="0.3">
      <c r="D303" s="104"/>
      <c r="E303" s="1504" t="s">
        <v>1530</v>
      </c>
      <c r="F303" s="1505">
        <f>'FORMULAIRE PGA Eau potable'!O418+'FORMULAIRE PGA Eau potable'!O425</f>
        <v>0</v>
      </c>
      <c r="G303" s="1506">
        <f>'FORMULAIRE PGA Eau potable'!O463+'FORMULAIRE PGA Eau potable'!O470</f>
        <v>0</v>
      </c>
      <c r="H303" s="1507">
        <f>F303+G303</f>
        <v>0</v>
      </c>
      <c r="I303" s="1505">
        <f>'FORMULAIRE PGA Eau potable'!O433+'FORMULAIRE PGA Eau potable'!O441+'FORMULAIRE PGA Eau potable'!O447</f>
        <v>0</v>
      </c>
      <c r="J303" s="1506">
        <f>'FORMULAIRE PGA Eau potable'!O478+'FORMULAIRE PGA Eau potable'!O486+'FORMULAIRE PGA Eau potable'!O492</f>
        <v>0</v>
      </c>
      <c r="K303" s="1507">
        <f>I303+J303</f>
        <v>0</v>
      </c>
      <c r="M303" s="1508">
        <f>ROUNDDOWN(F209,0)</f>
        <v>0</v>
      </c>
      <c r="Q303" s="55"/>
      <c r="R303" s="2571"/>
      <c r="S303" s="3300" t="s">
        <v>1827</v>
      </c>
      <c r="T303" s="3300"/>
      <c r="U303" s="3300"/>
      <c r="V303" s="3301">
        <f>IF(ISERR(H303),0,H303)</f>
        <v>0</v>
      </c>
      <c r="W303" s="3301"/>
      <c r="X303" s="3295">
        <f>IF(ISERR(K303),0,K303)</f>
        <v>0</v>
      </c>
      <c r="Y303" s="3295"/>
      <c r="Z303" s="2572">
        <f>M303</f>
        <v>0</v>
      </c>
      <c r="AA303" s="2572"/>
      <c r="AB303" s="1511"/>
      <c r="AC303" s="1511"/>
    </row>
    <row r="304" spans="4:29" ht="9" customHeight="1" thickTop="1" x14ac:dyDescent="0.25">
      <c r="D304" s="1333"/>
      <c r="E304" s="1512"/>
      <c r="F304" s="1523"/>
      <c r="G304" s="1524"/>
      <c r="H304" s="1525"/>
      <c r="I304" s="1520"/>
      <c r="J304" s="1524"/>
      <c r="K304" s="1522"/>
      <c r="M304" s="1344"/>
      <c r="Q304" s="55"/>
      <c r="R304" s="55"/>
      <c r="S304" s="55"/>
      <c r="T304" s="55"/>
      <c r="U304" s="55"/>
      <c r="V304" s="55"/>
      <c r="W304" s="55"/>
      <c r="X304" s="55"/>
      <c r="Y304" s="55"/>
      <c r="Z304" s="55"/>
      <c r="AA304" s="55"/>
    </row>
    <row r="305" spans="2:32" ht="17.25" customHeight="1" x14ac:dyDescent="0.25">
      <c r="F305" s="1492"/>
      <c r="G305" s="1492"/>
      <c r="H305" s="1442"/>
    </row>
    <row r="308" spans="2:32" ht="31.5" customHeight="1" x14ac:dyDescent="0.35">
      <c r="B308" s="1283" t="s">
        <v>1776</v>
      </c>
      <c r="C308" s="1283"/>
      <c r="D308" s="1284"/>
      <c r="E308" s="1284"/>
      <c r="F308" s="1284"/>
      <c r="G308" s="1284"/>
      <c r="H308" s="1284"/>
      <c r="I308" s="1284"/>
      <c r="J308" s="1284"/>
      <c r="K308" s="1284"/>
      <c r="L308" s="1284"/>
      <c r="M308" s="1284"/>
      <c r="N308" s="1284"/>
      <c r="O308" s="1284"/>
      <c r="P308" s="1284"/>
      <c r="Q308" s="1284"/>
      <c r="R308" s="1284"/>
      <c r="S308" s="1284"/>
      <c r="T308" s="1284"/>
      <c r="U308" s="1284"/>
      <c r="V308" s="1284"/>
      <c r="W308" s="1284"/>
      <c r="X308" s="1284"/>
      <c r="Y308" s="1284"/>
      <c r="Z308" s="1284"/>
      <c r="AA308" s="1284"/>
      <c r="AB308" s="1284"/>
      <c r="AC308" s="1284"/>
      <c r="AD308" s="1284"/>
      <c r="AE308" s="1284"/>
      <c r="AF308" s="1284"/>
    </row>
    <row r="310" spans="2:32" ht="22.5" customHeight="1" x14ac:dyDescent="0.3">
      <c r="B310" s="1285" t="s">
        <v>254</v>
      </c>
      <c r="C310" s="1285"/>
      <c r="D310" s="1285"/>
      <c r="E310" s="1285"/>
      <c r="F310" s="1285"/>
      <c r="G310" s="1285"/>
      <c r="H310" s="1285"/>
      <c r="I310" s="1285"/>
      <c r="J310" s="1285"/>
      <c r="K310" s="1285"/>
      <c r="L310" s="1285"/>
      <c r="M310" s="1285"/>
      <c r="N310" s="1285"/>
      <c r="O310" s="1285"/>
      <c r="P310" s="1285"/>
      <c r="Q310" s="1285"/>
      <c r="R310" s="1285"/>
      <c r="S310" s="1285"/>
      <c r="T310" s="1285"/>
      <c r="U310" s="1285"/>
      <c r="V310" s="1285"/>
      <c r="W310" s="1285"/>
      <c r="X310" s="1285"/>
      <c r="Y310" s="1285"/>
      <c r="Z310" s="1285"/>
      <c r="AA310" s="1285"/>
      <c r="AB310" s="1285"/>
      <c r="AC310" s="1285"/>
      <c r="AD310" s="1285"/>
      <c r="AE310" s="1285"/>
      <c r="AF310" s="1285"/>
    </row>
    <row r="311" spans="2:32" ht="21" x14ac:dyDescent="0.25">
      <c r="B311" s="1416"/>
      <c r="C311" s="1416"/>
    </row>
    <row r="312" spans="2:32" ht="17.25" customHeight="1" x14ac:dyDescent="0.25">
      <c r="D312" s="517"/>
      <c r="E312" s="517"/>
      <c r="F312" s="1392" t="s">
        <v>1901</v>
      </c>
    </row>
    <row r="313" spans="2:32" x14ac:dyDescent="0.25">
      <c r="E313" s="1127" t="s">
        <v>40</v>
      </c>
      <c r="F313" s="1127" t="s">
        <v>0</v>
      </c>
    </row>
    <row r="314" spans="2:32" x14ac:dyDescent="0.25">
      <c r="D314" s="1379" t="str">
        <f>'FORMULAIRE PGA Eau potable'!C520</f>
        <v>Coûts prévisionnels totaux (besoins totaux)</v>
      </c>
      <c r="E314" s="1441">
        <f>'FORMULAIRE PGA Eau potable'!O520</f>
        <v>0</v>
      </c>
      <c r="F314" s="1441">
        <f>'FORMULAIRE PGA Eau potable'!O547</f>
        <v>0</v>
      </c>
    </row>
    <row r="315" spans="2:32" ht="15.75" x14ac:dyDescent="0.25">
      <c r="D315" s="1379" t="str">
        <f>'FORMULAIRE PGA Eau potable'!C521</f>
        <v>Revenus du gouvernement provincial</v>
      </c>
      <c r="E315" s="1441">
        <f>'FORMULAIRE PGA Eau potable'!O521</f>
        <v>0</v>
      </c>
      <c r="F315" s="1441">
        <f>'FORMULAIRE PGA Eau potable'!O548</f>
        <v>0</v>
      </c>
      <c r="L315" s="1391" t="s">
        <v>1900</v>
      </c>
      <c r="M315" s="517"/>
      <c r="N315" s="517"/>
    </row>
    <row r="316" spans="2:32" x14ac:dyDescent="0.25">
      <c r="D316" s="1379" t="str">
        <f>'FORMULAIRE PGA Eau potable'!C522</f>
        <v>Revenus générés par la municipalité</v>
      </c>
      <c r="E316" s="1441">
        <f>'FORMULAIRE PGA Eau potable'!O522</f>
        <v>0</v>
      </c>
      <c r="F316" s="1441">
        <f>'FORMULAIRE PGA Eau potable'!O549</f>
        <v>0</v>
      </c>
    </row>
    <row r="317" spans="2:32" x14ac:dyDescent="0.25">
      <c r="D317" s="1379" t="str">
        <f>'FORMULAIRE PGA Eau potable'!C523</f>
        <v>Budget total planifié par la municipalité</v>
      </c>
      <c r="E317" s="1441">
        <f>'FORMULAIRE PGA Eau potable'!O523</f>
        <v>0</v>
      </c>
      <c r="F317" s="1441">
        <f>'FORMULAIRE PGA Eau potable'!O550</f>
        <v>0</v>
      </c>
      <c r="L317" s="1128" t="s">
        <v>45</v>
      </c>
      <c r="M317" s="1489" t="e">
        <f>(E317+F317)/(E314+F314)</f>
        <v>#DIV/0!</v>
      </c>
      <c r="N317" s="1526" t="str">
        <f>IF(ISERR(M317)=TRUE,"",M317)</f>
        <v/>
      </c>
    </row>
    <row r="318" spans="2:32" x14ac:dyDescent="0.25">
      <c r="D318" s="1379" t="str">
        <f>'FORMULAIRE PGA Eau potable'!C524</f>
        <v>Déficit de financement</v>
      </c>
      <c r="E318" s="1441">
        <f>'FORMULAIRE PGA Eau potable'!O524</f>
        <v>0</v>
      </c>
      <c r="F318" s="1441">
        <f>'FORMULAIRE PGA Eau potable'!O551</f>
        <v>0</v>
      </c>
      <c r="L318" s="1128" t="s">
        <v>2091</v>
      </c>
      <c r="M318" s="1489" t="e">
        <f>(E316+F316)/(E317+F317)</f>
        <v>#DIV/0!</v>
      </c>
      <c r="N318" s="1527" t="str">
        <f>IF(ISERR(M318)=TRUE,"",M318)</f>
        <v/>
      </c>
    </row>
    <row r="320" spans="2:32" ht="20.25" customHeight="1" x14ac:dyDescent="0.25">
      <c r="D320" s="1400" t="s">
        <v>55</v>
      </c>
      <c r="K320" s="1391" t="s">
        <v>161</v>
      </c>
      <c r="L320" s="1391"/>
      <c r="M320" s="1391"/>
      <c r="N320" s="1391"/>
      <c r="O320" s="517"/>
    </row>
    <row r="321" spans="2:32" x14ac:dyDescent="0.25">
      <c r="E321" s="1127"/>
      <c r="F321" s="325" t="s">
        <v>132</v>
      </c>
      <c r="M321" s="1379"/>
      <c r="N321" s="1379" t="s">
        <v>1906</v>
      </c>
      <c r="O321" s="1379" t="s">
        <v>1907</v>
      </c>
    </row>
    <row r="322" spans="2:32" x14ac:dyDescent="0.25">
      <c r="B322" s="1128" t="s">
        <v>40</v>
      </c>
      <c r="C322" s="1128"/>
      <c r="D322" s="1128" t="s">
        <v>1899</v>
      </c>
      <c r="E322" s="1528">
        <f>E317</f>
        <v>0</v>
      </c>
      <c r="F322" s="1528">
        <f>E318</f>
        <v>0</v>
      </c>
      <c r="K322" s="1379" t="str">
        <f>'FORMULAIRE PGA Eau potable'!C634</f>
        <v>Financement estimé pour le fonctionnement</v>
      </c>
      <c r="L322" s="1379" t="s">
        <v>40</v>
      </c>
      <c r="M322" s="325">
        <f>'FORMULAIRE PGA Eau potable'!G634</f>
        <v>0</v>
      </c>
      <c r="N322" s="1529">
        <f>IF($I$33=1,M323,IF($I$41=1,M322,ROUNDDOWN(AVERAGE(M322:M323),0)))</f>
        <v>0</v>
      </c>
      <c r="O322" s="1530">
        <f>IF($I$33=1,ROUNDDOWN(AVERAGE(M323,M325),0),IF($I$41=1,ROUNDDOWN(AVERAGE(M322,M324),0),ROUNDDOWN(AVERAGE(M322:M325),0)))</f>
        <v>0</v>
      </c>
    </row>
    <row r="323" spans="2:32" x14ac:dyDescent="0.25">
      <c r="B323" s="1128"/>
      <c r="C323" s="1128"/>
      <c r="D323" s="1128" t="s">
        <v>42</v>
      </c>
      <c r="E323" s="1528">
        <f>E314</f>
        <v>0</v>
      </c>
      <c r="F323" s="325">
        <v>0</v>
      </c>
      <c r="L323" s="1379" t="s">
        <v>0</v>
      </c>
      <c r="M323" s="28">
        <f>'FORMULAIRE PGA Eau potable'!L634</f>
        <v>0</v>
      </c>
      <c r="N323" s="1531"/>
    </row>
    <row r="324" spans="2:32" x14ac:dyDescent="0.25">
      <c r="B324" s="1128" t="s">
        <v>43</v>
      </c>
      <c r="C324" s="1128"/>
      <c r="D324" s="1128" t="s">
        <v>42</v>
      </c>
      <c r="E324" s="1528">
        <f>F314</f>
        <v>0</v>
      </c>
      <c r="F324" s="325">
        <v>0</v>
      </c>
      <c r="J324" s="1379"/>
      <c r="K324" s="1379" t="str">
        <f>'FORMULAIRE PGA Eau potable'!C631</f>
        <v>Coûts prévus pour l'exploitation et pour l'entretien</v>
      </c>
      <c r="L324" s="1379" t="s">
        <v>40</v>
      </c>
      <c r="M324" s="325">
        <f>'FORMULAIRE PGA Eau potable'!G631</f>
        <v>0</v>
      </c>
      <c r="N324" s="1531"/>
    </row>
    <row r="325" spans="2:32" x14ac:dyDescent="0.25">
      <c r="B325" s="1128"/>
      <c r="C325" s="1128"/>
      <c r="D325" s="1128" t="s">
        <v>1899</v>
      </c>
      <c r="E325" s="1528">
        <f>F317</f>
        <v>0</v>
      </c>
      <c r="F325" s="1528">
        <f>F318</f>
        <v>0</v>
      </c>
      <c r="L325" s="1379" t="s">
        <v>0</v>
      </c>
      <c r="M325" s="28">
        <f>'FORMULAIRE PGA Eau potable'!L631</f>
        <v>0</v>
      </c>
    </row>
    <row r="326" spans="2:32" x14ac:dyDescent="0.25">
      <c r="B326" s="1128"/>
      <c r="C326" s="1128"/>
      <c r="D326" s="1128"/>
      <c r="E326" s="1528"/>
      <c r="F326" s="1528"/>
    </row>
    <row r="327" spans="2:32" x14ac:dyDescent="0.25">
      <c r="B327" s="1128"/>
      <c r="C327" s="1128"/>
      <c r="D327" s="1128"/>
      <c r="E327" s="1528"/>
      <c r="F327" s="1528"/>
      <c r="H327" s="55"/>
      <c r="I327" s="55"/>
      <c r="J327" s="55"/>
      <c r="K327" s="55"/>
      <c r="L327" s="55"/>
      <c r="M327" s="55"/>
      <c r="N327" s="55"/>
      <c r="O327" s="55"/>
    </row>
    <row r="328" spans="2:32" ht="16.5" thickBot="1" x14ac:dyDescent="0.3">
      <c r="B328" s="1128"/>
      <c r="C328" s="1128"/>
      <c r="D328" s="1128"/>
      <c r="E328" s="1528"/>
      <c r="F328" s="1528"/>
      <c r="H328" s="55"/>
      <c r="I328" s="3267" t="s">
        <v>1905</v>
      </c>
      <c r="J328" s="3267"/>
      <c r="K328" s="3267"/>
      <c r="L328" s="3267"/>
      <c r="M328" s="3267"/>
      <c r="N328" s="3267"/>
      <c r="O328" s="55"/>
    </row>
    <row r="329" spans="2:32" ht="170.25" customHeight="1" x14ac:dyDescent="0.25">
      <c r="H329" s="55"/>
      <c r="I329" s="55"/>
      <c r="J329" s="55"/>
      <c r="K329" s="55"/>
      <c r="L329" s="55"/>
      <c r="M329" s="55"/>
      <c r="N329" s="55"/>
      <c r="O329" s="55"/>
      <c r="P329" s="55"/>
    </row>
    <row r="330" spans="2:32" ht="20.25" customHeight="1" thickBot="1" x14ac:dyDescent="0.3">
      <c r="H330" s="55"/>
      <c r="I330" s="3275" t="s">
        <v>12</v>
      </c>
      <c r="J330" s="3275"/>
      <c r="K330" s="3276"/>
      <c r="L330" s="1532" t="s">
        <v>0</v>
      </c>
      <c r="M330" s="1072"/>
      <c r="N330" s="2553" t="str">
        <f>IF(('FORMULAIRE PGA Eau potable'!$H$120='MENU DÉROULANT'!$F$28),"(Aucun actif)","")</f>
        <v/>
      </c>
      <c r="P330" s="55"/>
    </row>
    <row r="331" spans="2:32" ht="18.75" customHeight="1" x14ac:dyDescent="0.25">
      <c r="H331" s="55"/>
      <c r="I331" s="55"/>
      <c r="J331" s="55"/>
      <c r="K331" s="2560" t="str">
        <f>IF(('FORMULAIRE PGA Eau potable'!$H$81='MENU DÉROULANT'!$C$28),"(Aucun actif)","")</f>
        <v/>
      </c>
      <c r="L331" s="55"/>
      <c r="M331" s="55"/>
      <c r="N331" s="55"/>
      <c r="O331" s="55"/>
      <c r="P331" s="55"/>
    </row>
    <row r="333" spans="2:32" ht="22.5" customHeight="1" x14ac:dyDescent="0.3">
      <c r="B333" s="1285" t="s">
        <v>255</v>
      </c>
      <c r="C333" s="1285"/>
      <c r="D333" s="1285"/>
      <c r="E333" s="1285"/>
      <c r="F333" s="1285"/>
      <c r="G333" s="1285"/>
      <c r="H333" s="1285"/>
      <c r="I333" s="1285"/>
      <c r="J333" s="1285"/>
      <c r="K333" s="1285"/>
      <c r="L333" s="1285"/>
      <c r="M333" s="1285"/>
      <c r="N333" s="1285"/>
      <c r="O333" s="1285"/>
      <c r="P333" s="1285"/>
      <c r="Q333" s="1285"/>
      <c r="R333" s="1285"/>
      <c r="S333" s="1285"/>
      <c r="T333" s="1285"/>
      <c r="U333" s="1285"/>
      <c r="V333" s="1285"/>
      <c r="W333" s="1285"/>
      <c r="X333" s="1285"/>
      <c r="Y333" s="1285"/>
      <c r="Z333" s="1285"/>
      <c r="AA333" s="1285"/>
      <c r="AB333" s="1285"/>
      <c r="AC333" s="1285"/>
      <c r="AD333" s="1285"/>
      <c r="AE333" s="1285"/>
      <c r="AF333" s="1285"/>
    </row>
    <row r="335" spans="2:32" ht="17.25" customHeight="1" x14ac:dyDescent="0.25">
      <c r="D335" s="517"/>
      <c r="E335" s="517"/>
      <c r="F335" s="1392" t="s">
        <v>1901</v>
      </c>
    </row>
    <row r="336" spans="2:32" x14ac:dyDescent="0.25">
      <c r="E336" s="1127" t="s">
        <v>40</v>
      </c>
      <c r="F336" s="1127" t="s">
        <v>0</v>
      </c>
    </row>
    <row r="337" spans="2:15" x14ac:dyDescent="0.25">
      <c r="D337" s="1379" t="str">
        <f>'FORMULAIRE PGA Eau potable'!C527</f>
        <v>Coûts prévisionnels totaux (besoins totaux)</v>
      </c>
      <c r="E337" s="1441">
        <f>'FORMULAIRE PGA Eau potable'!O527</f>
        <v>0</v>
      </c>
      <c r="F337" s="1441">
        <f>'FORMULAIRE PGA Eau potable'!O554</f>
        <v>0</v>
      </c>
    </row>
    <row r="338" spans="2:15" x14ac:dyDescent="0.25">
      <c r="D338" s="1379" t="str">
        <f>'FORMULAIRE PGA Eau potable'!C528</f>
        <v>Excédent de fonctionnement</v>
      </c>
      <c r="E338" s="1441">
        <f>'FORMULAIRE PGA Eau potable'!O528</f>
        <v>0</v>
      </c>
      <c r="F338" s="1441">
        <f>'FORMULAIRE PGA Eau potable'!O555</f>
        <v>0</v>
      </c>
    </row>
    <row r="339" spans="2:15" ht="15.75" x14ac:dyDescent="0.25">
      <c r="D339" s="1379" t="str">
        <f>'FORMULAIRE PGA Eau potable'!C529</f>
        <v>Financement du gouvernement provincial</v>
      </c>
      <c r="E339" s="1441">
        <f>'FORMULAIRE PGA Eau potable'!O529</f>
        <v>0</v>
      </c>
      <c r="F339" s="1441">
        <f>'FORMULAIRE PGA Eau potable'!O556</f>
        <v>0</v>
      </c>
      <c r="L339" s="1391" t="s">
        <v>1900</v>
      </c>
      <c r="M339" s="517"/>
      <c r="N339" s="517"/>
    </row>
    <row r="340" spans="2:15" x14ac:dyDescent="0.25">
      <c r="D340" s="1379" t="str">
        <f>'FORMULAIRE PGA Eau potable'!C530</f>
        <v>Autres types de financement</v>
      </c>
      <c r="E340" s="1441">
        <f>'FORMULAIRE PGA Eau potable'!O530</f>
        <v>0</v>
      </c>
      <c r="F340" s="1441">
        <f>'FORMULAIRE PGA Eau potable'!O557</f>
        <v>0</v>
      </c>
    </row>
    <row r="341" spans="2:15" x14ac:dyDescent="0.25">
      <c r="D341" s="1379" t="str">
        <f>'FORMULAIRE PGA Eau potable'!C531</f>
        <v>Budget total planifié par la municipalité</v>
      </c>
      <c r="E341" s="1441">
        <f>'FORMULAIRE PGA Eau potable'!O531</f>
        <v>0</v>
      </c>
      <c r="F341" s="1441">
        <f>'FORMULAIRE PGA Eau potable'!O558</f>
        <v>0</v>
      </c>
      <c r="L341" s="1128" t="s">
        <v>54</v>
      </c>
      <c r="M341" s="1489" t="e">
        <f>(E341+F341)/(E337+F337)</f>
        <v>#DIV/0!</v>
      </c>
      <c r="N341" s="1526" t="str">
        <f>IF(ISERR(M341)=TRUE,"",M341)</f>
        <v/>
      </c>
    </row>
    <row r="342" spans="2:15" x14ac:dyDescent="0.25">
      <c r="D342" s="1379" t="str">
        <f>'FORMULAIRE PGA Eau potable'!C532</f>
        <v>Déficit de financement</v>
      </c>
      <c r="E342" s="1441">
        <f>'FORMULAIRE PGA Eau potable'!O532</f>
        <v>0</v>
      </c>
      <c r="F342" s="1441">
        <f>'FORMULAIRE PGA Eau potable'!O559</f>
        <v>0</v>
      </c>
      <c r="L342" s="1128" t="s">
        <v>2093</v>
      </c>
      <c r="M342" s="1489" t="e">
        <f>(E340+F340)/(E341+F341)</f>
        <v>#DIV/0!</v>
      </c>
      <c r="N342" s="1527" t="str">
        <f>IF(ISERR(M342)=TRUE,"",M342)</f>
        <v/>
      </c>
    </row>
    <row r="343" spans="2:15" x14ac:dyDescent="0.25">
      <c r="D343" s="1379"/>
      <c r="E343" s="1441"/>
      <c r="F343" s="1441"/>
    </row>
    <row r="344" spans="2:15" ht="21" customHeight="1" x14ac:dyDescent="0.25">
      <c r="D344" s="1400" t="s">
        <v>123</v>
      </c>
      <c r="K344" s="1391" t="s">
        <v>161</v>
      </c>
      <c r="L344" s="1391"/>
      <c r="M344" s="1391"/>
      <c r="N344" s="1391"/>
      <c r="O344" s="1391"/>
    </row>
    <row r="345" spans="2:15" x14ac:dyDescent="0.25">
      <c r="E345" s="1127"/>
      <c r="F345" s="28" t="s">
        <v>132</v>
      </c>
      <c r="L345" s="1379"/>
      <c r="N345" s="1379" t="s">
        <v>1906</v>
      </c>
      <c r="O345" s="1379" t="s">
        <v>1907</v>
      </c>
    </row>
    <row r="346" spans="2:15" x14ac:dyDescent="0.25">
      <c r="B346" s="1128" t="s">
        <v>40</v>
      </c>
      <c r="C346" s="1128"/>
      <c r="D346" s="1128" t="s">
        <v>1899</v>
      </c>
      <c r="E346" s="1528">
        <f>E341</f>
        <v>0</v>
      </c>
      <c r="F346" s="1528">
        <f>E342</f>
        <v>0</v>
      </c>
      <c r="K346" s="1379" t="str">
        <f>'FORMULAIRE PGA Eau potable'!C635</f>
        <v>Financement estimé pour le renouvellement</v>
      </c>
      <c r="L346" s="1379" t="s">
        <v>40</v>
      </c>
      <c r="M346" s="325">
        <f>'FORMULAIRE PGA Eau potable'!G635</f>
        <v>0</v>
      </c>
      <c r="N346" s="1529">
        <f>IF($I$33=1,M347,IF($I$41=1,M346,ROUNDDOWN(AVERAGE(M346:M347),0)))</f>
        <v>0</v>
      </c>
      <c r="O346" s="1530">
        <f>IF($I$33=1,ROUNDDOWN(AVERAGE(M347,M349),0),IF($I$41=1,ROUNDDOWN(AVERAGE(M346,M348),0),ROUNDDOWN(AVERAGE(M346:M349),0)))</f>
        <v>0</v>
      </c>
    </row>
    <row r="347" spans="2:15" x14ac:dyDescent="0.25">
      <c r="B347" s="1128"/>
      <c r="C347" s="1128"/>
      <c r="D347" s="1128" t="s">
        <v>42</v>
      </c>
      <c r="E347" s="1528">
        <f>E337</f>
        <v>0</v>
      </c>
      <c r="F347" s="325">
        <v>0</v>
      </c>
      <c r="L347" s="1379" t="s">
        <v>0</v>
      </c>
      <c r="M347" s="28">
        <f>'FORMULAIRE PGA Eau potable'!L635</f>
        <v>0</v>
      </c>
      <c r="N347" s="1531"/>
    </row>
    <row r="348" spans="2:15" x14ac:dyDescent="0.25">
      <c r="B348" s="1128" t="s">
        <v>43</v>
      </c>
      <c r="C348" s="1128"/>
      <c r="D348" s="1128" t="s">
        <v>42</v>
      </c>
      <c r="E348" s="1528">
        <f>F337</f>
        <v>0</v>
      </c>
      <c r="F348" s="325">
        <v>0</v>
      </c>
      <c r="K348" s="1379" t="str">
        <f>'FORMULAIRE PGA Eau potable'!C626</f>
        <v>Coûts prévus pour le renouvellement</v>
      </c>
      <c r="L348" s="1379" t="s">
        <v>40</v>
      </c>
      <c r="M348" s="325">
        <f>'FORMULAIRE PGA Eau potable'!G626</f>
        <v>0</v>
      </c>
    </row>
    <row r="349" spans="2:15" x14ac:dyDescent="0.25">
      <c r="B349" s="1128"/>
      <c r="C349" s="1128"/>
      <c r="D349" s="1128" t="s">
        <v>1899</v>
      </c>
      <c r="E349" s="1528">
        <f>F341</f>
        <v>0</v>
      </c>
      <c r="F349" s="1528">
        <f>F342</f>
        <v>0</v>
      </c>
      <c r="L349" s="1379" t="s">
        <v>0</v>
      </c>
      <c r="M349" s="28">
        <f>'FORMULAIRE PGA Eau potable'!L626</f>
        <v>0</v>
      </c>
    </row>
    <row r="350" spans="2:15" x14ac:dyDescent="0.25">
      <c r="B350" s="1128"/>
      <c r="C350" s="1128"/>
      <c r="D350" s="1128"/>
      <c r="E350" s="1528"/>
      <c r="F350" s="1528"/>
    </row>
    <row r="351" spans="2:15" x14ac:dyDescent="0.25">
      <c r="B351" s="1128"/>
      <c r="C351" s="1128"/>
      <c r="D351" s="1128"/>
      <c r="E351" s="1528"/>
      <c r="F351" s="1528"/>
      <c r="H351" s="55"/>
      <c r="I351" s="55"/>
      <c r="J351" s="55"/>
      <c r="K351" s="55"/>
      <c r="L351" s="55"/>
      <c r="M351" s="55"/>
      <c r="N351" s="55"/>
      <c r="O351" s="55"/>
    </row>
    <row r="352" spans="2:15" ht="16.5" thickBot="1" x14ac:dyDescent="0.3">
      <c r="B352" s="1128"/>
      <c r="C352" s="1128"/>
      <c r="D352" s="1128"/>
      <c r="E352" s="1528"/>
      <c r="F352" s="1528"/>
      <c r="H352" s="55"/>
      <c r="I352" s="3267" t="s">
        <v>1905</v>
      </c>
      <c r="J352" s="3267"/>
      <c r="K352" s="3267"/>
      <c r="L352" s="3267"/>
      <c r="M352" s="3267"/>
      <c r="N352" s="3267"/>
      <c r="O352" s="55"/>
    </row>
    <row r="353" spans="2:32" ht="170.25" customHeight="1" x14ac:dyDescent="0.25">
      <c r="H353" s="55"/>
      <c r="I353" s="55"/>
      <c r="J353" s="55"/>
      <c r="K353" s="55"/>
      <c r="L353" s="55"/>
      <c r="M353" s="55"/>
      <c r="N353" s="55"/>
      <c r="O353" s="55"/>
      <c r="P353" s="55"/>
    </row>
    <row r="354" spans="2:32" ht="20.25" customHeight="1" thickBot="1" x14ac:dyDescent="0.3">
      <c r="H354" s="55"/>
      <c r="I354" s="3275" t="s">
        <v>12</v>
      </c>
      <c r="J354" s="3275"/>
      <c r="K354" s="3276"/>
      <c r="L354" s="1532" t="s">
        <v>0</v>
      </c>
      <c r="M354" s="1072"/>
      <c r="N354" s="2553" t="str">
        <f>IF(('FORMULAIRE PGA Eau potable'!$H$120='MENU DÉROULANT'!$F$28),"(Aucun actif)","")</f>
        <v/>
      </c>
      <c r="P354" s="55"/>
    </row>
    <row r="355" spans="2:32" ht="18.75" customHeight="1" x14ac:dyDescent="0.25">
      <c r="I355" s="55"/>
      <c r="J355" s="55"/>
      <c r="K355" s="2560" t="str">
        <f>IF(('FORMULAIRE PGA Eau potable'!$H$81='MENU DÉROULANT'!$C$28),"(Aucun actif)","")</f>
        <v/>
      </c>
      <c r="L355" s="55"/>
      <c r="M355" s="55"/>
      <c r="N355" s="55"/>
      <c r="O355" s="55"/>
      <c r="P355" s="55"/>
    </row>
    <row r="356" spans="2:32" x14ac:dyDescent="0.25">
      <c r="H356" s="55"/>
      <c r="I356" s="55"/>
      <c r="J356" s="55"/>
      <c r="K356" s="55"/>
      <c r="L356" s="55"/>
      <c r="M356" s="55"/>
      <c r="N356" s="55"/>
      <c r="O356" s="55"/>
      <c r="P356" s="1048"/>
    </row>
    <row r="358" spans="2:32" ht="22.5" customHeight="1" x14ac:dyDescent="0.3">
      <c r="B358" s="1285" t="s">
        <v>256</v>
      </c>
      <c r="C358" s="1285"/>
      <c r="D358" s="1285"/>
      <c r="E358" s="1285"/>
      <c r="F358" s="1285"/>
      <c r="G358" s="1285"/>
      <c r="H358" s="1285"/>
      <c r="I358" s="1285"/>
      <c r="J358" s="1285"/>
      <c r="K358" s="1285"/>
      <c r="L358" s="1285"/>
      <c r="M358" s="1285"/>
      <c r="N358" s="1285"/>
      <c r="O358" s="1285"/>
      <c r="P358" s="1285"/>
      <c r="Q358" s="1285"/>
      <c r="R358" s="1285"/>
      <c r="S358" s="1285"/>
      <c r="T358" s="1285"/>
      <c r="U358" s="1285"/>
      <c r="V358" s="1285"/>
      <c r="W358" s="1285"/>
      <c r="X358" s="1285"/>
      <c r="Y358" s="1285"/>
      <c r="Z358" s="1285"/>
      <c r="AA358" s="1285"/>
      <c r="AB358" s="1285"/>
      <c r="AC358" s="1285"/>
      <c r="AD358" s="1285"/>
      <c r="AE358" s="1285"/>
      <c r="AF358" s="1285"/>
    </row>
    <row r="359" spans="2:32" ht="21" x14ac:dyDescent="0.25">
      <c r="B359" s="1416"/>
      <c r="C359" s="1416"/>
    </row>
    <row r="360" spans="2:32" ht="17.25" customHeight="1" x14ac:dyDescent="0.25">
      <c r="D360" s="517"/>
      <c r="E360" s="517"/>
      <c r="F360" s="1392" t="s">
        <v>1901</v>
      </c>
    </row>
    <row r="361" spans="2:32" x14ac:dyDescent="0.25">
      <c r="E361" s="1127" t="s">
        <v>40</v>
      </c>
      <c r="F361" s="1127" t="s">
        <v>0</v>
      </c>
    </row>
    <row r="362" spans="2:32" x14ac:dyDescent="0.25">
      <c r="D362" s="1379" t="str">
        <f>'FORMULAIRE PGA Eau potable'!C535</f>
        <v>Coûts prévisionnels totaux (besoins totaux)</v>
      </c>
      <c r="E362" s="1441">
        <f>'FORMULAIRE PGA Eau potable'!O535</f>
        <v>0</v>
      </c>
      <c r="F362" s="1441">
        <f>'FORMULAIRE PGA Eau potable'!O562</f>
        <v>0</v>
      </c>
    </row>
    <row r="363" spans="2:32" ht="15.75" x14ac:dyDescent="0.25">
      <c r="D363" s="1379" t="str">
        <f>'FORMULAIRE PGA Eau potable'!C536</f>
        <v>Financement du gouvernement provincial</v>
      </c>
      <c r="E363" s="1441">
        <f>'FORMULAIRE PGA Eau potable'!O536</f>
        <v>0</v>
      </c>
      <c r="F363" s="1441">
        <f>'FORMULAIRE PGA Eau potable'!O563</f>
        <v>0</v>
      </c>
      <c r="L363" s="1391" t="s">
        <v>1900</v>
      </c>
      <c r="M363" s="517"/>
      <c r="N363" s="517"/>
    </row>
    <row r="364" spans="2:32" x14ac:dyDescent="0.25">
      <c r="D364" s="1379" t="str">
        <f>'FORMULAIRE PGA Eau potable'!C537</f>
        <v>Autres types de financement</v>
      </c>
      <c r="E364" s="1441">
        <f>'FORMULAIRE PGA Eau potable'!O537</f>
        <v>0</v>
      </c>
      <c r="F364" s="1441">
        <f>'FORMULAIRE PGA Eau potable'!O564</f>
        <v>0</v>
      </c>
    </row>
    <row r="365" spans="2:32" x14ac:dyDescent="0.25">
      <c r="D365" s="1379" t="str">
        <f>'FORMULAIRE PGA Eau potable'!C538</f>
        <v>Budget total planifié par la municipalité</v>
      </c>
      <c r="E365" s="1441">
        <f>'FORMULAIRE PGA Eau potable'!O538</f>
        <v>0</v>
      </c>
      <c r="F365" s="1441">
        <f>'FORMULAIRE PGA Eau potable'!O565</f>
        <v>0</v>
      </c>
      <c r="L365" s="1128" t="s">
        <v>53</v>
      </c>
      <c r="M365" s="1489" t="e">
        <f>(E365+F365)/(E362+F362)</f>
        <v>#DIV/0!</v>
      </c>
      <c r="N365" s="1526" t="str">
        <f>IF(ISERR(M365)=TRUE,"",M365)</f>
        <v/>
      </c>
    </row>
    <row r="366" spans="2:32" x14ac:dyDescent="0.25">
      <c r="D366" s="1379" t="str">
        <f>'FORMULAIRE PGA Eau potable'!C539</f>
        <v>Déficit de financement</v>
      </c>
      <c r="E366" s="1441">
        <f>'FORMULAIRE PGA Eau potable'!O539</f>
        <v>0</v>
      </c>
      <c r="F366" s="1441">
        <f>'FORMULAIRE PGA Eau potable'!O566</f>
        <v>0</v>
      </c>
      <c r="L366" s="1128" t="s">
        <v>2092</v>
      </c>
      <c r="M366" s="1489" t="e">
        <f>(E364+F364)/(E365+F365)</f>
        <v>#DIV/0!</v>
      </c>
      <c r="N366" s="1527" t="str">
        <f>IF(ISERR(M366)=TRUE,"",M366)</f>
        <v/>
      </c>
    </row>
    <row r="368" spans="2:32" ht="20.25" customHeight="1" x14ac:dyDescent="0.25">
      <c r="D368" s="1400" t="s">
        <v>257</v>
      </c>
      <c r="K368" s="1391" t="s">
        <v>161</v>
      </c>
      <c r="L368" s="1391"/>
      <c r="M368" s="1391"/>
      <c r="N368" s="1391"/>
      <c r="O368" s="1391"/>
    </row>
    <row r="369" spans="2:32" x14ac:dyDescent="0.25">
      <c r="E369" s="1127"/>
      <c r="F369" s="919" t="s">
        <v>132</v>
      </c>
      <c r="L369" s="1379"/>
      <c r="N369" s="1379" t="s">
        <v>1906</v>
      </c>
      <c r="O369" s="1379" t="s">
        <v>1907</v>
      </c>
    </row>
    <row r="370" spans="2:32" x14ac:dyDescent="0.25">
      <c r="B370" s="1128" t="s">
        <v>40</v>
      </c>
      <c r="C370" s="1128"/>
      <c r="D370" s="1128" t="s">
        <v>1899</v>
      </c>
      <c r="E370" s="1528">
        <f>E365</f>
        <v>0</v>
      </c>
      <c r="F370" s="1528">
        <f>E366</f>
        <v>0</v>
      </c>
      <c r="K370" s="1379" t="str">
        <f>'FORMULAIRE PGA Eau potable'!C636</f>
        <v>Financement estimé pour les acquisitions/dispositions</v>
      </c>
      <c r="L370" s="1379" t="s">
        <v>40</v>
      </c>
      <c r="M370" s="325">
        <f>'FORMULAIRE PGA Eau potable'!G636</f>
        <v>0</v>
      </c>
      <c r="N370" s="1529">
        <f>IF($I$33=1,M371,IF($I$41=1,M370,ROUNDDOWN(AVERAGE(M370:M371),0)))</f>
        <v>0</v>
      </c>
      <c r="O370" s="1530">
        <f>IF($I$33=1,ROUNDDOWN(AVERAGE(M371,M373),0),IF($I$41=1,ROUNDDOWN(AVERAGE(M370,M372),0),ROUNDDOWN(AVERAGE(M370:M373),0)))</f>
        <v>0</v>
      </c>
    </row>
    <row r="371" spans="2:32" x14ac:dyDescent="0.25">
      <c r="B371" s="1128"/>
      <c r="C371" s="1128"/>
      <c r="D371" s="1128" t="s">
        <v>42</v>
      </c>
      <c r="E371" s="1528">
        <f>E362</f>
        <v>0</v>
      </c>
      <c r="F371" s="325">
        <v>0</v>
      </c>
      <c r="L371" s="1379" t="s">
        <v>0</v>
      </c>
      <c r="M371" s="28">
        <f>'FORMULAIRE PGA Eau potable'!L636</f>
        <v>0</v>
      </c>
      <c r="N371" s="1531"/>
      <c r="O371" s="1531"/>
    </row>
    <row r="372" spans="2:32" x14ac:dyDescent="0.25">
      <c r="B372" s="1128" t="s">
        <v>43</v>
      </c>
      <c r="C372" s="1128"/>
      <c r="D372" s="1128" t="s">
        <v>42</v>
      </c>
      <c r="E372" s="1528">
        <f>F362</f>
        <v>0</v>
      </c>
      <c r="F372" s="325">
        <v>0</v>
      </c>
      <c r="K372" s="1379" t="str">
        <f>'FORMULAIRE PGA Eau potable'!C627</f>
        <v>Coûts prévus pour l'acquisition et la disposition</v>
      </c>
      <c r="L372" s="1379" t="s">
        <v>40</v>
      </c>
      <c r="M372" s="325">
        <f>'FORMULAIRE PGA Eau potable'!G627</f>
        <v>0</v>
      </c>
    </row>
    <row r="373" spans="2:32" x14ac:dyDescent="0.25">
      <c r="B373" s="1128"/>
      <c r="C373" s="1128"/>
      <c r="D373" s="1128" t="s">
        <v>1899</v>
      </c>
      <c r="E373" s="1528">
        <f>F365</f>
        <v>0</v>
      </c>
      <c r="F373" s="1528">
        <f>F366</f>
        <v>0</v>
      </c>
      <c r="L373" s="1379" t="s">
        <v>0</v>
      </c>
      <c r="M373" s="28">
        <f>'FORMULAIRE PGA Eau potable'!L627</f>
        <v>0</v>
      </c>
    </row>
    <row r="374" spans="2:32" x14ac:dyDescent="0.25">
      <c r="B374" s="1128"/>
      <c r="C374" s="1128"/>
      <c r="D374" s="1128"/>
      <c r="E374" s="1528"/>
      <c r="F374" s="1528"/>
    </row>
    <row r="375" spans="2:32" x14ac:dyDescent="0.25">
      <c r="B375" s="1128"/>
      <c r="C375" s="1128"/>
      <c r="D375" s="1128"/>
      <c r="E375" s="1528"/>
      <c r="F375" s="1528"/>
      <c r="H375" s="55"/>
      <c r="I375" s="55"/>
      <c r="J375" s="55"/>
      <c r="K375" s="55"/>
      <c r="L375" s="55"/>
      <c r="M375" s="55"/>
      <c r="N375" s="55"/>
      <c r="O375" s="55"/>
    </row>
    <row r="376" spans="2:32" ht="16.5" thickBot="1" x14ac:dyDescent="0.3">
      <c r="B376" s="1128"/>
      <c r="C376" s="1128"/>
      <c r="D376" s="1128"/>
      <c r="E376" s="1528"/>
      <c r="F376" s="1528"/>
      <c r="H376" s="55"/>
      <c r="I376" s="3267" t="s">
        <v>1905</v>
      </c>
      <c r="J376" s="3267"/>
      <c r="K376" s="3267"/>
      <c r="L376" s="3267"/>
      <c r="M376" s="3267"/>
      <c r="N376" s="3267"/>
      <c r="O376" s="55"/>
    </row>
    <row r="377" spans="2:32" ht="170.25" customHeight="1" x14ac:dyDescent="0.25">
      <c r="H377" s="55"/>
      <c r="I377" s="55"/>
      <c r="J377" s="55"/>
      <c r="K377" s="55"/>
      <c r="L377" s="55"/>
      <c r="M377" s="55"/>
      <c r="N377" s="55"/>
      <c r="O377" s="55"/>
      <c r="P377" s="55"/>
    </row>
    <row r="378" spans="2:32" ht="20.25" customHeight="1" thickBot="1" x14ac:dyDescent="0.3">
      <c r="H378" s="55"/>
      <c r="I378" s="3275" t="s">
        <v>12</v>
      </c>
      <c r="J378" s="3275"/>
      <c r="K378" s="3276"/>
      <c r="L378" s="1532" t="s">
        <v>0</v>
      </c>
      <c r="M378" s="1072"/>
      <c r="N378" s="2553" t="str">
        <f>IF(('FORMULAIRE PGA Eau potable'!$H$120='MENU DÉROULANT'!$F$28),"(Aucun actif)","")</f>
        <v/>
      </c>
      <c r="P378" s="55"/>
    </row>
    <row r="379" spans="2:32" ht="18.75" customHeight="1" x14ac:dyDescent="0.25">
      <c r="I379" s="55"/>
      <c r="J379" s="55"/>
      <c r="K379" s="2560" t="str">
        <f>IF(('FORMULAIRE PGA Eau potable'!$H$81='MENU DÉROULANT'!$C$28),"(Aucun actif)","")</f>
        <v/>
      </c>
      <c r="L379" s="55"/>
      <c r="M379" s="55"/>
      <c r="N379" s="55"/>
      <c r="O379" s="55"/>
      <c r="P379" s="55"/>
    </row>
    <row r="380" spans="2:32" x14ac:dyDescent="0.25">
      <c r="H380" s="55"/>
      <c r="I380" s="55"/>
      <c r="J380" s="55"/>
      <c r="K380" s="55"/>
      <c r="L380" s="55"/>
      <c r="M380" s="55"/>
      <c r="N380" s="55"/>
      <c r="O380" s="55"/>
      <c r="P380" s="1048"/>
    </row>
    <row r="381" spans="2:32" x14ac:dyDescent="0.25">
      <c r="P381" s="1048"/>
    </row>
    <row r="382" spans="2:32" x14ac:dyDescent="0.25">
      <c r="P382" s="1048"/>
    </row>
    <row r="383" spans="2:32" ht="31.5" customHeight="1" x14ac:dyDescent="0.35">
      <c r="B383" s="1283" t="s">
        <v>1644</v>
      </c>
      <c r="C383" s="1283"/>
      <c r="D383" s="1284"/>
      <c r="E383" s="1284"/>
      <c r="F383" s="1284"/>
      <c r="G383" s="1284"/>
      <c r="H383" s="1284"/>
      <c r="I383" s="1284"/>
      <c r="J383" s="1284"/>
      <c r="K383" s="1284"/>
      <c r="L383" s="1284"/>
      <c r="M383" s="1284"/>
      <c r="N383" s="1284"/>
      <c r="O383" s="1284"/>
      <c r="P383" s="1284"/>
      <c r="Q383" s="1284"/>
      <c r="R383" s="1284"/>
      <c r="S383" s="1284"/>
      <c r="T383" s="1284"/>
      <c r="U383" s="1284"/>
      <c r="V383" s="1284"/>
      <c r="W383" s="1284"/>
      <c r="X383" s="1284"/>
      <c r="Y383" s="1284"/>
      <c r="Z383" s="1284"/>
      <c r="AA383" s="1284"/>
      <c r="AB383" s="1284"/>
      <c r="AC383" s="1284"/>
      <c r="AD383" s="1284"/>
      <c r="AE383" s="1284"/>
      <c r="AF383" s="1284"/>
    </row>
    <row r="385" spans="2:32" ht="18.75" x14ac:dyDescent="0.3">
      <c r="B385" s="1285" t="s">
        <v>1813</v>
      </c>
      <c r="C385" s="1285"/>
      <c r="D385" s="1285"/>
      <c r="E385" s="1285"/>
      <c r="F385" s="1285"/>
      <c r="G385" s="1285"/>
      <c r="H385" s="1285"/>
      <c r="I385" s="1285"/>
      <c r="J385" s="1285"/>
      <c r="K385" s="1285"/>
      <c r="L385" s="1285"/>
      <c r="M385" s="1285"/>
      <c r="N385" s="1285"/>
      <c r="O385" s="1285"/>
      <c r="P385" s="1285"/>
      <c r="Q385" s="1285"/>
      <c r="R385" s="1285"/>
      <c r="S385" s="1285"/>
      <c r="T385" s="1285"/>
      <c r="U385" s="1285"/>
      <c r="V385" s="1285"/>
      <c r="W385" s="1285"/>
      <c r="X385" s="1285"/>
      <c r="Y385" s="1285"/>
      <c r="Z385" s="1285"/>
      <c r="AA385" s="1285"/>
      <c r="AB385" s="1285"/>
      <c r="AC385" s="1285"/>
      <c r="AD385" s="1285"/>
      <c r="AE385" s="1285"/>
      <c r="AF385" s="1285"/>
    </row>
    <row r="386" spans="2:32" ht="18.75" x14ac:dyDescent="0.3">
      <c r="B386" s="1294"/>
      <c r="C386" s="1294"/>
      <c r="D386" s="1533"/>
      <c r="E386" s="1533"/>
      <c r="F386" s="1533"/>
      <c r="G386" s="1533"/>
      <c r="H386" s="1533"/>
      <c r="I386" s="1533"/>
      <c r="J386" s="1533"/>
      <c r="K386" s="1534"/>
      <c r="L386" s="1534"/>
      <c r="M386" s="1534"/>
      <c r="N386" s="1534"/>
      <c r="O386" s="1534"/>
      <c r="P386" s="1534"/>
      <c r="Q386" s="1534"/>
      <c r="R386" s="1534"/>
      <c r="S386" s="1534"/>
      <c r="T386" s="1534"/>
      <c r="U386" s="1534"/>
      <c r="V386" s="1534"/>
      <c r="W386" s="1534"/>
      <c r="X386" s="1294"/>
      <c r="Y386" s="1294"/>
      <c r="Z386" s="1294"/>
      <c r="AA386" s="1294"/>
      <c r="AB386" s="1294"/>
      <c r="AC386" s="1294"/>
      <c r="AD386" s="1294"/>
      <c r="AE386" s="1294"/>
      <c r="AF386" s="1294"/>
    </row>
    <row r="387" spans="2:32" ht="28.5" customHeight="1" x14ac:dyDescent="0.3">
      <c r="B387" s="1294"/>
      <c r="C387" s="1294"/>
      <c r="D387" s="1535" t="s">
        <v>1911</v>
      </c>
      <c r="E387" s="1536"/>
      <c r="F387" s="1536"/>
      <c r="G387" s="1536"/>
      <c r="H387" s="1536"/>
      <c r="I387" s="1536"/>
      <c r="J387" s="1536"/>
      <c r="K387" s="1536"/>
      <c r="L387" s="1536"/>
      <c r="M387" s="1534"/>
      <c r="N387" s="1534"/>
      <c r="O387" s="1534"/>
      <c r="P387" s="1534"/>
      <c r="Q387" s="1534"/>
      <c r="R387" s="1534"/>
      <c r="S387" s="1534"/>
      <c r="T387" s="1534"/>
      <c r="U387" s="1534"/>
      <c r="V387" s="1534"/>
      <c r="W387" s="1534"/>
      <c r="X387" s="1294"/>
      <c r="Y387" s="1294"/>
      <c r="Z387" s="1294"/>
      <c r="AA387" s="1294"/>
      <c r="AB387" s="1294"/>
      <c r="AC387" s="1294"/>
      <c r="AD387" s="1294"/>
      <c r="AE387" s="1294"/>
      <c r="AF387" s="1294"/>
    </row>
    <row r="388" spans="2:32" ht="18.75" x14ac:dyDescent="0.3">
      <c r="B388" s="1537"/>
      <c r="C388" s="1294"/>
      <c r="D388" s="1534"/>
      <c r="E388" s="1206" t="s">
        <v>26</v>
      </c>
      <c r="F388" s="1206" t="s">
        <v>1909</v>
      </c>
      <c r="G388" s="1206" t="s">
        <v>28</v>
      </c>
      <c r="H388" s="1206" t="s">
        <v>27</v>
      </c>
      <c r="I388" s="1206" t="s">
        <v>30</v>
      </c>
      <c r="J388" s="1206" t="s">
        <v>31</v>
      </c>
      <c r="K388" s="1206" t="s">
        <v>25</v>
      </c>
      <c r="L388" s="1206" t="s">
        <v>1907</v>
      </c>
      <c r="O388" s="1440" t="s">
        <v>179</v>
      </c>
      <c r="P388" s="1429" t="s">
        <v>2166</v>
      </c>
      <c r="T388" s="1534"/>
      <c r="U388" s="1534"/>
      <c r="V388" s="1534"/>
      <c r="W388" s="1534"/>
      <c r="X388" s="1294"/>
      <c r="Y388" s="1294"/>
      <c r="Z388" s="1294"/>
      <c r="AA388" s="1294"/>
      <c r="AB388" s="1294"/>
      <c r="AC388" s="1294"/>
      <c r="AD388" s="1294"/>
      <c r="AE388" s="1294"/>
      <c r="AF388" s="1294"/>
    </row>
    <row r="389" spans="2:32" ht="18.75" x14ac:dyDescent="0.3">
      <c r="B389" s="1538" t="s">
        <v>182</v>
      </c>
      <c r="C389" s="1294"/>
      <c r="D389" s="1539" t="s">
        <v>1914</v>
      </c>
      <c r="E389" s="1206">
        <f>COUNTIFS(('FORMULAIRE PGA Eau potable'!H671:H672),'MENU DÉROULANT'!$C$111)</f>
        <v>0</v>
      </c>
      <c r="F389" s="1206">
        <f>COUNTIFS(('FORMULAIRE PGA Eau potable'!H675:H676),'MENU DÉROULANT'!$C$111)</f>
        <v>0</v>
      </c>
      <c r="G389" s="1206">
        <f>COUNTIFS(('FORMULAIRE PGA Eau potable'!H679),'MENU DÉROULANT'!$C$111)</f>
        <v>0</v>
      </c>
      <c r="H389" s="1206">
        <f>COUNTIFS(('FORMULAIRE PGA Eau potable'!H682),'MENU DÉROULANT'!$C$111)</f>
        <v>0</v>
      </c>
      <c r="I389" s="1206">
        <f>COUNTIFS(('FORMULAIRE PGA Eau potable'!H685:H686),'MENU DÉROULANT'!$C$111)</f>
        <v>0</v>
      </c>
      <c r="J389" s="1206">
        <f>COUNTIFS(('FORMULAIRE PGA Eau potable'!H689:H690),'MENU DÉROULANT'!$C$111)</f>
        <v>0</v>
      </c>
      <c r="K389" s="1206">
        <f>COUNTIFS(('FORMULAIRE PGA Eau potable'!H693:H695),'MENU DÉROULANT'!$C$111)</f>
        <v>0</v>
      </c>
      <c r="L389" s="1206" t="s">
        <v>1910</v>
      </c>
      <c r="T389" s="1534"/>
      <c r="U389" s="1534"/>
      <c r="V389" s="1534"/>
      <c r="W389" s="1534"/>
      <c r="X389" s="1294"/>
      <c r="Y389" s="1294"/>
      <c r="Z389" s="1294"/>
      <c r="AA389" s="1294"/>
      <c r="AB389" s="1294"/>
      <c r="AC389" s="1294"/>
      <c r="AD389" s="1294"/>
      <c r="AE389" s="1294"/>
      <c r="AF389" s="1294"/>
    </row>
    <row r="390" spans="2:32" ht="18.75" x14ac:dyDescent="0.3">
      <c r="B390" s="1537"/>
      <c r="C390" s="1294"/>
      <c r="D390" s="1539" t="s">
        <v>1915</v>
      </c>
      <c r="E390" s="1206">
        <f>'FORMULAIRE PGA Eau potable'!H670</f>
        <v>0</v>
      </c>
      <c r="F390" s="1206">
        <f>'FORMULAIRE PGA Eau potable'!H674</f>
        <v>0</v>
      </c>
      <c r="G390" s="1206">
        <f>'FORMULAIRE PGA Eau potable'!H678</f>
        <v>0</v>
      </c>
      <c r="H390" s="1206">
        <f>'FORMULAIRE PGA Eau potable'!H681</f>
        <v>0</v>
      </c>
      <c r="I390" s="1206">
        <f>'FORMULAIRE PGA Eau potable'!H684</f>
        <v>0</v>
      </c>
      <c r="J390" s="1206">
        <f>'FORMULAIRE PGA Eau potable'!H688</f>
        <v>0</v>
      </c>
      <c r="K390" s="1206">
        <f>'FORMULAIRE PGA Eau potable'!H692</f>
        <v>0</v>
      </c>
      <c r="L390" s="1206">
        <f>'FORMULAIRE PGA Eau potable'!H700</f>
        <v>0</v>
      </c>
      <c r="T390" s="1534"/>
      <c r="U390" s="1534"/>
      <c r="V390" s="1534"/>
      <c r="W390" s="1534"/>
      <c r="X390" s="1294"/>
      <c r="Y390" s="1294"/>
      <c r="Z390" s="1294"/>
      <c r="AA390" s="1294"/>
      <c r="AB390" s="1294"/>
      <c r="AC390" s="1294"/>
      <c r="AD390" s="1294"/>
      <c r="AE390" s="1294"/>
      <c r="AF390" s="1294"/>
    </row>
    <row r="391" spans="2:32" ht="18.75" x14ac:dyDescent="0.3">
      <c r="B391" s="1538" t="s">
        <v>184</v>
      </c>
      <c r="C391" s="1294"/>
      <c r="D391" s="1539" t="s">
        <v>1914</v>
      </c>
      <c r="E391" s="1206">
        <f>COUNTIFS(('FORMULAIRE PGA Eau potable'!M671:M672),'MENU DÉROULANT'!$C$111)</f>
        <v>0</v>
      </c>
      <c r="F391" s="1206">
        <f>COUNTIFS(('FORMULAIRE PGA Eau potable'!M675:M676),'MENU DÉROULANT'!$C$111)</f>
        <v>0</v>
      </c>
      <c r="G391" s="1206">
        <f>COUNTIFS(('FORMULAIRE PGA Eau potable'!M679),'MENU DÉROULANT'!$C$111)</f>
        <v>0</v>
      </c>
      <c r="H391" s="1206">
        <f>COUNTIFS(('FORMULAIRE PGA Eau potable'!M682),'MENU DÉROULANT'!$C$111)</f>
        <v>0</v>
      </c>
      <c r="I391" s="1206">
        <f>COUNTIFS(('FORMULAIRE PGA Eau potable'!M685:M686),'MENU DÉROULANT'!$C$111)</f>
        <v>0</v>
      </c>
      <c r="J391" s="1206">
        <f>COUNTIFS(('FORMULAIRE PGA Eau potable'!M689:M690),'MENU DÉROULANT'!$C$111)</f>
        <v>0</v>
      </c>
      <c r="K391" s="1206">
        <f>COUNTIFS(('FORMULAIRE PGA Eau potable'!M693:M695),'MENU DÉROULANT'!$C$111)</f>
        <v>0</v>
      </c>
      <c r="L391" s="1206" t="s">
        <v>1910</v>
      </c>
      <c r="T391" s="1534"/>
      <c r="U391" s="1534"/>
      <c r="V391" s="1534"/>
      <c r="W391" s="1534"/>
      <c r="X391" s="1294"/>
      <c r="Y391" s="1294"/>
      <c r="Z391" s="1294"/>
      <c r="AA391" s="1294"/>
      <c r="AB391" s="1294"/>
      <c r="AC391" s="1294"/>
      <c r="AD391" s="1294"/>
      <c r="AE391" s="1294"/>
      <c r="AF391" s="1294"/>
    </row>
    <row r="392" spans="2:32" ht="18.75" x14ac:dyDescent="0.3">
      <c r="B392" s="1537"/>
      <c r="C392" s="1294"/>
      <c r="D392" s="1539" t="s">
        <v>1915</v>
      </c>
      <c r="E392" s="1206">
        <f>'FORMULAIRE PGA Eau potable'!M670</f>
        <v>0</v>
      </c>
      <c r="F392" s="1206">
        <f>'FORMULAIRE PGA Eau potable'!M674</f>
        <v>0</v>
      </c>
      <c r="G392" s="1206">
        <f>'FORMULAIRE PGA Eau potable'!M678</f>
        <v>0</v>
      </c>
      <c r="H392" s="1206">
        <f>'FORMULAIRE PGA Eau potable'!M681</f>
        <v>0</v>
      </c>
      <c r="I392" s="1206">
        <f>'FORMULAIRE PGA Eau potable'!M684</f>
        <v>0</v>
      </c>
      <c r="J392" s="1206">
        <f>'FORMULAIRE PGA Eau potable'!M688</f>
        <v>0</v>
      </c>
      <c r="K392" s="1206">
        <f>'FORMULAIRE PGA Eau potable'!M692</f>
        <v>0</v>
      </c>
      <c r="L392" s="1206">
        <f>'FORMULAIRE PGA Eau potable'!M700</f>
        <v>0</v>
      </c>
      <c r="T392" s="1534"/>
      <c r="U392" s="1534"/>
      <c r="V392" s="1534"/>
      <c r="W392" s="1534"/>
      <c r="X392" s="1294"/>
      <c r="Y392" s="1294"/>
      <c r="Z392" s="1294"/>
      <c r="AA392" s="1294"/>
      <c r="AB392" s="1294"/>
      <c r="AC392" s="1294"/>
      <c r="AD392" s="1294"/>
      <c r="AE392" s="1294"/>
      <c r="AF392" s="1294"/>
    </row>
    <row r="393" spans="2:32" ht="18.75" x14ac:dyDescent="0.3">
      <c r="B393" s="1537"/>
      <c r="C393" s="1294"/>
      <c r="D393" s="1534"/>
      <c r="E393" s="1534"/>
      <c r="F393" s="1534"/>
      <c r="G393" s="1534"/>
      <c r="H393" s="1534"/>
      <c r="I393" s="1534"/>
      <c r="J393" s="1534"/>
      <c r="K393" s="1534"/>
      <c r="L393" s="1534"/>
      <c r="M393" s="2621"/>
      <c r="N393" s="2622" t="s">
        <v>2167</v>
      </c>
      <c r="O393" s="2621"/>
      <c r="P393" s="1534"/>
      <c r="Q393" s="1534"/>
      <c r="R393" s="1534"/>
      <c r="S393" s="1534"/>
      <c r="T393" s="1534"/>
      <c r="U393" s="1534"/>
      <c r="V393" s="1534"/>
      <c r="W393" s="1534"/>
      <c r="X393" s="1294"/>
      <c r="Y393" s="1294"/>
      <c r="Z393" s="1294"/>
      <c r="AA393" s="1294"/>
      <c r="AB393" s="1294"/>
      <c r="AC393" s="1294"/>
      <c r="AD393" s="1294"/>
      <c r="AE393" s="1294"/>
      <c r="AF393" s="1294"/>
    </row>
    <row r="394" spans="2:32" ht="18.75" x14ac:dyDescent="0.3">
      <c r="B394" s="1537"/>
      <c r="C394" s="1294"/>
      <c r="D394" s="1540" t="s">
        <v>1912</v>
      </c>
      <c r="E394" s="1541" t="str">
        <f>'FORMULAIRE PGA Eau potable'!G700</f>
        <v/>
      </c>
      <c r="F394" s="1534" t="s">
        <v>1908</v>
      </c>
      <c r="G394" s="1534"/>
      <c r="H394" s="1534"/>
      <c r="I394" s="1534"/>
      <c r="J394" s="1534"/>
      <c r="K394" s="1534"/>
      <c r="L394" s="1534"/>
      <c r="M394" s="2275" t="s">
        <v>1879</v>
      </c>
      <c r="N394" s="2620">
        <f>IF($I$33=1,L392,IF($I$41=1,L390,ROUNDDOWN(AVERAGE(L390,L392),0)))</f>
        <v>0</v>
      </c>
      <c r="O394" s="1534"/>
      <c r="P394" s="1534"/>
      <c r="Q394" s="1534"/>
      <c r="R394" s="1534"/>
      <c r="S394" s="1534"/>
      <c r="T394" s="1534"/>
      <c r="U394" s="1534"/>
      <c r="V394" s="1534"/>
      <c r="W394" s="1534"/>
      <c r="X394" s="1294"/>
      <c r="Y394" s="1294"/>
      <c r="Z394" s="1294"/>
      <c r="AA394" s="1294"/>
      <c r="AB394" s="1294"/>
      <c r="AC394" s="1294"/>
      <c r="AD394" s="1294"/>
      <c r="AE394" s="1294"/>
      <c r="AF394" s="1294"/>
    </row>
    <row r="395" spans="2:32" ht="18.75" x14ac:dyDescent="0.3">
      <c r="B395" s="1294"/>
      <c r="C395" s="1294"/>
      <c r="D395" s="1542" t="s">
        <v>1913</v>
      </c>
      <c r="E395" s="1543" t="str">
        <f>'FORMULAIRE PGA Eau potable'!L700</f>
        <v/>
      </c>
      <c r="F395" s="1534" t="s">
        <v>1908</v>
      </c>
      <c r="G395" s="1294"/>
      <c r="H395" s="1294"/>
      <c r="I395" s="1294"/>
      <c r="J395" s="1294"/>
      <c r="K395" s="1294"/>
      <c r="L395" s="1294"/>
      <c r="M395" s="2275" t="s">
        <v>122</v>
      </c>
      <c r="N395" s="920" t="e">
        <f>IF($I$33=1,E395,IF($I$41=1,E394,ROUNDDOWN(AVERAGE(E394,E395),0)))</f>
        <v>#DIV/0!</v>
      </c>
      <c r="O395" s="1294"/>
      <c r="P395" s="1294"/>
      <c r="Q395" s="1294"/>
      <c r="R395" s="1294"/>
      <c r="S395" s="1294"/>
      <c r="T395" s="1294"/>
      <c r="U395" s="1294"/>
      <c r="V395" s="1294"/>
      <c r="W395" s="1294"/>
      <c r="X395" s="1294"/>
      <c r="Y395" s="1294"/>
      <c r="Z395" s="1294"/>
      <c r="AA395" s="1294"/>
      <c r="AB395" s="1294"/>
      <c r="AC395" s="1294"/>
      <c r="AD395" s="1294"/>
      <c r="AE395" s="1294"/>
      <c r="AF395" s="1294"/>
    </row>
    <row r="396" spans="2:32" ht="18.75" x14ac:dyDescent="0.3">
      <c r="B396" s="1294"/>
      <c r="C396" s="1294"/>
      <c r="D396" s="1294"/>
      <c r="E396" s="1544"/>
      <c r="F396" s="1294"/>
      <c r="G396" s="1294"/>
      <c r="H396" s="1294"/>
      <c r="I396" s="1294"/>
      <c r="J396" s="1294"/>
      <c r="K396" s="1294"/>
      <c r="L396" s="1294"/>
      <c r="O396" s="1294"/>
      <c r="P396" s="1294"/>
      <c r="Q396" s="1294"/>
      <c r="R396" s="1294"/>
      <c r="S396" s="1294"/>
      <c r="T396" s="1294"/>
      <c r="U396" s="1294"/>
      <c r="V396" s="1294"/>
      <c r="W396" s="1294"/>
      <c r="X396" s="1294"/>
      <c r="Y396" s="1294"/>
      <c r="Z396" s="1294"/>
      <c r="AA396" s="1294"/>
      <c r="AB396" s="1294"/>
      <c r="AC396" s="1294"/>
      <c r="AD396" s="1294"/>
      <c r="AE396" s="1294"/>
      <c r="AF396" s="1294"/>
    </row>
    <row r="397" spans="2:32" ht="18.75" x14ac:dyDescent="0.3">
      <c r="B397" s="1285" t="s">
        <v>1814</v>
      </c>
      <c r="C397" s="1285"/>
      <c r="D397" s="1285"/>
      <c r="E397" s="1285"/>
      <c r="F397" s="1285"/>
      <c r="G397" s="1285"/>
      <c r="H397" s="1285"/>
      <c r="I397" s="1285"/>
      <c r="J397" s="1285"/>
      <c r="K397" s="1285"/>
      <c r="L397" s="1285"/>
      <c r="M397" s="1285"/>
      <c r="N397" s="1285"/>
      <c r="O397" s="1285"/>
      <c r="P397" s="1285"/>
      <c r="Q397" s="1285"/>
      <c r="R397" s="1285"/>
      <c r="S397" s="1285"/>
      <c r="T397" s="1285"/>
      <c r="U397" s="1285"/>
      <c r="V397" s="1285"/>
      <c r="W397" s="1285"/>
      <c r="X397" s="1285"/>
      <c r="Y397" s="1285"/>
      <c r="Z397" s="1285"/>
      <c r="AA397" s="1285"/>
      <c r="AB397" s="1285"/>
      <c r="AC397" s="1285"/>
      <c r="AD397" s="1285"/>
      <c r="AE397" s="1285"/>
      <c r="AF397" s="1285"/>
    </row>
    <row r="398" spans="2:32" ht="18.75" x14ac:dyDescent="0.3">
      <c r="B398" s="1294"/>
      <c r="C398" s="1294"/>
      <c r="D398" s="1294"/>
      <c r="E398" s="1294"/>
      <c r="F398" s="1294"/>
      <c r="G398" s="1294"/>
      <c r="H398" s="1294"/>
      <c r="I398" s="1294"/>
      <c r="J398" s="1294"/>
      <c r="K398" s="1294"/>
      <c r="L398" s="1294"/>
      <c r="M398" s="1294"/>
      <c r="N398" s="1294"/>
      <c r="O398" s="1294"/>
      <c r="P398" s="1294"/>
      <c r="Q398" s="1294"/>
      <c r="R398" s="1294"/>
      <c r="S398" s="1294"/>
      <c r="T398" s="1294"/>
      <c r="U398" s="1294"/>
      <c r="V398" s="1294"/>
      <c r="W398" s="1294"/>
      <c r="X398" s="1294"/>
      <c r="Y398" s="1294"/>
      <c r="Z398" s="1294"/>
      <c r="AA398" s="1294"/>
      <c r="AB398" s="1294"/>
      <c r="AC398" s="1294"/>
      <c r="AD398" s="1294"/>
      <c r="AE398" s="1294"/>
      <c r="AF398" s="1294"/>
    </row>
    <row r="399" spans="2:32" ht="28.5" customHeight="1" x14ac:dyDescent="0.3">
      <c r="B399" s="1294"/>
      <c r="C399" s="1294"/>
      <c r="D399" s="1535" t="s">
        <v>1911</v>
      </c>
      <c r="E399" s="1536"/>
      <c r="F399" s="1536"/>
      <c r="G399" s="1536"/>
      <c r="H399" s="1536"/>
      <c r="I399" s="1536"/>
      <c r="J399" s="1536"/>
      <c r="K399" s="1536"/>
      <c r="L399" s="1536"/>
      <c r="M399" s="1534"/>
      <c r="N399" s="1534"/>
      <c r="O399" s="1534"/>
      <c r="P399" s="1534"/>
      <c r="Q399" s="1534"/>
      <c r="R399" s="1534"/>
      <c r="S399" s="1534"/>
      <c r="T399" s="1534"/>
      <c r="U399" s="1534"/>
      <c r="V399" s="1534"/>
      <c r="W399" s="1534"/>
      <c r="X399" s="1294"/>
      <c r="Y399" s="1294"/>
      <c r="Z399" s="1294"/>
      <c r="AA399" s="1294"/>
      <c r="AB399" s="1294"/>
      <c r="AC399" s="1294"/>
      <c r="AD399" s="1294"/>
      <c r="AE399" s="1294"/>
      <c r="AF399" s="1294"/>
    </row>
    <row r="400" spans="2:32" ht="18.75" x14ac:dyDescent="0.3">
      <c r="B400" s="1537"/>
      <c r="C400" s="1294"/>
      <c r="D400" s="1534"/>
      <c r="E400" s="1206" t="s">
        <v>26</v>
      </c>
      <c r="F400" s="1206" t="s">
        <v>1909</v>
      </c>
      <c r="G400" s="1206" t="s">
        <v>28</v>
      </c>
      <c r="H400" s="1206" t="s">
        <v>27</v>
      </c>
      <c r="I400" s="1206" t="s">
        <v>30</v>
      </c>
      <c r="J400" s="1206" t="s">
        <v>31</v>
      </c>
      <c r="K400" s="1206" t="s">
        <v>25</v>
      </c>
      <c r="L400" s="1206" t="s">
        <v>1907</v>
      </c>
      <c r="T400" s="1534"/>
      <c r="U400" s="1534"/>
      <c r="V400" s="1534"/>
      <c r="W400" s="1534"/>
      <c r="X400" s="1294"/>
      <c r="Y400" s="1294"/>
      <c r="Z400" s="1294"/>
      <c r="AA400" s="1294"/>
      <c r="AB400" s="1294"/>
      <c r="AC400" s="1294"/>
      <c r="AD400" s="1294"/>
      <c r="AE400" s="1294"/>
      <c r="AF400" s="1294"/>
    </row>
    <row r="401" spans="2:32" ht="18.75" x14ac:dyDescent="0.3">
      <c r="B401" s="1538" t="s">
        <v>182</v>
      </c>
      <c r="C401" s="1294"/>
      <c r="D401" s="1539" t="s">
        <v>1914</v>
      </c>
      <c r="E401" s="1206">
        <f>COUNTIFS(('FORMULAIRE PGA Eau potable'!H605:H610),'MENU DÉROULANT'!$C$111)</f>
        <v>0</v>
      </c>
      <c r="F401" s="1206">
        <f>COUNTIFS(('FORMULAIRE PGA Eau potable'!H613:H614),'MENU DÉROULANT'!$C$111)</f>
        <v>0</v>
      </c>
      <c r="G401" s="1206">
        <f>COUNTIFS(('FORMULAIRE PGA Eau potable'!H617:H618),'MENU DÉROULANT'!$C$111)</f>
        <v>0</v>
      </c>
      <c r="H401" s="1206">
        <f>COUNTIFS(('FORMULAIRE PGA Eau potable'!H621:H622),'MENU DÉROULANT'!$C$111)</f>
        <v>0</v>
      </c>
      <c r="I401" s="1206">
        <f>COUNTIFS(('FORMULAIRE PGA Eau potable'!H625:H627),'MENU DÉROULANT'!$C$111)</f>
        <v>0</v>
      </c>
      <c r="J401" s="1206">
        <f>COUNTIFS(('FORMULAIRE PGA Eau potable'!H630:H631),'MENU DÉROULANT'!$C$111)</f>
        <v>0</v>
      </c>
      <c r="K401" s="1206">
        <f>COUNTIFS(('FORMULAIRE PGA Eau potable'!H634:H636),'MENU DÉROULANT'!$C$111)</f>
        <v>0</v>
      </c>
      <c r="L401" s="1206" t="s">
        <v>1910</v>
      </c>
      <c r="T401" s="1534"/>
      <c r="U401" s="1534"/>
      <c r="V401" s="1534"/>
      <c r="W401" s="1534"/>
      <c r="X401" s="1294"/>
      <c r="Y401" s="1294"/>
      <c r="Z401" s="1294"/>
      <c r="AA401" s="1294"/>
      <c r="AB401" s="1294"/>
      <c r="AC401" s="1294"/>
      <c r="AD401" s="1294"/>
      <c r="AE401" s="1294"/>
      <c r="AF401" s="1294"/>
    </row>
    <row r="402" spans="2:32" ht="18.75" x14ac:dyDescent="0.3">
      <c r="B402" s="1537"/>
      <c r="C402" s="1294"/>
      <c r="D402" s="1539" t="s">
        <v>1915</v>
      </c>
      <c r="E402" s="1206">
        <f>'FORMULAIRE PGA Eau potable'!H604</f>
        <v>0</v>
      </c>
      <c r="F402" s="1206">
        <f>'FORMULAIRE PGA Eau potable'!H612</f>
        <v>0</v>
      </c>
      <c r="G402" s="1206">
        <f>'FORMULAIRE PGA Eau potable'!H616</f>
        <v>0</v>
      </c>
      <c r="H402" s="1206">
        <f>'FORMULAIRE PGA Eau potable'!H620</f>
        <v>0</v>
      </c>
      <c r="I402" s="1206">
        <f>'FORMULAIRE PGA Eau potable'!H624</f>
        <v>0</v>
      </c>
      <c r="J402" s="1206">
        <f>'FORMULAIRE PGA Eau potable'!H629</f>
        <v>0</v>
      </c>
      <c r="K402" s="1206">
        <f>'FORMULAIRE PGA Eau potable'!H633</f>
        <v>0</v>
      </c>
      <c r="L402" s="1206">
        <f>'FORMULAIRE PGA Eau potable'!H638</f>
        <v>0</v>
      </c>
      <c r="T402" s="1534"/>
      <c r="U402" s="1534"/>
      <c r="V402" s="1534"/>
      <c r="W402" s="1534"/>
      <c r="X402" s="1294"/>
      <c r="Y402" s="1294"/>
      <c r="Z402" s="1294"/>
      <c r="AA402" s="1294"/>
      <c r="AB402" s="1294"/>
      <c r="AC402" s="1294"/>
      <c r="AD402" s="1294"/>
      <c r="AE402" s="1294"/>
      <c r="AF402" s="1294"/>
    </row>
    <row r="403" spans="2:32" ht="18.75" x14ac:dyDescent="0.3">
      <c r="B403" s="1538" t="s">
        <v>184</v>
      </c>
      <c r="C403" s="1294"/>
      <c r="D403" s="1539" t="s">
        <v>1914</v>
      </c>
      <c r="E403" s="1206">
        <f>COUNTIFS(('FORMULAIRE PGA Eau potable'!M605:M610),'MENU DÉROULANT'!$C$111)</f>
        <v>0</v>
      </c>
      <c r="F403" s="1206">
        <f>COUNTIFS(('FORMULAIRE PGA Eau potable'!M613:M614),'MENU DÉROULANT'!$C$111)</f>
        <v>0</v>
      </c>
      <c r="G403" s="1206">
        <f>COUNTIFS(('FORMULAIRE PGA Eau potable'!M617:M618),'MENU DÉROULANT'!$C$111)</f>
        <v>0</v>
      </c>
      <c r="H403" s="1206">
        <f>COUNTIFS(('FORMULAIRE PGA Eau potable'!M621:M622),'MENU DÉROULANT'!$C$111)</f>
        <v>0</v>
      </c>
      <c r="I403" s="1206">
        <f>COUNTIFS(('FORMULAIRE PGA Eau potable'!M625:M627),'MENU DÉROULANT'!$C$111)</f>
        <v>0</v>
      </c>
      <c r="J403" s="1206">
        <f>COUNTIFS(('FORMULAIRE PGA Eau potable'!M630:M631),'MENU DÉROULANT'!$C$111)</f>
        <v>0</v>
      </c>
      <c r="K403" s="1206">
        <f>COUNTIFS(('FORMULAIRE PGA Eau potable'!M634:M636),'MENU DÉROULANT'!$C$111)</f>
        <v>0</v>
      </c>
      <c r="L403" s="1206" t="s">
        <v>1910</v>
      </c>
      <c r="T403" s="23"/>
      <c r="U403" s="1534"/>
      <c r="V403" s="1534"/>
      <c r="W403" s="1534"/>
      <c r="X403" s="1294"/>
      <c r="Y403" s="1294"/>
      <c r="Z403" s="1294"/>
      <c r="AA403" s="1294"/>
      <c r="AB403" s="1294"/>
      <c r="AC403" s="1294"/>
      <c r="AD403" s="1294"/>
      <c r="AE403" s="1294"/>
      <c r="AF403" s="1294"/>
    </row>
    <row r="404" spans="2:32" ht="18.75" x14ac:dyDescent="0.3">
      <c r="B404" s="1537"/>
      <c r="C404" s="1294"/>
      <c r="D404" s="1539" t="s">
        <v>1915</v>
      </c>
      <c r="E404" s="1206">
        <f>'FORMULAIRE PGA Eau potable'!M604</f>
        <v>0</v>
      </c>
      <c r="F404" s="1206">
        <f>'FORMULAIRE PGA Eau potable'!M612</f>
        <v>0</v>
      </c>
      <c r="G404" s="1206">
        <f>'FORMULAIRE PGA Eau potable'!M616</f>
        <v>0</v>
      </c>
      <c r="H404" s="1206">
        <f>'FORMULAIRE PGA Eau potable'!M620</f>
        <v>0</v>
      </c>
      <c r="I404" s="1206">
        <f>'FORMULAIRE PGA Eau potable'!M624</f>
        <v>0</v>
      </c>
      <c r="J404" s="1206">
        <f>'FORMULAIRE PGA Eau potable'!M629</f>
        <v>0</v>
      </c>
      <c r="K404" s="1206">
        <f>'FORMULAIRE PGA Eau potable'!M633</f>
        <v>0</v>
      </c>
      <c r="L404" s="1206">
        <f>'FORMULAIRE PGA Eau potable'!M638</f>
        <v>0</v>
      </c>
      <c r="T404" s="1534"/>
      <c r="U404" s="1534"/>
      <c r="V404" s="1534"/>
      <c r="W404" s="1534"/>
      <c r="X404" s="1294"/>
      <c r="Y404" s="1294"/>
      <c r="Z404" s="1294"/>
      <c r="AA404" s="1294"/>
      <c r="AB404" s="1294"/>
      <c r="AC404" s="1294"/>
      <c r="AD404" s="1294"/>
      <c r="AE404" s="1294"/>
      <c r="AF404" s="1294"/>
    </row>
    <row r="405" spans="2:32" ht="18.75" x14ac:dyDescent="0.3">
      <c r="B405" s="1537"/>
      <c r="C405" s="1294"/>
      <c r="D405" s="1534"/>
      <c r="E405" s="1534"/>
      <c r="F405" s="1534"/>
      <c r="G405" s="1534"/>
      <c r="H405" s="1534"/>
      <c r="I405" s="1534"/>
      <c r="J405" s="1534"/>
      <c r="K405" s="1534"/>
      <c r="L405" s="1534"/>
      <c r="M405" s="2621"/>
      <c r="N405" s="2622" t="s">
        <v>2167</v>
      </c>
      <c r="O405" s="2621"/>
      <c r="P405" s="1534"/>
      <c r="Q405" s="1534"/>
      <c r="R405" s="1534"/>
      <c r="S405" s="1534"/>
      <c r="T405" s="1534"/>
      <c r="U405" s="1534"/>
      <c r="V405" s="1534"/>
      <c r="W405" s="1534"/>
      <c r="X405" s="1294"/>
      <c r="Y405" s="1294"/>
      <c r="Z405" s="1294"/>
      <c r="AA405" s="1294"/>
      <c r="AB405" s="1294"/>
      <c r="AC405" s="1294"/>
      <c r="AD405" s="1294"/>
      <c r="AE405" s="1294"/>
      <c r="AF405" s="1294"/>
    </row>
    <row r="406" spans="2:32" ht="18.75" x14ac:dyDescent="0.3">
      <c r="B406" s="1537"/>
      <c r="C406" s="1294"/>
      <c r="D406" s="1540" t="s">
        <v>1912</v>
      </c>
      <c r="E406" s="1541" t="str">
        <f>'FORMULAIRE PGA Eau potable'!G638</f>
        <v/>
      </c>
      <c r="F406" s="1534" t="s">
        <v>1908</v>
      </c>
      <c r="G406" s="1534"/>
      <c r="H406" s="1534"/>
      <c r="I406" s="1534"/>
      <c r="J406" s="1534"/>
      <c r="K406" s="1534"/>
      <c r="L406" s="1534"/>
      <c r="M406" s="2275" t="s">
        <v>1879</v>
      </c>
      <c r="N406" s="2620">
        <f>IF($I$33=1,L404,IF($I$41=1,L402,ROUNDDOWN(AVERAGE(L402,L404),0)))</f>
        <v>0</v>
      </c>
      <c r="O406" s="1534"/>
      <c r="P406" s="1534"/>
      <c r="Q406" s="1534"/>
      <c r="R406" s="1534"/>
      <c r="S406" s="1534"/>
      <c r="T406" s="1534"/>
      <c r="U406" s="1534"/>
      <c r="V406" s="1534"/>
      <c r="W406" s="1534"/>
      <c r="X406" s="1294"/>
      <c r="Y406" s="1294"/>
      <c r="Z406" s="1294"/>
      <c r="AA406" s="1294"/>
      <c r="AB406" s="1294"/>
      <c r="AC406" s="1294"/>
      <c r="AD406" s="1294"/>
      <c r="AE406" s="1294"/>
      <c r="AF406" s="1294"/>
    </row>
    <row r="407" spans="2:32" ht="18.75" x14ac:dyDescent="0.3">
      <c r="B407" s="1294"/>
      <c r="C407" s="1294"/>
      <c r="D407" s="1542" t="s">
        <v>1913</v>
      </c>
      <c r="E407" s="1543" t="str">
        <f>'FORMULAIRE PGA Eau potable'!L638</f>
        <v/>
      </c>
      <c r="F407" s="1534" t="s">
        <v>1908</v>
      </c>
      <c r="G407" s="1294"/>
      <c r="H407" s="1294"/>
      <c r="I407" s="1294"/>
      <c r="J407" s="1294"/>
      <c r="K407" s="1294"/>
      <c r="L407" s="1294"/>
      <c r="M407" s="2275" t="s">
        <v>122</v>
      </c>
      <c r="N407" s="920" t="e">
        <f>IF($I$33=1,E407,IF($I$41=1,E406,ROUNDDOWN(AVERAGE(E406,E407),0)))</f>
        <v>#DIV/0!</v>
      </c>
      <c r="O407" s="1294"/>
      <c r="P407" s="1294"/>
      <c r="Q407" s="1294"/>
      <c r="R407" s="1294"/>
      <c r="S407" s="1294"/>
      <c r="T407" s="1294"/>
      <c r="U407" s="1294"/>
      <c r="V407" s="1294"/>
      <c r="W407" s="1294"/>
      <c r="X407" s="1294"/>
      <c r="Y407" s="1294"/>
      <c r="Z407" s="1294"/>
      <c r="AA407" s="1294"/>
      <c r="AB407" s="1294"/>
      <c r="AC407" s="1294"/>
      <c r="AD407" s="1294"/>
      <c r="AE407" s="1294"/>
      <c r="AF407" s="1294"/>
    </row>
  </sheetData>
  <sheetProtection password="C518" sheet="1" objects="1" scenarios="1"/>
  <mergeCells count="84">
    <mergeCell ref="X303:Y303"/>
    <mergeCell ref="X301:Y301"/>
    <mergeCell ref="X299:Y299"/>
    <mergeCell ref="U298:W298"/>
    <mergeCell ref="S299:U299"/>
    <mergeCell ref="S303:U303"/>
    <mergeCell ref="V303:W303"/>
    <mergeCell ref="V301:W301"/>
    <mergeCell ref="V299:W299"/>
    <mergeCell ref="S301:T301"/>
    <mergeCell ref="X298:Y298"/>
    <mergeCell ref="K91:L91"/>
    <mergeCell ref="I91:J91"/>
    <mergeCell ref="L30:N30"/>
    <mergeCell ref="L26:N26"/>
    <mergeCell ref="L28:N28"/>
    <mergeCell ref="N61:N64"/>
    <mergeCell ref="M61:M62"/>
    <mergeCell ref="M63:M64"/>
    <mergeCell ref="Q119:Q120"/>
    <mergeCell ref="Q161:Q162"/>
    <mergeCell ref="Q159:Q160"/>
    <mergeCell ref="Q157:Q158"/>
    <mergeCell ref="Q155:Q156"/>
    <mergeCell ref="Q153:Q154"/>
    <mergeCell ref="Q151:Q152"/>
    <mergeCell ref="Q129:Q130"/>
    <mergeCell ref="Q127:Q128"/>
    <mergeCell ref="Q125:Q126"/>
    <mergeCell ref="Q123:Q124"/>
    <mergeCell ref="Q121:Q122"/>
    <mergeCell ref="P21:P23"/>
    <mergeCell ref="I54:L54"/>
    <mergeCell ref="I53:L53"/>
    <mergeCell ref="K31:K32"/>
    <mergeCell ref="K29:K30"/>
    <mergeCell ref="K23:K24"/>
    <mergeCell ref="K27:K28"/>
    <mergeCell ref="K25:K26"/>
    <mergeCell ref="K21:K22"/>
    <mergeCell ref="L33:N33"/>
    <mergeCell ref="L24:N24"/>
    <mergeCell ref="L22:N22"/>
    <mergeCell ref="L293:N293"/>
    <mergeCell ref="J248:K248"/>
    <mergeCell ref="O190:O191"/>
    <mergeCell ref="O192:O198"/>
    <mergeCell ref="O248:P248"/>
    <mergeCell ref="K201:K209"/>
    <mergeCell ref="J265:K265"/>
    <mergeCell ref="M265:N265"/>
    <mergeCell ref="O265:P265"/>
    <mergeCell ref="E38:H39"/>
    <mergeCell ref="E42:H43"/>
    <mergeCell ref="E44:H45"/>
    <mergeCell ref="I378:K378"/>
    <mergeCell ref="I330:K330"/>
    <mergeCell ref="I354:K354"/>
    <mergeCell ref="K189:L189"/>
    <mergeCell ref="L115:N115"/>
    <mergeCell ref="L146:N146"/>
    <mergeCell ref="M248:N248"/>
    <mergeCell ref="H248:I248"/>
    <mergeCell ref="H203:H209"/>
    <mergeCell ref="H192:H198"/>
    <mergeCell ref="H201:H202"/>
    <mergeCell ref="H190:H191"/>
    <mergeCell ref="H265:I265"/>
    <mergeCell ref="E28:F29"/>
    <mergeCell ref="I376:N376"/>
    <mergeCell ref="F265:G265"/>
    <mergeCell ref="E52:H52"/>
    <mergeCell ref="I52:L52"/>
    <mergeCell ref="E49:F49"/>
    <mergeCell ref="E54:H54"/>
    <mergeCell ref="E53:H53"/>
    <mergeCell ref="D200:E200"/>
    <mergeCell ref="F248:G248"/>
    <mergeCell ref="D221:E221"/>
    <mergeCell ref="I352:N352"/>
    <mergeCell ref="I328:N328"/>
    <mergeCell ref="E46:H47"/>
    <mergeCell ref="E34:H35"/>
    <mergeCell ref="E36:H37"/>
  </mergeCells>
  <conditionalFormatting sqref="S120:V120">
    <cfRule type="expression" dxfId="591" priority="20">
      <formula>OR($I$110=1,$I$110=4)</formula>
    </cfRule>
  </conditionalFormatting>
  <conditionalFormatting sqref="S122:V122">
    <cfRule type="expression" dxfId="590" priority="21">
      <formula>OR($I$111=1,$I$111=4)</formula>
    </cfRule>
  </conditionalFormatting>
  <conditionalFormatting sqref="S124:V124">
    <cfRule type="expression" dxfId="589" priority="19">
      <formula>OR($I$112=1,$I$112=4)</formula>
    </cfRule>
  </conditionalFormatting>
  <conditionalFormatting sqref="S126:V126">
    <cfRule type="expression" dxfId="588" priority="18">
      <formula>OR($I$113=1,$I$113=4)</formula>
    </cfRule>
  </conditionalFormatting>
  <conditionalFormatting sqref="S128:V128">
    <cfRule type="expression" dxfId="587" priority="17">
      <formula>OR($I$114=1,$I$114=4)</formula>
    </cfRule>
  </conditionalFormatting>
  <conditionalFormatting sqref="S130:V130">
    <cfRule type="expression" dxfId="586" priority="16">
      <formula>OR($I$115=1,$I$115=4)</formula>
    </cfRule>
  </conditionalFormatting>
  <conditionalFormatting sqref="W120:Z120">
    <cfRule type="expression" dxfId="585" priority="15">
      <formula>OR($I$110=2,$I$110=4)</formula>
    </cfRule>
  </conditionalFormatting>
  <conditionalFormatting sqref="W122:Z122">
    <cfRule type="expression" dxfId="584" priority="14">
      <formula>OR($I$111=2,$I$111=4)</formula>
    </cfRule>
  </conditionalFormatting>
  <conditionalFormatting sqref="W124:Z124">
    <cfRule type="expression" dxfId="583" priority="13">
      <formula>OR($I$112=2,$I$112=4)</formula>
    </cfRule>
  </conditionalFormatting>
  <conditionalFormatting sqref="W126:Z126">
    <cfRule type="expression" dxfId="582" priority="12">
      <formula>OR($I$113=2,$I$113=4)</formula>
    </cfRule>
  </conditionalFormatting>
  <conditionalFormatting sqref="W128:Z128">
    <cfRule type="expression" dxfId="581" priority="11">
      <formula>OR($I$114=2,$I$114=4)</formula>
    </cfRule>
  </conditionalFormatting>
  <conditionalFormatting sqref="W130:Z130">
    <cfRule type="expression" dxfId="580" priority="10">
      <formula>OR($I$115=2,$I$115=4)</formula>
    </cfRule>
  </conditionalFormatting>
  <conditionalFormatting sqref="Z299 Z301 Z303">
    <cfRule type="iconSet" priority="3">
      <iconSet iconSet="5Rating" showValue="0">
        <cfvo type="percent" val="0"/>
        <cfvo type="num" val="1" gte="0"/>
        <cfvo type="num" val="2" gte="0"/>
        <cfvo type="num" val="3" gte="0"/>
        <cfvo type="num" val="4" gte="0"/>
      </iconSet>
    </cfRule>
  </conditionalFormatting>
  <conditionalFormatting sqref="AA120:AD120">
    <cfRule type="expression" dxfId="579" priority="4">
      <formula>OR($I$110=3,$I$110=4)</formula>
    </cfRule>
  </conditionalFormatting>
  <conditionalFormatting sqref="AA122:AD122">
    <cfRule type="expression" dxfId="578" priority="5">
      <formula>OR($I$111=3,$I$111=4)</formula>
    </cfRule>
  </conditionalFormatting>
  <conditionalFormatting sqref="AA124:AD124">
    <cfRule type="expression" dxfId="577" priority="6">
      <formula>OR($I$112=3,$I$112=4)</formula>
    </cfRule>
  </conditionalFormatting>
  <conditionalFormatting sqref="AA126:AD126">
    <cfRule type="expression" dxfId="576" priority="7">
      <formula>OR($I$113=3,$I$113=4)</formula>
    </cfRule>
  </conditionalFormatting>
  <conditionalFormatting sqref="AA128:AD128">
    <cfRule type="expression" dxfId="575" priority="8">
      <formula>OR($I$114=3,$I$114=4)</formula>
    </cfRule>
  </conditionalFormatting>
  <conditionalFormatting sqref="AA130:AD130">
    <cfRule type="expression" dxfId="574" priority="9">
      <formula>OR($I$115=3,$I$115=4)</formula>
    </cfRule>
  </conditionalFormatting>
  <pageMargins left="0.70866141732283472" right="0.70866141732283472" top="0.62992125984251968" bottom="0.59055118110236227" header="0.31496062992125984" footer="0.31496062992125984"/>
  <pageSetup paperSize="3" scale="50" fitToHeight="0" orientation="landscape" r:id="rId1"/>
  <headerFooter>
    <oddFooter xml:space="preserve">&amp;L&amp;10Version 1.0    © CERIU, 2023&amp;R&amp;10Onglet CALCULS eau potable
Page &amp;P de &amp;N </oddFooter>
  </headerFooter>
  <rowBreaks count="7" manualBreakCount="7">
    <brk id="57" max="16383" man="1"/>
    <brk id="104" max="16383" man="1"/>
    <brk id="170" max="16383" man="1"/>
    <brk id="230" max="16383" man="1"/>
    <brk id="274" max="16383" man="1"/>
    <brk id="307" max="16383" man="1"/>
    <brk id="357" max="16383" man="1"/>
  </rowBreaks>
  <ignoredErrors>
    <ignoredError sqref="L24:L25 F23" formula="1"/>
  </ignoredError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B1:CE144"/>
  <sheetViews>
    <sheetView showGridLines="0" zoomScaleNormal="100" workbookViewId="0"/>
  </sheetViews>
  <sheetFormatPr baseColWidth="10" defaultRowHeight="15" x14ac:dyDescent="0.25"/>
  <cols>
    <col min="1" max="1" width="4.5703125" style="28" customWidth="1"/>
    <col min="2" max="2" width="2.7109375" style="28" customWidth="1"/>
    <col min="3" max="3" width="2" style="28" customWidth="1"/>
    <col min="4" max="4" width="18.140625" style="28" customWidth="1"/>
    <col min="5" max="5" width="4.7109375" style="28" customWidth="1"/>
    <col min="6" max="6" width="3" style="28" customWidth="1"/>
    <col min="7" max="7" width="0.7109375" style="28" customWidth="1"/>
    <col min="8" max="8" width="3" style="28" customWidth="1"/>
    <col min="9" max="9" width="0.7109375" style="28" customWidth="1"/>
    <col min="10" max="10" width="3" style="28" customWidth="1"/>
    <col min="11" max="11" width="0.7109375" style="28" customWidth="1"/>
    <col min="12" max="12" width="3" style="28" customWidth="1"/>
    <col min="13" max="13" width="0.7109375" style="28" customWidth="1"/>
    <col min="14" max="14" width="3" style="28" customWidth="1"/>
    <col min="15" max="15" width="0.7109375" style="28" customWidth="1"/>
    <col min="16" max="16" width="3" style="28" customWidth="1"/>
    <col min="17" max="17" width="0.7109375" style="28" customWidth="1"/>
    <col min="18" max="18" width="3" style="28" customWidth="1"/>
    <col min="19" max="19" width="2.28515625" style="28" customWidth="1"/>
    <col min="20" max="20" width="3" style="28" customWidth="1"/>
    <col min="21" max="21" width="6.42578125" style="28" customWidth="1"/>
    <col min="22" max="22" width="3" style="28" customWidth="1"/>
    <col min="23" max="23" width="0.7109375" style="28" customWidth="1"/>
    <col min="24" max="24" width="3" style="28" customWidth="1"/>
    <col min="25" max="25" width="0.7109375" style="28" customWidth="1"/>
    <col min="26" max="26" width="3" style="28" customWidth="1"/>
    <col min="27" max="27" width="0.7109375" style="28" customWidth="1"/>
    <col min="28" max="28" width="3" style="28" customWidth="1"/>
    <col min="29" max="29" width="0.7109375" style="28" customWidth="1"/>
    <col min="30" max="30" width="3" style="28" customWidth="1"/>
    <col min="31" max="31" width="0.85546875" style="28" customWidth="1"/>
    <col min="32" max="32" width="3" style="28" customWidth="1"/>
    <col min="33" max="33" width="0.7109375" style="28" customWidth="1"/>
    <col min="34" max="34" width="3" style="28" customWidth="1"/>
    <col min="35" max="35" width="2.28515625" style="28" customWidth="1"/>
    <col min="36" max="36" width="3" style="28" customWidth="1"/>
    <col min="37" max="37" width="1.28515625" style="28" customWidth="1"/>
    <col min="38" max="38" width="2.7109375" style="28" customWidth="1"/>
    <col min="39" max="39" width="1.85546875" style="28" customWidth="1"/>
    <col min="40" max="40" width="2.140625" style="28" customWidth="1"/>
    <col min="41" max="41" width="1.7109375" style="28" customWidth="1"/>
    <col min="42" max="42" width="2" style="28" customWidth="1"/>
    <col min="43" max="43" width="2.7109375" style="28" customWidth="1"/>
    <col min="44" max="44" width="5.140625" style="28" customWidth="1"/>
    <col min="45" max="45" width="7" style="28" customWidth="1"/>
    <col min="46" max="46" width="6.5703125" style="28" customWidth="1"/>
    <col min="47" max="47" width="4.7109375" style="28" customWidth="1"/>
    <col min="48" max="48" width="3" style="28" customWidth="1"/>
    <col min="49" max="49" width="0.7109375" style="28" customWidth="1"/>
    <col min="50" max="50" width="3" style="28" customWidth="1"/>
    <col min="51" max="51" width="0.7109375" style="28" customWidth="1"/>
    <col min="52" max="52" width="3" style="28" customWidth="1"/>
    <col min="53" max="53" width="0.7109375" style="28" customWidth="1"/>
    <col min="54" max="54" width="3" style="28" customWidth="1"/>
    <col min="55" max="55" width="0.7109375" style="28" customWidth="1"/>
    <col min="56" max="56" width="3" style="28" customWidth="1"/>
    <col min="57" max="57" width="0.7109375" style="28" customWidth="1"/>
    <col min="58" max="58" width="3" style="28" customWidth="1"/>
    <col min="59" max="59" width="0.7109375" style="28" customWidth="1"/>
    <col min="60" max="60" width="3" style="28" customWidth="1"/>
    <col min="61" max="61" width="2.28515625" style="28" customWidth="1"/>
    <col min="62" max="62" width="3" style="28" customWidth="1"/>
    <col min="63" max="63" width="5.42578125" style="28" customWidth="1"/>
    <col min="64" max="64" width="3" style="28" customWidth="1"/>
    <col min="65" max="65" width="0.7109375" style="28" customWidth="1"/>
    <col min="66" max="66" width="3" style="28" customWidth="1"/>
    <col min="67" max="67" width="0.7109375" style="28" customWidth="1"/>
    <col min="68" max="68" width="3" style="28" customWidth="1"/>
    <col min="69" max="69" width="0.7109375" style="28" customWidth="1"/>
    <col min="70" max="70" width="3" style="28" customWidth="1"/>
    <col min="71" max="71" width="0.7109375" style="28" customWidth="1"/>
    <col min="72" max="72" width="3" style="28" customWidth="1"/>
    <col min="73" max="73" width="0.85546875" style="28" customWidth="1"/>
    <col min="74" max="74" width="3" style="28" customWidth="1"/>
    <col min="75" max="75" width="0.7109375" style="28" customWidth="1"/>
    <col min="76" max="76" width="3" style="28" customWidth="1"/>
    <col min="77" max="77" width="2.28515625" style="28" customWidth="1"/>
    <col min="78" max="78" width="3" style="28" customWidth="1"/>
    <col min="79" max="79" width="1.28515625" style="28" customWidth="1"/>
    <col min="80" max="80" width="3.28515625" style="28" customWidth="1"/>
    <col min="81" max="81" width="2.85546875" style="28" customWidth="1"/>
    <col min="82" max="82" width="2.5703125" style="28" customWidth="1"/>
    <col min="83" max="83" width="1.7109375" style="28" customWidth="1"/>
    <col min="84" max="84" width="65.28515625" style="28" customWidth="1"/>
    <col min="85" max="16384" width="11.42578125" style="28"/>
  </cols>
  <sheetData>
    <row r="1" spans="2:83" ht="7.5" customHeight="1" x14ac:dyDescent="0.25"/>
    <row r="2" spans="2:83" ht="26.25" customHeight="1" x14ac:dyDescent="0.35">
      <c r="B2" s="29"/>
      <c r="C2" s="1033" t="str">
        <f>CONCATENATE('CALCULS Eau potable'!D8,'CALCULS Eau potable'!G8)</f>
        <v xml:space="preserve">MUNICIPALITÉ:  </v>
      </c>
      <c r="D2" s="30"/>
      <c r="E2" s="31"/>
      <c r="F2" s="31"/>
      <c r="G2" s="31"/>
      <c r="H2" s="31"/>
      <c r="I2" s="31"/>
      <c r="J2" s="31"/>
      <c r="K2" s="31"/>
      <c r="L2" s="31"/>
      <c r="M2" s="31"/>
      <c r="N2" s="31"/>
      <c r="O2" s="31"/>
      <c r="P2" s="31"/>
      <c r="Q2" s="31"/>
      <c r="R2" s="31"/>
      <c r="S2" s="31"/>
      <c r="T2" s="31"/>
      <c r="U2" s="31"/>
      <c r="V2" s="32"/>
      <c r="W2" s="32"/>
      <c r="X2" s="32"/>
      <c r="Y2" s="32"/>
      <c r="Z2" s="3341" t="s">
        <v>11</v>
      </c>
      <c r="AA2" s="3341"/>
      <c r="AB2" s="3341"/>
      <c r="AC2" s="3341"/>
      <c r="AD2" s="3341"/>
      <c r="AE2" s="3341"/>
      <c r="AF2" s="3341"/>
      <c r="AG2" s="3341"/>
      <c r="AH2" s="3341"/>
      <c r="AI2" s="3341"/>
      <c r="AJ2" s="3341"/>
      <c r="AK2" s="3341"/>
      <c r="AL2" s="3341"/>
      <c r="AM2" s="3341"/>
      <c r="AN2" s="3341"/>
      <c r="AO2" s="3341"/>
      <c r="AP2" s="3341"/>
      <c r="AQ2" s="3341"/>
      <c r="AR2" s="3341"/>
      <c r="AS2" s="3341"/>
      <c r="AT2" s="3341"/>
      <c r="AU2" s="3341"/>
      <c r="AV2" s="3341"/>
      <c r="AW2" s="3341"/>
      <c r="AX2" s="3341"/>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1"/>
      <c r="BZ2" s="31"/>
      <c r="CA2" s="32"/>
      <c r="CB2" s="32"/>
      <c r="CC2" s="1035" t="str">
        <f>CONCATENATE('CALCULS Eau potable'!D11,'CALCULS Eau potable'!G11)</f>
        <v xml:space="preserve">ANNÉE DU PGA:  </v>
      </c>
      <c r="CD2" s="32"/>
      <c r="CE2" s="33"/>
    </row>
    <row r="3" spans="2:83" ht="15.75" customHeight="1" x14ac:dyDescent="0.35">
      <c r="B3" s="29"/>
      <c r="C3" s="1036" t="str">
        <f>CONCATENATE('CALCULS Eau potable'!D10,'CALCULS Eau potable'!G10)</f>
        <v xml:space="preserve">RÉGION ADMINISTRATIVE:  </v>
      </c>
      <c r="D3" s="30"/>
      <c r="E3" s="31"/>
      <c r="F3" s="31"/>
      <c r="G3" s="31"/>
      <c r="H3" s="31"/>
      <c r="I3" s="31"/>
      <c r="J3" s="31"/>
      <c r="K3" s="31"/>
      <c r="L3" s="31"/>
      <c r="M3" s="31"/>
      <c r="N3" s="31"/>
      <c r="O3" s="31"/>
      <c r="P3" s="31"/>
      <c r="Q3" s="31"/>
      <c r="R3" s="31"/>
      <c r="S3" s="31"/>
      <c r="T3" s="31"/>
      <c r="U3" s="31"/>
      <c r="V3" s="32"/>
      <c r="W3" s="32"/>
      <c r="X3" s="32"/>
      <c r="Y3" s="32"/>
      <c r="Z3" s="3361" t="s">
        <v>121</v>
      </c>
      <c r="AA3" s="3361"/>
      <c r="AB3" s="3361"/>
      <c r="AC3" s="3361"/>
      <c r="AD3" s="3361"/>
      <c r="AE3" s="3361"/>
      <c r="AF3" s="3361"/>
      <c r="AG3" s="3361"/>
      <c r="AH3" s="3361"/>
      <c r="AI3" s="3361"/>
      <c r="AJ3" s="3361"/>
      <c r="AK3" s="3361"/>
      <c r="AL3" s="3361"/>
      <c r="AM3" s="3361"/>
      <c r="AN3" s="3361"/>
      <c r="AO3" s="3361"/>
      <c r="AP3" s="3361"/>
      <c r="AQ3" s="3361"/>
      <c r="AR3" s="3361"/>
      <c r="AS3" s="3361"/>
      <c r="AT3" s="3361"/>
      <c r="AU3" s="3361"/>
      <c r="AV3" s="3361"/>
      <c r="AW3" s="3361"/>
      <c r="AX3" s="3361"/>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1"/>
      <c r="BZ3" s="31"/>
      <c r="CA3" s="32"/>
      <c r="CB3" s="32"/>
      <c r="CC3" s="1037" t="str">
        <f>CONCATENATE('CALCULS Eau potable'!G12,'CALCULS Eau potable'!H12,'CALCULS Eau potable'!I12)</f>
        <v>( PGA remis par la municipalité)</v>
      </c>
      <c r="CD3" s="32"/>
      <c r="CE3" s="33"/>
    </row>
    <row r="4" spans="2:83" ht="22.5" customHeight="1" x14ac:dyDescent="0.25">
      <c r="B4" s="29"/>
      <c r="C4" s="1036" t="str">
        <f>CONCATENATE('CALCULS Eau potable'!D9,'CALCULS Eau potable'!G9)</f>
        <v xml:space="preserve">CODE GÉOGRAPHIQUE:  </v>
      </c>
      <c r="D4" s="30"/>
      <c r="E4" s="31"/>
      <c r="F4" s="31"/>
      <c r="G4" s="31"/>
      <c r="H4" s="31"/>
      <c r="I4" s="31"/>
      <c r="J4" s="31"/>
      <c r="K4" s="31"/>
      <c r="L4" s="31"/>
      <c r="M4" s="31"/>
      <c r="N4" s="31"/>
      <c r="O4" s="31"/>
      <c r="P4" s="31"/>
      <c r="Q4" s="31"/>
      <c r="R4" s="31"/>
      <c r="S4" s="31"/>
      <c r="T4" s="31"/>
      <c r="U4" s="31"/>
      <c r="V4" s="34"/>
      <c r="W4" s="34"/>
      <c r="X4" s="34"/>
      <c r="Y4" s="34"/>
      <c r="Z4" s="3361"/>
      <c r="AA4" s="3361"/>
      <c r="AB4" s="3361"/>
      <c r="AC4" s="3361"/>
      <c r="AD4" s="3361"/>
      <c r="AE4" s="3361"/>
      <c r="AF4" s="3361"/>
      <c r="AG4" s="3361"/>
      <c r="AH4" s="3361"/>
      <c r="AI4" s="3361"/>
      <c r="AJ4" s="3361"/>
      <c r="AK4" s="3361"/>
      <c r="AL4" s="3361"/>
      <c r="AM4" s="3361"/>
      <c r="AN4" s="3361"/>
      <c r="AO4" s="3361"/>
      <c r="AP4" s="3361"/>
      <c r="AQ4" s="3361"/>
      <c r="AR4" s="3361"/>
      <c r="AS4" s="3361"/>
      <c r="AT4" s="3361"/>
      <c r="AU4" s="3361"/>
      <c r="AV4" s="3361"/>
      <c r="AW4" s="3361"/>
      <c r="AX4" s="3361"/>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1034" t="str">
        <f>'CALCULS Eau potable'!D13</f>
        <v>DATE DE COMPLÉTION DU FORMULAIRE:</v>
      </c>
      <c r="BY4" s="3386" t="str">
        <f>'CALCULS Eau potable'!G13</f>
        <v/>
      </c>
      <c r="BZ4" s="3386"/>
      <c r="CA4" s="3386"/>
      <c r="CB4" s="3386"/>
      <c r="CC4" s="3386"/>
      <c r="CD4" s="34"/>
      <c r="CE4" s="35"/>
    </row>
    <row r="5" spans="2:83" ht="6.75" customHeight="1" x14ac:dyDescent="0.25">
      <c r="B5" s="29"/>
      <c r="C5" s="1036"/>
      <c r="D5" s="30"/>
      <c r="E5" s="31"/>
      <c r="F5" s="31"/>
      <c r="G5" s="31"/>
      <c r="H5" s="31"/>
      <c r="I5" s="31"/>
      <c r="J5" s="31"/>
      <c r="K5" s="31"/>
      <c r="L5" s="31"/>
      <c r="M5" s="31"/>
      <c r="N5" s="31"/>
      <c r="O5" s="31"/>
      <c r="P5" s="31"/>
      <c r="Q5" s="31"/>
      <c r="R5" s="31"/>
      <c r="S5" s="31"/>
      <c r="T5" s="31"/>
      <c r="U5" s="31"/>
      <c r="V5" s="34"/>
      <c r="W5" s="34"/>
      <c r="X5" s="34"/>
      <c r="Y5" s="34"/>
      <c r="Z5" s="1276"/>
      <c r="AA5" s="1276"/>
      <c r="AB5" s="1276"/>
      <c r="AC5" s="1276"/>
      <c r="AD5" s="1276"/>
      <c r="AE5" s="1276"/>
      <c r="AF5" s="1276"/>
      <c r="AG5" s="1276"/>
      <c r="AH5" s="1276"/>
      <c r="AI5" s="1276"/>
      <c r="AJ5" s="1276"/>
      <c r="AK5" s="1276"/>
      <c r="AL5" s="1276"/>
      <c r="AM5" s="1276"/>
      <c r="AN5" s="1276"/>
      <c r="AO5" s="1276"/>
      <c r="AP5" s="1276"/>
      <c r="AQ5" s="1276"/>
      <c r="AR5" s="1276"/>
      <c r="AS5" s="1276"/>
      <c r="AT5" s="1276"/>
      <c r="AU5" s="1276"/>
      <c r="AV5" s="1276"/>
      <c r="AW5" s="1276"/>
      <c r="AX5" s="1276"/>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1"/>
      <c r="BZ5" s="31"/>
      <c r="CA5" s="34"/>
      <c r="CB5" s="34"/>
      <c r="CC5" s="1034"/>
      <c r="CD5" s="34"/>
      <c r="CE5" s="35"/>
    </row>
    <row r="6" spans="2:83" ht="21.75" customHeight="1" x14ac:dyDescent="0.25">
      <c r="B6" s="600"/>
      <c r="C6" s="599"/>
      <c r="BR6" s="3385" t="s">
        <v>2149</v>
      </c>
      <c r="BS6" s="3385"/>
      <c r="BT6" s="3385"/>
      <c r="BU6" s="3385"/>
      <c r="BV6" s="3385"/>
      <c r="BW6" s="3385"/>
      <c r="BX6" s="3385"/>
      <c r="BY6" s="3385"/>
      <c r="BZ6" s="3385"/>
      <c r="CA6" s="3385"/>
      <c r="CB6" s="3385"/>
      <c r="CC6" s="3385"/>
      <c r="CD6" s="3385"/>
    </row>
    <row r="7" spans="2:83" ht="16.5" customHeight="1" x14ac:dyDescent="0.25"/>
    <row r="8" spans="2:83" ht="22.5" customHeight="1" x14ac:dyDescent="0.25">
      <c r="B8" s="36"/>
      <c r="C8" s="1031" t="s">
        <v>24</v>
      </c>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7"/>
      <c r="AR8" s="37"/>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6"/>
      <c r="BZ8" s="39"/>
      <c r="CA8" s="36"/>
      <c r="CB8" s="3387"/>
      <c r="CC8" s="3387"/>
      <c r="CD8" s="38"/>
    </row>
    <row r="9" spans="2:83" ht="6.75" customHeight="1" x14ac:dyDescent="0.25"/>
    <row r="10" spans="2:83" ht="12" customHeight="1" x14ac:dyDescent="0.25">
      <c r="B10" s="40"/>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2"/>
      <c r="CE10" s="43"/>
    </row>
    <row r="11" spans="2:83" ht="9" customHeight="1" x14ac:dyDescent="0.25">
      <c r="B11" s="44"/>
      <c r="C11" s="45"/>
      <c r="D11" s="46"/>
      <c r="E11" s="46"/>
      <c r="F11" s="46"/>
      <c r="G11" s="46"/>
      <c r="H11" s="46"/>
      <c r="I11" s="46"/>
      <c r="J11" s="46"/>
      <c r="K11" s="46"/>
      <c r="L11" s="46"/>
      <c r="M11" s="46"/>
      <c r="N11" s="46"/>
      <c r="O11" s="46"/>
      <c r="P11" s="46"/>
      <c r="Q11" s="46"/>
      <c r="R11" s="46"/>
      <c r="S11" s="46"/>
      <c r="T11" s="46"/>
      <c r="U11" s="46"/>
      <c r="V11" s="46"/>
      <c r="W11" s="111"/>
      <c r="X11" s="111"/>
      <c r="Y11" s="111"/>
      <c r="Z11" s="111"/>
      <c r="AA11" s="112"/>
      <c r="AB11" s="1003"/>
      <c r="AC11" s="45"/>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7"/>
      <c r="CD11" s="49"/>
      <c r="CE11" s="43"/>
    </row>
    <row r="12" spans="2:83" ht="21.75" customHeight="1" x14ac:dyDescent="0.3">
      <c r="B12" s="44"/>
      <c r="C12" s="50"/>
      <c r="D12" s="51" t="s">
        <v>1830</v>
      </c>
      <c r="E12" s="52"/>
      <c r="F12" s="52"/>
      <c r="G12" s="53"/>
      <c r="H12" s="54"/>
      <c r="I12" s="53"/>
      <c r="J12" s="24"/>
      <c r="K12" s="53"/>
      <c r="L12" s="25"/>
      <c r="M12" s="53"/>
      <c r="N12" s="25"/>
      <c r="O12" s="53"/>
      <c r="P12" s="25"/>
      <c r="Q12" s="53"/>
      <c r="R12" s="25"/>
      <c r="S12" s="25"/>
      <c r="T12" s="55"/>
      <c r="V12" s="52"/>
      <c r="W12" s="53"/>
      <c r="X12" s="3323">
        <f>'CALCULS Eau potable'!J30</f>
        <v>0</v>
      </c>
      <c r="Y12" s="3323"/>
      <c r="Z12" s="3323"/>
      <c r="AA12" s="995"/>
      <c r="AB12" s="999"/>
      <c r="AC12" s="56"/>
      <c r="AD12" s="57" t="s">
        <v>51</v>
      </c>
      <c r="AE12" s="53"/>
      <c r="AF12" s="52"/>
      <c r="AG12" s="52"/>
      <c r="AH12" s="52"/>
      <c r="AI12" s="25"/>
      <c r="AJ12" s="58"/>
      <c r="AK12" s="52"/>
      <c r="AL12" s="52"/>
      <c r="AM12" s="52"/>
      <c r="AN12" s="59"/>
      <c r="AO12" s="59"/>
      <c r="AP12" s="59"/>
      <c r="AQ12" s="1163"/>
      <c r="AR12" s="1163"/>
      <c r="AS12" s="52"/>
      <c r="AT12" s="52"/>
      <c r="AU12" s="52"/>
      <c r="AV12" s="53"/>
      <c r="AW12" s="54"/>
      <c r="AX12" s="53"/>
      <c r="AY12" s="24"/>
      <c r="AZ12" s="53"/>
      <c r="BA12" s="25"/>
      <c r="BB12" s="53"/>
      <c r="BC12" s="25"/>
      <c r="BD12" s="53"/>
      <c r="BE12" s="25"/>
      <c r="BF12" s="53"/>
      <c r="BG12" s="25"/>
      <c r="BH12" s="25"/>
      <c r="BI12" s="58"/>
      <c r="BJ12" s="60"/>
      <c r="BK12" s="52"/>
      <c r="BL12" s="53"/>
      <c r="BM12" s="54"/>
      <c r="BN12" s="53"/>
      <c r="BO12" s="24"/>
      <c r="BP12" s="53"/>
      <c r="BQ12" s="25"/>
      <c r="BR12" s="53"/>
      <c r="BS12" s="25"/>
      <c r="BT12" s="53"/>
      <c r="BU12" s="52"/>
      <c r="BV12" s="52"/>
      <c r="BW12" s="52"/>
      <c r="BX12" s="25"/>
      <c r="BY12" s="58"/>
      <c r="BZ12" s="52"/>
      <c r="CA12" s="52"/>
      <c r="CB12" s="52"/>
      <c r="CC12" s="61"/>
      <c r="CD12" s="49"/>
      <c r="CE12" s="43"/>
    </row>
    <row r="13" spans="2:83" ht="18" customHeight="1" x14ac:dyDescent="0.3">
      <c r="B13" s="44"/>
      <c r="C13" s="50"/>
      <c r="D13" s="62"/>
      <c r="E13" s="52"/>
      <c r="F13" s="52"/>
      <c r="G13" s="53"/>
      <c r="H13" s="54"/>
      <c r="I13" s="53"/>
      <c r="J13" s="24"/>
      <c r="K13" s="53"/>
      <c r="L13" s="25"/>
      <c r="M13" s="53"/>
      <c r="N13" s="25"/>
      <c r="O13" s="53"/>
      <c r="P13" s="25"/>
      <c r="Q13" s="53"/>
      <c r="R13" s="25"/>
      <c r="S13" s="25"/>
      <c r="T13" s="58"/>
      <c r="U13" s="60"/>
      <c r="V13" s="52"/>
      <c r="W13" s="53"/>
      <c r="X13" s="54"/>
      <c r="Y13" s="53"/>
      <c r="Z13" s="24"/>
      <c r="AA13" s="996"/>
      <c r="AB13" s="999"/>
      <c r="AC13" s="56"/>
      <c r="AD13" s="994"/>
      <c r="AE13" s="1038" t="s">
        <v>154</v>
      </c>
      <c r="AF13" s="1020"/>
      <c r="AG13" s="1020"/>
      <c r="AH13" s="1020"/>
      <c r="AI13" s="1021"/>
      <c r="AJ13" s="1022"/>
      <c r="AK13" s="1020"/>
      <c r="AL13" s="1020"/>
      <c r="AM13" s="1020"/>
      <c r="AN13" s="1023"/>
      <c r="AO13" s="1023"/>
      <c r="AP13" s="1023"/>
      <c r="AQ13" s="1024"/>
      <c r="AR13" s="1024"/>
      <c r="AS13" s="1020"/>
      <c r="AT13" s="1020"/>
      <c r="AU13" s="1020"/>
      <c r="AV13" s="1025"/>
      <c r="AW13" s="1026"/>
      <c r="AX13" s="2561" t="str">
        <f>IF(('FORMULAIRE PGA Eau potable'!$H$81='MENU DÉROULANT'!$C$28),"(Aucun actif)","")</f>
        <v/>
      </c>
      <c r="AY13" s="1027"/>
      <c r="AZ13" s="53"/>
      <c r="BA13" s="1038" t="s">
        <v>44</v>
      </c>
      <c r="BB13" s="1025"/>
      <c r="BC13" s="1021"/>
      <c r="BD13" s="1025"/>
      <c r="BE13" s="1021"/>
      <c r="BF13" s="1025"/>
      <c r="BG13" s="1021"/>
      <c r="BH13" s="1021"/>
      <c r="BI13" s="1022"/>
      <c r="BJ13" s="1028"/>
      <c r="BK13" s="1020"/>
      <c r="BL13" s="1025"/>
      <c r="BM13" s="1026"/>
      <c r="BN13" s="1025"/>
      <c r="BO13" s="1029"/>
      <c r="BP13" s="1025"/>
      <c r="BQ13" s="1021"/>
      <c r="BR13" s="1025"/>
      <c r="BS13" s="1021"/>
      <c r="BT13" s="1025"/>
      <c r="BU13" s="1020"/>
      <c r="BV13" s="1020"/>
      <c r="BW13" s="1020"/>
      <c r="BX13" s="1021"/>
      <c r="BY13" s="1022"/>
      <c r="BZ13" s="1020"/>
      <c r="CA13" s="2561" t="str">
        <f>IF(('FORMULAIRE PGA Eau potable'!$H$120='MENU DÉROULANT'!$F$28),"(Aucun actif)","")</f>
        <v/>
      </c>
      <c r="CB13" s="1030"/>
      <c r="CC13" s="61"/>
      <c r="CD13" s="49"/>
      <c r="CE13" s="43"/>
    </row>
    <row r="14" spans="2:83" ht="11.25" customHeight="1" x14ac:dyDescent="0.3">
      <c r="B14" s="44"/>
      <c r="C14" s="50"/>
      <c r="D14" s="62"/>
      <c r="E14" s="52"/>
      <c r="F14" s="52"/>
      <c r="G14" s="53"/>
      <c r="H14" s="54"/>
      <c r="I14" s="53"/>
      <c r="J14" s="24"/>
      <c r="K14" s="53"/>
      <c r="L14" s="25"/>
      <c r="M14" s="53"/>
      <c r="N14" s="25"/>
      <c r="O14" s="53"/>
      <c r="P14" s="25"/>
      <c r="Q14" s="53"/>
      <c r="R14" s="25"/>
      <c r="S14" s="25"/>
      <c r="T14" s="58"/>
      <c r="U14" s="60"/>
      <c r="V14" s="52"/>
      <c r="W14" s="53"/>
      <c r="X14" s="54"/>
      <c r="Y14" s="53"/>
      <c r="Z14" s="24"/>
      <c r="AA14" s="995"/>
      <c r="AB14" s="999"/>
      <c r="AC14" s="56"/>
      <c r="AD14" s="25"/>
      <c r="AE14" s="1005"/>
      <c r="AF14" s="1006"/>
      <c r="AG14" s="1006"/>
      <c r="AH14" s="1006"/>
      <c r="AI14" s="1007"/>
      <c r="AJ14" s="1008"/>
      <c r="AK14" s="1006"/>
      <c r="AL14" s="1006"/>
      <c r="AM14" s="1006"/>
      <c r="AN14" s="46"/>
      <c r="AO14" s="46"/>
      <c r="AP14" s="46"/>
      <c r="AQ14" s="1009"/>
      <c r="AR14" s="1009"/>
      <c r="AS14" s="1006"/>
      <c r="AT14" s="1006"/>
      <c r="AU14" s="1006"/>
      <c r="AV14" s="1010"/>
      <c r="AW14" s="1011"/>
      <c r="AX14" s="1010"/>
      <c r="AY14" s="1012"/>
      <c r="AZ14" s="53"/>
      <c r="BA14" s="604"/>
      <c r="BB14" s="53"/>
      <c r="BC14" s="25"/>
      <c r="BD14" s="53"/>
      <c r="BE14" s="25"/>
      <c r="BF14" s="53"/>
      <c r="BG14" s="25"/>
      <c r="BH14" s="25"/>
      <c r="BI14" s="58"/>
      <c r="BJ14" s="60"/>
      <c r="BK14" s="52"/>
      <c r="BL14" s="53"/>
      <c r="BM14" s="54"/>
      <c r="BN14" s="53"/>
      <c r="BO14" s="24"/>
      <c r="BP14" s="53"/>
      <c r="BQ14" s="25"/>
      <c r="BR14" s="53"/>
      <c r="BS14" s="25"/>
      <c r="BT14" s="53"/>
      <c r="BU14" s="52"/>
      <c r="BV14" s="52"/>
      <c r="BW14" s="52"/>
      <c r="BX14" s="25"/>
      <c r="BY14" s="58"/>
      <c r="BZ14" s="52"/>
      <c r="CA14" s="52"/>
      <c r="CB14" s="450"/>
      <c r="CC14" s="61"/>
      <c r="CD14" s="49"/>
      <c r="CE14" s="43"/>
    </row>
    <row r="15" spans="2:83" s="72" customFormat="1" ht="15" customHeight="1" x14ac:dyDescent="0.25">
      <c r="B15" s="63"/>
      <c r="C15" s="64"/>
      <c r="D15" s="3388"/>
      <c r="E15" s="3388"/>
      <c r="F15" s="3388"/>
      <c r="G15" s="3388"/>
      <c r="H15" s="3388"/>
      <c r="I15" s="3388"/>
      <c r="J15" s="3388"/>
      <c r="K15" s="3388"/>
      <c r="L15" s="3388"/>
      <c r="M15" s="3388"/>
      <c r="N15" s="3388"/>
      <c r="O15" s="3388"/>
      <c r="P15" s="3388"/>
      <c r="Q15" s="3388"/>
      <c r="R15" s="3388"/>
      <c r="S15" s="3388"/>
      <c r="T15" s="3388"/>
      <c r="U15" s="3388"/>
      <c r="V15" s="66"/>
      <c r="W15" s="66"/>
      <c r="X15" s="66"/>
      <c r="Y15" s="66"/>
      <c r="Z15" s="1163"/>
      <c r="AA15" s="997"/>
      <c r="AB15" s="1000"/>
      <c r="AC15" s="68"/>
      <c r="AD15" s="66"/>
      <c r="AE15" s="1050" t="s">
        <v>69</v>
      </c>
      <c r="AF15" s="1049"/>
      <c r="AG15" s="66"/>
      <c r="AH15" s="66"/>
      <c r="AI15" s="66"/>
      <c r="AJ15" s="2604" t="str">
        <f>'CALCULS Eau potable'!E38</f>
        <v/>
      </c>
      <c r="AK15" s="66"/>
      <c r="AL15" s="66"/>
      <c r="AM15" s="66"/>
      <c r="AN15" s="59"/>
      <c r="AO15" s="59"/>
      <c r="AP15" s="59"/>
      <c r="AQ15" s="221"/>
      <c r="AR15" s="221"/>
      <c r="AS15" s="221"/>
      <c r="AT15" s="221"/>
      <c r="AU15" s="221"/>
      <c r="AV15" s="221"/>
      <c r="AW15" s="221"/>
      <c r="AX15" s="221"/>
      <c r="AY15" s="1013"/>
      <c r="BA15" s="1050" t="s">
        <v>69</v>
      </c>
      <c r="BB15" s="221"/>
      <c r="BC15" s="221"/>
      <c r="BD15" s="221"/>
      <c r="BE15" s="221"/>
      <c r="BF15" s="2604"/>
      <c r="BG15" s="2604" t="str">
        <f>'CALCULS Eau potable'!E46</f>
        <v/>
      </c>
      <c r="BH15" s="2604"/>
      <c r="BI15" s="65"/>
      <c r="BJ15" s="66"/>
      <c r="BK15" s="66"/>
      <c r="BL15" s="66"/>
      <c r="BM15" s="66"/>
      <c r="BN15" s="66"/>
      <c r="BO15" s="66"/>
      <c r="BP15" s="66"/>
      <c r="BQ15" s="66"/>
      <c r="BR15" s="66"/>
      <c r="BS15" s="66"/>
      <c r="BT15" s="66"/>
      <c r="BU15" s="66"/>
      <c r="BV15" s="66"/>
      <c r="BW15" s="66"/>
      <c r="BX15" s="66"/>
      <c r="BY15" s="66"/>
      <c r="BZ15" s="66"/>
      <c r="CA15" s="66"/>
      <c r="CB15" s="67"/>
      <c r="CC15" s="69"/>
      <c r="CD15" s="70"/>
      <c r="CE15" s="71"/>
    </row>
    <row r="16" spans="2:83" s="72" customFormat="1" ht="18" customHeight="1" x14ac:dyDescent="0.3">
      <c r="B16" s="63"/>
      <c r="C16" s="64"/>
      <c r="D16" s="3388"/>
      <c r="E16" s="3388"/>
      <c r="F16" s="3388"/>
      <c r="G16" s="3388"/>
      <c r="H16" s="3388"/>
      <c r="I16" s="3388"/>
      <c r="J16" s="3388"/>
      <c r="K16" s="3388"/>
      <c r="L16" s="3388"/>
      <c r="M16" s="3388"/>
      <c r="N16" s="3388"/>
      <c r="O16" s="3388"/>
      <c r="P16" s="3388"/>
      <c r="Q16" s="3388"/>
      <c r="R16" s="3388"/>
      <c r="S16" s="3388"/>
      <c r="T16" s="3388"/>
      <c r="U16" s="3388"/>
      <c r="V16" s="66"/>
      <c r="W16" s="66"/>
      <c r="X16" s="66"/>
      <c r="Y16" s="66"/>
      <c r="Z16" s="66"/>
      <c r="AA16" s="997"/>
      <c r="AB16" s="1000"/>
      <c r="AC16" s="68"/>
      <c r="AD16" s="66"/>
      <c r="AE16" s="68"/>
      <c r="AF16" s="3370">
        <f>'CALCULS Eau potable'!L61</f>
        <v>0</v>
      </c>
      <c r="AG16" s="3370"/>
      <c r="AH16" s="3370"/>
      <c r="AI16" s="66"/>
      <c r="AJ16" s="66"/>
      <c r="AK16" s="66"/>
      <c r="AL16" s="66"/>
      <c r="AM16" s="66"/>
      <c r="AN16" s="59"/>
      <c r="AO16" s="59"/>
      <c r="AP16" s="59"/>
      <c r="AQ16" s="65"/>
      <c r="AR16" s="65"/>
      <c r="AS16" s="65"/>
      <c r="AT16" s="65"/>
      <c r="AU16" s="65"/>
      <c r="AV16" s="65"/>
      <c r="AW16" s="65"/>
      <c r="AX16" s="65"/>
      <c r="AY16" s="1014"/>
      <c r="BA16" s="1017"/>
      <c r="BB16" s="3370">
        <f>'CALCULS Eau potable'!L63</f>
        <v>0</v>
      </c>
      <c r="BC16" s="3370"/>
      <c r="BD16" s="3370"/>
      <c r="BE16" s="65"/>
      <c r="BF16" s="65"/>
      <c r="BG16" s="65"/>
      <c r="BH16" s="59"/>
      <c r="BI16" s="65"/>
      <c r="BJ16" s="66"/>
      <c r="BK16" s="66"/>
      <c r="BL16" s="66"/>
      <c r="BM16" s="66"/>
      <c r="BN16" s="66"/>
      <c r="BO16" s="66"/>
      <c r="BP16" s="66"/>
      <c r="BQ16" s="66"/>
      <c r="BR16" s="66"/>
      <c r="BS16" s="66"/>
      <c r="BT16" s="66"/>
      <c r="BU16" s="66"/>
      <c r="BV16" s="66"/>
      <c r="BW16" s="66"/>
      <c r="BX16" s="66"/>
      <c r="BY16" s="66"/>
      <c r="BZ16" s="66"/>
      <c r="CA16" s="66"/>
      <c r="CB16" s="67"/>
      <c r="CC16" s="69"/>
      <c r="CD16" s="70"/>
      <c r="CE16" s="71"/>
    </row>
    <row r="17" spans="2:83" s="72" customFormat="1" ht="73.5" customHeight="1" x14ac:dyDescent="0.25">
      <c r="B17" s="63"/>
      <c r="C17" s="64"/>
      <c r="D17" s="3388"/>
      <c r="E17" s="3388"/>
      <c r="F17" s="3388"/>
      <c r="G17" s="3388"/>
      <c r="H17" s="3388"/>
      <c r="I17" s="3388"/>
      <c r="J17" s="3388"/>
      <c r="K17" s="3388"/>
      <c r="L17" s="3388"/>
      <c r="M17" s="3388"/>
      <c r="N17" s="3388"/>
      <c r="O17" s="3388"/>
      <c r="P17" s="3388"/>
      <c r="Q17" s="3388"/>
      <c r="R17" s="3388"/>
      <c r="S17" s="3388"/>
      <c r="T17" s="3388"/>
      <c r="U17" s="3388"/>
      <c r="V17" s="78"/>
      <c r="W17" s="76"/>
      <c r="X17" s="73"/>
      <c r="Y17" s="76"/>
      <c r="Z17" s="81"/>
      <c r="AA17" s="998"/>
      <c r="AB17" s="1001"/>
      <c r="AC17" s="80"/>
      <c r="AD17" s="76"/>
      <c r="AE17" s="80"/>
      <c r="AF17" s="76"/>
      <c r="AG17" s="73"/>
      <c r="AH17" s="3348"/>
      <c r="AI17" s="3348"/>
      <c r="AJ17" s="3348"/>
      <c r="AK17" s="3348"/>
      <c r="AL17" s="3348"/>
      <c r="AM17" s="77"/>
      <c r="AN17" s="82"/>
      <c r="AO17" s="75"/>
      <c r="AP17" s="75"/>
      <c r="AQ17" s="82"/>
      <c r="AR17" s="82"/>
      <c r="AS17" s="73"/>
      <c r="AT17" s="73"/>
      <c r="AU17" s="74"/>
      <c r="AV17" s="75"/>
      <c r="AW17" s="82"/>
      <c r="AX17" s="73"/>
      <c r="AY17" s="79"/>
      <c r="AZ17" s="1016"/>
      <c r="BA17" s="1018"/>
      <c r="BB17" s="1016"/>
      <c r="BC17" s="1016"/>
      <c r="BD17" s="1016"/>
      <c r="BE17" s="1016"/>
      <c r="BF17" s="83"/>
      <c r="BG17" s="82"/>
      <c r="BH17" s="75"/>
      <c r="BI17" s="77"/>
      <c r="BJ17" s="78"/>
      <c r="BK17" s="78"/>
      <c r="BL17" s="82"/>
      <c r="BM17" s="82"/>
      <c r="BN17" s="73"/>
      <c r="BO17" s="81"/>
      <c r="BP17" s="76"/>
      <c r="BQ17" s="78"/>
      <c r="BR17" s="82"/>
      <c r="BS17" s="76"/>
      <c r="BT17" s="77"/>
      <c r="BU17" s="76"/>
      <c r="BV17" s="73"/>
      <c r="BW17" s="3348"/>
      <c r="BX17" s="3348"/>
      <c r="BY17" s="3348"/>
      <c r="BZ17" s="3348"/>
      <c r="CA17" s="3348"/>
      <c r="CB17" s="1019"/>
      <c r="CC17" s="84"/>
      <c r="CD17" s="70"/>
      <c r="CE17" s="71"/>
    </row>
    <row r="18" spans="2:83" s="72" customFormat="1" ht="11.25" customHeight="1" x14ac:dyDescent="0.25">
      <c r="B18" s="63"/>
      <c r="C18" s="64"/>
      <c r="D18" s="3388"/>
      <c r="E18" s="3388"/>
      <c r="F18" s="3388"/>
      <c r="G18" s="3388"/>
      <c r="H18" s="3388"/>
      <c r="I18" s="3388"/>
      <c r="J18" s="3388"/>
      <c r="K18" s="3388"/>
      <c r="L18" s="3388"/>
      <c r="M18" s="3388"/>
      <c r="N18" s="3388"/>
      <c r="O18" s="3388"/>
      <c r="P18" s="3388"/>
      <c r="Q18" s="3388"/>
      <c r="R18" s="3388"/>
      <c r="S18" s="3388"/>
      <c r="T18" s="3388"/>
      <c r="U18" s="3388"/>
      <c r="V18" s="75"/>
      <c r="W18" s="75"/>
      <c r="X18" s="75"/>
      <c r="Y18" s="75"/>
      <c r="Z18" s="75"/>
      <c r="AA18" s="175"/>
      <c r="AB18" s="1002"/>
      <c r="AC18" s="64"/>
      <c r="AD18" s="75"/>
      <c r="AE18" s="64"/>
      <c r="AF18" s="75"/>
      <c r="AG18" s="75"/>
      <c r="AH18" s="75"/>
      <c r="AI18" s="75"/>
      <c r="AJ18" s="75"/>
      <c r="AK18" s="75"/>
      <c r="AL18" s="75"/>
      <c r="AM18" s="75"/>
      <c r="AN18" s="75"/>
      <c r="AO18" s="75"/>
      <c r="AP18" s="75"/>
      <c r="AQ18" s="86"/>
      <c r="AR18" s="86"/>
      <c r="AS18" s="75"/>
      <c r="AT18" s="75"/>
      <c r="AU18" s="75"/>
      <c r="AV18" s="75"/>
      <c r="AW18" s="75"/>
      <c r="AX18" s="75"/>
      <c r="AY18" s="69"/>
      <c r="AZ18" s="75"/>
      <c r="BA18" s="64"/>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69"/>
      <c r="CC18" s="69"/>
      <c r="CD18" s="70"/>
      <c r="CE18" s="71"/>
    </row>
    <row r="19" spans="2:83" s="72" customFormat="1" ht="15" customHeight="1" x14ac:dyDescent="0.25">
      <c r="B19" s="63"/>
      <c r="C19" s="64"/>
      <c r="D19" s="3388"/>
      <c r="E19" s="3388"/>
      <c r="F19" s="3388"/>
      <c r="G19" s="3388"/>
      <c r="H19" s="3388"/>
      <c r="I19" s="3388"/>
      <c r="J19" s="3388"/>
      <c r="K19" s="3388"/>
      <c r="L19" s="3388"/>
      <c r="M19" s="3388"/>
      <c r="N19" s="3388"/>
      <c r="O19" s="3388"/>
      <c r="P19" s="3388"/>
      <c r="Q19" s="3388"/>
      <c r="R19" s="3388"/>
      <c r="S19" s="3388"/>
      <c r="T19" s="3388"/>
      <c r="U19" s="3388"/>
      <c r="V19" s="75"/>
      <c r="W19" s="75"/>
      <c r="X19" s="75"/>
      <c r="Y19" s="75"/>
      <c r="Z19" s="75"/>
      <c r="AA19" s="997"/>
      <c r="AB19" s="1000"/>
      <c r="AC19" s="64"/>
      <c r="AD19" s="75"/>
      <c r="AE19" s="1050" t="s">
        <v>77</v>
      </c>
      <c r="AF19" s="75"/>
      <c r="AG19" s="75"/>
      <c r="AH19" s="75"/>
      <c r="AI19" s="75"/>
      <c r="AK19" s="2604" t="str">
        <f>'CALCULS Eau potable'!E36</f>
        <v/>
      </c>
      <c r="AL19" s="2605"/>
      <c r="AM19" s="2605"/>
      <c r="AN19" s="2605"/>
      <c r="AO19" s="2605"/>
      <c r="AP19" s="2605"/>
      <c r="AQ19" s="2605"/>
      <c r="AR19" s="2605"/>
      <c r="AS19" s="2605"/>
      <c r="AT19" s="2605"/>
      <c r="AU19" s="2605"/>
      <c r="AV19" s="2605"/>
      <c r="AW19" s="2605"/>
      <c r="AX19" s="2605"/>
      <c r="AY19" s="1013"/>
      <c r="BA19" s="1050" t="s">
        <v>77</v>
      </c>
      <c r="BB19" s="75"/>
      <c r="BC19" s="75"/>
      <c r="BD19" s="75"/>
      <c r="BE19" s="75"/>
      <c r="BF19" s="75"/>
      <c r="BG19" s="75"/>
      <c r="BH19" s="2604" t="str">
        <f>'CALCULS Eau potable'!E44</f>
        <v/>
      </c>
      <c r="BI19" s="75"/>
      <c r="BJ19" s="75"/>
      <c r="BK19" s="75"/>
      <c r="BL19" s="75"/>
      <c r="BM19" s="75"/>
      <c r="BN19" s="75"/>
      <c r="BO19" s="75"/>
      <c r="BP19" s="75"/>
      <c r="BQ19" s="75"/>
      <c r="BR19" s="75"/>
      <c r="BS19" s="75"/>
      <c r="BT19" s="75"/>
      <c r="BU19" s="75"/>
      <c r="BV19" s="75"/>
      <c r="BW19" s="75"/>
      <c r="BX19" s="75"/>
      <c r="BY19" s="75"/>
      <c r="BZ19" s="75"/>
      <c r="CA19" s="75"/>
      <c r="CB19" s="69"/>
      <c r="CC19" s="69"/>
      <c r="CD19" s="70"/>
      <c r="CE19" s="71"/>
    </row>
    <row r="20" spans="2:83" s="72" customFormat="1" ht="18" customHeight="1" x14ac:dyDescent="0.3">
      <c r="B20" s="63"/>
      <c r="C20" s="64"/>
      <c r="D20" s="3388"/>
      <c r="E20" s="3388"/>
      <c r="F20" s="3388"/>
      <c r="G20" s="3388"/>
      <c r="H20" s="3388"/>
      <c r="I20" s="3388"/>
      <c r="J20" s="3388"/>
      <c r="K20" s="3388"/>
      <c r="L20" s="3388"/>
      <c r="M20" s="3388"/>
      <c r="N20" s="3388"/>
      <c r="O20" s="3388"/>
      <c r="P20" s="3388"/>
      <c r="Q20" s="3388"/>
      <c r="R20" s="3388"/>
      <c r="S20" s="3388"/>
      <c r="T20" s="3388"/>
      <c r="U20" s="3388"/>
      <c r="V20" s="75"/>
      <c r="W20" s="75"/>
      <c r="X20" s="75"/>
      <c r="Y20" s="75"/>
      <c r="Z20" s="75"/>
      <c r="AA20" s="997"/>
      <c r="AB20" s="1000"/>
      <c r="AC20" s="64"/>
      <c r="AD20" s="75"/>
      <c r="AE20" s="1015"/>
      <c r="AF20" s="3371">
        <f>'CALCULS Eau potable'!L62</f>
        <v>0</v>
      </c>
      <c r="AG20" s="3371"/>
      <c r="AH20" s="3371"/>
      <c r="AI20" s="75"/>
      <c r="AJ20" s="75"/>
      <c r="AK20" s="75"/>
      <c r="AL20" s="75"/>
      <c r="AM20" s="75"/>
      <c r="AN20" s="75"/>
      <c r="AO20" s="75"/>
      <c r="AP20" s="75"/>
      <c r="AQ20" s="86"/>
      <c r="AR20" s="86"/>
      <c r="AS20" s="75"/>
      <c r="AT20" s="75"/>
      <c r="AU20" s="75"/>
      <c r="AV20" s="75"/>
      <c r="AW20" s="75"/>
      <c r="AX20" s="75"/>
      <c r="AY20" s="1013"/>
      <c r="BA20" s="1015"/>
      <c r="BB20" s="3371">
        <f>'CALCULS Eau potable'!L64</f>
        <v>0</v>
      </c>
      <c r="BC20" s="3371"/>
      <c r="BD20" s="3371"/>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69"/>
      <c r="CC20" s="69"/>
      <c r="CD20" s="70"/>
      <c r="CE20" s="71"/>
    </row>
    <row r="21" spans="2:83" ht="78" customHeight="1" x14ac:dyDescent="0.25">
      <c r="B21" s="44"/>
      <c r="C21" s="50"/>
      <c r="D21" s="3388"/>
      <c r="E21" s="3388"/>
      <c r="F21" s="3388"/>
      <c r="G21" s="3388"/>
      <c r="H21" s="3388"/>
      <c r="I21" s="3388"/>
      <c r="J21" s="3388"/>
      <c r="K21" s="3388"/>
      <c r="L21" s="3388"/>
      <c r="M21" s="3388"/>
      <c r="N21" s="3388"/>
      <c r="O21" s="3388"/>
      <c r="P21" s="3388"/>
      <c r="Q21" s="3388"/>
      <c r="R21" s="3388"/>
      <c r="S21" s="3388"/>
      <c r="T21" s="3388"/>
      <c r="U21" s="3388"/>
      <c r="V21" s="59"/>
      <c r="W21" s="59"/>
      <c r="X21" s="59"/>
      <c r="Y21" s="59"/>
      <c r="Z21" s="59"/>
      <c r="AA21" s="114"/>
      <c r="AB21" s="1003"/>
      <c r="AC21" s="50"/>
      <c r="AD21" s="59"/>
      <c r="AE21" s="91"/>
      <c r="AF21" s="92"/>
      <c r="AG21" s="92"/>
      <c r="AH21" s="92"/>
      <c r="AI21" s="92"/>
      <c r="AJ21" s="92"/>
      <c r="AK21" s="92"/>
      <c r="AL21" s="92"/>
      <c r="AM21" s="92"/>
      <c r="AN21" s="92"/>
      <c r="AO21" s="92"/>
      <c r="AP21" s="92"/>
      <c r="AQ21" s="92"/>
      <c r="AR21" s="92"/>
      <c r="AS21" s="92"/>
      <c r="AT21" s="92"/>
      <c r="AU21" s="92"/>
      <c r="AV21" s="92"/>
      <c r="AW21" s="92"/>
      <c r="AX21" s="92"/>
      <c r="AY21" s="93"/>
      <c r="AZ21" s="59"/>
      <c r="BA21" s="91"/>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3"/>
      <c r="CC21" s="61"/>
      <c r="CD21" s="49"/>
      <c r="CE21" s="43"/>
    </row>
    <row r="22" spans="2:83" ht="12" customHeight="1" x14ac:dyDescent="0.25">
      <c r="B22" s="44"/>
      <c r="C22" s="91"/>
      <c r="D22" s="92"/>
      <c r="E22" s="92"/>
      <c r="F22" s="92"/>
      <c r="G22" s="92"/>
      <c r="H22" s="92"/>
      <c r="I22" s="92"/>
      <c r="J22" s="92"/>
      <c r="K22" s="92"/>
      <c r="L22" s="92"/>
      <c r="M22" s="92"/>
      <c r="N22" s="92"/>
      <c r="O22" s="92"/>
      <c r="P22" s="92"/>
      <c r="Q22" s="92"/>
      <c r="R22" s="92"/>
      <c r="S22" s="92"/>
      <c r="T22" s="92"/>
      <c r="U22" s="92"/>
      <c r="V22" s="92"/>
      <c r="W22" s="116"/>
      <c r="X22" s="116"/>
      <c r="Y22" s="116"/>
      <c r="Z22" s="116"/>
      <c r="AA22" s="117"/>
      <c r="AB22" s="1003"/>
      <c r="AC22" s="91"/>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3"/>
      <c r="CD22" s="49"/>
      <c r="CE22" s="43"/>
    </row>
    <row r="23" spans="2:83" ht="9" customHeight="1" x14ac:dyDescent="0.25">
      <c r="B23" s="94"/>
      <c r="C23" s="95"/>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c r="BV23" s="95"/>
      <c r="BW23" s="95"/>
      <c r="BX23" s="95"/>
      <c r="BY23" s="95"/>
      <c r="BZ23" s="95"/>
      <c r="CA23" s="95"/>
      <c r="CB23" s="95"/>
      <c r="CC23" s="95"/>
      <c r="CD23" s="96"/>
      <c r="CE23" s="43"/>
    </row>
    <row r="24" spans="2:83" ht="15.75" customHeight="1" x14ac:dyDescent="0.25">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row>
    <row r="25" spans="2:83" ht="22.5" customHeight="1" x14ac:dyDescent="0.25">
      <c r="B25" s="36"/>
      <c r="C25" s="1031" t="s">
        <v>165</v>
      </c>
      <c r="D25" s="38"/>
      <c r="E25" s="38"/>
      <c r="F25" s="38"/>
      <c r="G25" s="38"/>
      <c r="H25" s="38"/>
      <c r="I25" s="38"/>
      <c r="J25" s="38"/>
      <c r="K25" s="38"/>
      <c r="L25" s="38"/>
      <c r="M25" s="38"/>
      <c r="N25" s="38"/>
      <c r="O25" s="38"/>
      <c r="P25" s="38"/>
      <c r="Q25" s="38"/>
      <c r="R25" s="38"/>
      <c r="S25" s="38"/>
      <c r="T25" s="39"/>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38"/>
      <c r="BP25" s="38"/>
      <c r="BQ25" s="38"/>
      <c r="BR25" s="38"/>
      <c r="BS25" s="38"/>
      <c r="BT25" s="38"/>
      <c r="BU25" s="38"/>
      <c r="BV25" s="38"/>
      <c r="BW25" s="38"/>
      <c r="BX25" s="38"/>
      <c r="BY25" s="38"/>
      <c r="BZ25" s="39"/>
      <c r="CA25" s="36"/>
      <c r="CB25" s="3311"/>
      <c r="CC25" s="3311"/>
      <c r="CD25" s="38"/>
    </row>
    <row r="26" spans="2:83" ht="6.75" customHeight="1" x14ac:dyDescent="0.25"/>
    <row r="27" spans="2:83" ht="14.25" customHeight="1" x14ac:dyDescent="0.25">
      <c r="B27" s="40"/>
      <c r="C27" s="41"/>
      <c r="D27" s="41"/>
      <c r="E27" s="41"/>
      <c r="F27" s="41"/>
      <c r="G27" s="41"/>
      <c r="H27" s="41"/>
      <c r="I27" s="41"/>
      <c r="J27" s="41"/>
      <c r="K27" s="41"/>
      <c r="L27" s="41"/>
      <c r="M27" s="41"/>
      <c r="N27" s="41"/>
      <c r="O27" s="41"/>
      <c r="P27" s="41"/>
      <c r="Q27" s="41"/>
      <c r="R27" s="41"/>
      <c r="S27" s="41"/>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2"/>
      <c r="CE27" s="43"/>
    </row>
    <row r="28" spans="2:83" ht="9.75" customHeight="1" x14ac:dyDescent="0.25">
      <c r="B28" s="44"/>
      <c r="C28" s="45"/>
      <c r="D28" s="46"/>
      <c r="E28" s="46"/>
      <c r="F28" s="46"/>
      <c r="G28" s="46"/>
      <c r="H28" s="46"/>
      <c r="I28" s="46"/>
      <c r="J28" s="46"/>
      <c r="K28" s="46"/>
      <c r="L28" s="46"/>
      <c r="M28" s="46"/>
      <c r="N28" s="46"/>
      <c r="O28" s="46"/>
      <c r="P28" s="46"/>
      <c r="Q28" s="46"/>
      <c r="R28" s="46"/>
      <c r="S28" s="410"/>
      <c r="T28" s="46"/>
      <c r="U28" s="47"/>
      <c r="V28" s="48"/>
      <c r="W28" s="45"/>
      <c r="X28" s="46"/>
      <c r="Y28" s="410"/>
      <c r="Z28" s="410"/>
      <c r="AA28" s="410"/>
      <c r="AB28" s="410"/>
      <c r="AC28" s="46"/>
      <c r="AD28" s="46"/>
      <c r="AE28" s="46"/>
      <c r="AF28" s="46"/>
      <c r="AG28" s="46"/>
      <c r="AH28" s="46"/>
      <c r="AI28" s="46"/>
      <c r="AJ28" s="46"/>
      <c r="AK28" s="46"/>
      <c r="AL28" s="46"/>
      <c r="AM28" s="46"/>
      <c r="AN28" s="46"/>
      <c r="AO28" s="46"/>
      <c r="AP28" s="46"/>
      <c r="AQ28" s="46"/>
      <c r="AR28" s="46"/>
      <c r="AS28" s="46"/>
      <c r="AT28" s="46"/>
      <c r="AU28" s="468"/>
      <c r="AV28" s="410"/>
      <c r="AW28" s="410"/>
      <c r="AX28" s="46"/>
      <c r="AY28" s="46"/>
      <c r="AZ28" s="46"/>
      <c r="BA28" s="46"/>
      <c r="BB28" s="49"/>
      <c r="BC28" s="410"/>
      <c r="BD28" s="410"/>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7"/>
      <c r="CD28" s="100"/>
      <c r="CE28" s="43"/>
    </row>
    <row r="29" spans="2:83" ht="19.5" customHeight="1" x14ac:dyDescent="0.25">
      <c r="B29" s="44"/>
      <c r="C29" s="101"/>
      <c r="D29" s="102" t="s">
        <v>1508</v>
      </c>
      <c r="E29" s="59"/>
      <c r="F29" s="59"/>
      <c r="G29" s="59"/>
      <c r="H29" s="59"/>
      <c r="I29" s="59"/>
      <c r="J29" s="59"/>
      <c r="K29" s="59"/>
      <c r="L29" s="59"/>
      <c r="M29" s="59"/>
      <c r="N29" s="59"/>
      <c r="O29" s="59"/>
      <c r="P29" s="59"/>
      <c r="Q29" s="59"/>
      <c r="R29" s="59"/>
      <c r="U29" s="1277">
        <f>'CALCULS Eau potable'!O71</f>
        <v>0</v>
      </c>
      <c r="V29" s="49"/>
      <c r="W29" s="50"/>
      <c r="X29" s="57" t="s">
        <v>1509</v>
      </c>
      <c r="AC29" s="59"/>
      <c r="AD29" s="59"/>
      <c r="AE29" s="59"/>
      <c r="AF29" s="59"/>
      <c r="AG29" s="59"/>
      <c r="AH29" s="59"/>
      <c r="AI29" s="59"/>
      <c r="AJ29" s="59"/>
      <c r="AK29" s="59"/>
      <c r="AL29" s="59"/>
      <c r="AM29" s="59"/>
      <c r="AN29" s="59"/>
      <c r="AO29" s="59"/>
      <c r="AP29" s="59"/>
      <c r="AQ29" s="59"/>
      <c r="AR29" s="59"/>
      <c r="AW29" s="1073"/>
      <c r="AX29" s="3323">
        <f>'CALCULS Eau potable'!O76</f>
        <v>0</v>
      </c>
      <c r="AY29" s="3323"/>
      <c r="AZ29" s="3323"/>
      <c r="BB29" s="49"/>
      <c r="BD29" s="57" t="s">
        <v>1510</v>
      </c>
      <c r="BE29" s="59"/>
      <c r="BF29" s="57"/>
      <c r="BG29" s="59"/>
      <c r="BH29" s="59"/>
      <c r="BI29" s="59"/>
      <c r="BJ29" s="59"/>
      <c r="BK29" s="59"/>
      <c r="BL29" s="59"/>
      <c r="BM29" s="59"/>
      <c r="BN29" s="59"/>
      <c r="BO29" s="59"/>
      <c r="BP29" s="59"/>
      <c r="BQ29" s="59"/>
      <c r="BR29" s="59"/>
      <c r="BS29" s="59"/>
      <c r="BT29" s="59"/>
      <c r="BU29" s="59"/>
      <c r="BV29" s="59"/>
      <c r="BW29" s="59"/>
      <c r="BX29" s="59"/>
      <c r="BY29" s="59"/>
      <c r="BZ29" s="59"/>
      <c r="CA29" s="3322">
        <f>'CALCULS Eau potable'!O91</f>
        <v>0</v>
      </c>
      <c r="CB29" s="3322"/>
      <c r="CC29" s="61"/>
      <c r="CD29" s="100"/>
      <c r="CE29" s="43"/>
    </row>
    <row r="30" spans="2:83" ht="7.5" customHeight="1" x14ac:dyDescent="0.25">
      <c r="B30" s="44"/>
      <c r="C30" s="418"/>
      <c r="D30" s="102"/>
      <c r="E30" s="59"/>
      <c r="F30" s="59"/>
      <c r="G30" s="59"/>
      <c r="H30" s="59"/>
      <c r="I30" s="59"/>
      <c r="J30" s="59"/>
      <c r="K30" s="59"/>
      <c r="L30" s="59"/>
      <c r="M30" s="59"/>
      <c r="N30" s="59"/>
      <c r="O30" s="59"/>
      <c r="P30" s="59"/>
      <c r="Q30" s="59"/>
      <c r="R30" s="59"/>
      <c r="T30" s="59"/>
      <c r="U30" s="61"/>
      <c r="V30" s="1069"/>
      <c r="W30" s="50"/>
      <c r="AC30" s="59"/>
      <c r="AD30" s="59"/>
      <c r="AE30" s="59"/>
      <c r="AF30" s="59"/>
      <c r="AG30" s="59"/>
      <c r="AH30" s="59"/>
      <c r="AI30" s="59"/>
      <c r="AJ30" s="59"/>
      <c r="AK30" s="59"/>
      <c r="AL30" s="59"/>
      <c r="AM30" s="59"/>
      <c r="AN30" s="59"/>
      <c r="AO30" s="59"/>
      <c r="AP30" s="59"/>
      <c r="AQ30" s="59"/>
      <c r="AR30" s="59"/>
      <c r="AS30" s="1271"/>
      <c r="AT30" s="1271"/>
      <c r="AU30" s="55"/>
      <c r="AX30" s="59"/>
      <c r="AY30" s="55"/>
      <c r="BB30" s="49"/>
      <c r="BE30" s="59"/>
      <c r="BF30" s="57"/>
      <c r="BG30" s="59"/>
      <c r="BH30" s="59"/>
      <c r="BI30" s="59"/>
      <c r="BJ30" s="59"/>
      <c r="BK30" s="59"/>
      <c r="BL30" s="59"/>
      <c r="BM30" s="59"/>
      <c r="BN30" s="59"/>
      <c r="BO30" s="59"/>
      <c r="BP30" s="59"/>
      <c r="BQ30" s="59"/>
      <c r="BR30" s="59"/>
      <c r="BS30" s="59"/>
      <c r="BT30" s="59"/>
      <c r="BU30" s="59"/>
      <c r="BV30" s="59"/>
      <c r="BW30" s="59"/>
      <c r="BX30" s="59"/>
      <c r="BY30" s="59"/>
      <c r="BZ30" s="59"/>
      <c r="CA30" s="59"/>
      <c r="CB30" s="1271"/>
      <c r="CC30" s="61"/>
      <c r="CD30" s="100"/>
      <c r="CE30" s="43"/>
    </row>
    <row r="31" spans="2:83" ht="23.25" customHeight="1" x14ac:dyDescent="0.25">
      <c r="B31" s="44"/>
      <c r="C31" s="392"/>
      <c r="D31" s="403" t="s">
        <v>1511</v>
      </c>
      <c r="E31" s="409"/>
      <c r="F31" s="409"/>
      <c r="G31" s="409"/>
      <c r="I31" s="409"/>
      <c r="K31" s="572" t="s">
        <v>1458</v>
      </c>
      <c r="L31" s="409"/>
      <c r="M31" s="103"/>
      <c r="O31" s="413"/>
      <c r="P31" s="413"/>
      <c r="Q31" s="413"/>
      <c r="R31" s="413"/>
      <c r="S31" s="413"/>
      <c r="T31" s="413"/>
      <c r="U31" s="120"/>
      <c r="V31" s="49"/>
      <c r="W31" s="1063"/>
      <c r="Z31" s="1058" t="s">
        <v>1831</v>
      </c>
      <c r="AA31" s="413"/>
      <c r="AB31" s="413"/>
      <c r="AC31" s="413"/>
      <c r="AD31" s="413"/>
      <c r="AE31" s="413"/>
      <c r="AF31" s="413"/>
      <c r="AG31" s="413"/>
      <c r="AH31" s="413"/>
      <c r="AI31" s="413"/>
      <c r="AJ31" s="413"/>
      <c r="AK31" s="413"/>
      <c r="AL31" s="413"/>
      <c r="AM31" s="413"/>
      <c r="AN31" s="3329"/>
      <c r="AO31" s="3329"/>
      <c r="AP31" s="3329"/>
      <c r="AQ31" s="3329"/>
      <c r="AR31" s="3347"/>
      <c r="AS31" s="3346" t="s">
        <v>1823</v>
      </c>
      <c r="AT31" s="3347"/>
      <c r="AU31" s="3329" t="s">
        <v>1512</v>
      </c>
      <c r="AV31" s="3329"/>
      <c r="AW31" s="3329"/>
      <c r="AX31" s="3329"/>
      <c r="AY31" s="3329"/>
      <c r="BB31" s="49"/>
      <c r="BE31" s="103"/>
      <c r="BF31" s="400" t="s">
        <v>223</v>
      </c>
      <c r="BG31" s="400"/>
      <c r="BH31" s="400"/>
      <c r="BI31" s="400"/>
      <c r="BJ31" s="400"/>
      <c r="BK31" s="400"/>
      <c r="BM31" s="413"/>
      <c r="BN31" s="413"/>
      <c r="BO31" s="413"/>
      <c r="BP31" s="3339" t="s">
        <v>1807</v>
      </c>
      <c r="BQ31" s="3340"/>
      <c r="BR31" s="3340"/>
      <c r="BS31" s="3340"/>
      <c r="BT31" s="3340"/>
      <c r="BU31" s="3340"/>
      <c r="BV31" s="3340"/>
      <c r="BW31" s="1071"/>
      <c r="BX31" s="3338" t="s">
        <v>1507</v>
      </c>
      <c r="BY31" s="3338"/>
      <c r="BZ31" s="3338"/>
      <c r="CA31" s="3338"/>
      <c r="CB31" s="3338"/>
      <c r="CC31" s="567"/>
      <c r="CD31" s="100"/>
      <c r="CE31" s="43"/>
    </row>
    <row r="32" spans="2:83" ht="3.75" customHeight="1" thickBot="1" x14ac:dyDescent="0.3">
      <c r="B32" s="44"/>
      <c r="C32" s="392"/>
      <c r="D32" s="1067"/>
      <c r="E32" s="1067"/>
      <c r="F32" s="1067"/>
      <c r="G32" s="1067"/>
      <c r="H32" s="1067"/>
      <c r="I32" s="1067"/>
      <c r="J32" s="412"/>
      <c r="K32" s="1068"/>
      <c r="L32" s="1067"/>
      <c r="M32" s="1067"/>
      <c r="N32" s="1067"/>
      <c r="O32" s="1067"/>
      <c r="P32" s="1067"/>
      <c r="Q32" s="411"/>
      <c r="R32" s="411"/>
      <c r="S32" s="411"/>
      <c r="T32" s="411"/>
      <c r="U32" s="1061"/>
      <c r="V32" s="1070"/>
      <c r="W32" s="1064"/>
      <c r="X32" s="391"/>
      <c r="Y32" s="405"/>
      <c r="Z32" s="405"/>
      <c r="AA32" s="405"/>
      <c r="AB32" s="405"/>
      <c r="AC32" s="405"/>
      <c r="AD32" s="405"/>
      <c r="AE32" s="405"/>
      <c r="AF32" s="405"/>
      <c r="AG32" s="405"/>
      <c r="AH32" s="405"/>
      <c r="AI32" s="405"/>
      <c r="AJ32" s="406"/>
      <c r="AK32" s="406"/>
      <c r="AL32" s="406"/>
      <c r="AM32" s="406"/>
      <c r="AN32" s="406"/>
      <c r="AO32" s="406"/>
      <c r="AP32" s="406"/>
      <c r="AQ32" s="406"/>
      <c r="AR32" s="1054"/>
      <c r="AS32" s="1147"/>
      <c r="AT32" s="1054"/>
      <c r="AU32" s="406"/>
      <c r="AV32" s="406"/>
      <c r="AW32" s="406"/>
      <c r="AX32" s="406"/>
      <c r="AY32" s="1072"/>
      <c r="BB32" s="49"/>
      <c r="BD32" s="103"/>
      <c r="BE32" s="411"/>
      <c r="BF32" s="412"/>
      <c r="BG32" s="401"/>
      <c r="BH32" s="401"/>
      <c r="BI32" s="401"/>
      <c r="BJ32" s="401"/>
      <c r="BK32" s="401"/>
      <c r="BL32" s="401"/>
      <c r="BM32" s="401"/>
      <c r="BN32" s="399"/>
      <c r="BO32" s="399"/>
      <c r="BP32" s="1076"/>
      <c r="BQ32" s="411"/>
      <c r="BR32" s="399"/>
      <c r="BS32" s="401"/>
      <c r="BT32" s="401"/>
      <c r="BU32" s="401"/>
      <c r="BV32" s="401"/>
      <c r="BW32" s="401"/>
      <c r="BX32" s="402"/>
      <c r="BY32" s="401"/>
      <c r="BZ32" s="401"/>
      <c r="CA32" s="401"/>
      <c r="CB32" s="401"/>
      <c r="CC32" s="393"/>
      <c r="CD32" s="100"/>
      <c r="CE32" s="43"/>
    </row>
    <row r="33" spans="2:83" ht="4.5" customHeight="1" x14ac:dyDescent="0.25">
      <c r="B33" s="44"/>
      <c r="C33" s="392"/>
      <c r="D33" s="404"/>
      <c r="E33" s="103"/>
      <c r="F33" s="103"/>
      <c r="G33" s="103"/>
      <c r="I33" s="103"/>
      <c r="K33" s="408"/>
      <c r="L33" s="103"/>
      <c r="M33" s="103"/>
      <c r="O33" s="103"/>
      <c r="P33" s="103"/>
      <c r="Q33" s="103"/>
      <c r="R33" s="103"/>
      <c r="S33" s="103"/>
      <c r="T33" s="103"/>
      <c r="U33" s="1062"/>
      <c r="V33" s="49"/>
      <c r="W33" s="1065"/>
      <c r="AA33" s="391"/>
      <c r="AB33" s="391"/>
      <c r="AC33" s="391"/>
      <c r="AD33" s="391"/>
      <c r="AE33" s="391"/>
      <c r="AF33" s="391"/>
      <c r="AG33" s="391"/>
      <c r="AH33" s="391"/>
      <c r="AI33" s="391"/>
      <c r="AJ33" s="391"/>
      <c r="AK33" s="103"/>
      <c r="AL33" s="103"/>
      <c r="AM33" s="103"/>
      <c r="AN33" s="103"/>
      <c r="AP33" s="103"/>
      <c r="AQ33" s="103"/>
      <c r="AR33" s="1055"/>
      <c r="AS33" s="408"/>
      <c r="AT33" s="1148"/>
      <c r="AU33" s="55"/>
      <c r="AV33" s="55"/>
      <c r="AW33" s="55"/>
      <c r="AX33" s="55"/>
      <c r="AY33" s="55"/>
      <c r="BB33" s="49"/>
      <c r="BD33" s="103"/>
      <c r="BE33" s="103"/>
      <c r="BG33" s="103"/>
      <c r="BH33" s="103"/>
      <c r="BI33" s="103"/>
      <c r="BJ33" s="103"/>
      <c r="BK33" s="103"/>
      <c r="BM33" s="103"/>
      <c r="BN33" s="103"/>
      <c r="BO33" s="103"/>
      <c r="BP33" s="1077"/>
      <c r="BQ33" s="103"/>
      <c r="BR33" s="103"/>
      <c r="BS33" s="398"/>
      <c r="BT33" s="103"/>
      <c r="BU33" s="103"/>
      <c r="BV33" s="103"/>
      <c r="BW33" s="103"/>
      <c r="BY33" s="103"/>
      <c r="BZ33" s="398"/>
      <c r="CA33" s="103"/>
      <c r="CB33" s="103"/>
      <c r="CC33" s="393"/>
      <c r="CD33" s="100"/>
      <c r="CE33" s="43"/>
    </row>
    <row r="34" spans="2:83" ht="21" customHeight="1" x14ac:dyDescent="0.25">
      <c r="B34" s="44"/>
      <c r="C34" s="392"/>
      <c r="D34" s="3383" t="str">
        <f>IF(ISBLANK('FORMULAIRE PGA Eau potable'!D199)=TRUE,"",'FORMULAIRE PGA Eau potable'!D199)</f>
        <v/>
      </c>
      <c r="E34" s="3383"/>
      <c r="F34" s="3383"/>
      <c r="G34" s="3383"/>
      <c r="H34" s="3383"/>
      <c r="I34" s="3383"/>
      <c r="K34" s="3389" t="str">
        <f>IF(ISBLANK('FORMULAIRE PGA Eau potable'!J199)=TRUE,"",'FORMULAIRE PGA Eau potable'!J199)</f>
        <v/>
      </c>
      <c r="L34" s="3383"/>
      <c r="M34" s="3383"/>
      <c r="N34" s="3383"/>
      <c r="O34" s="3383"/>
      <c r="P34" s="3383"/>
      <c r="Q34" s="3383"/>
      <c r="R34" s="3383"/>
      <c r="S34" s="3383"/>
      <c r="T34" s="3383"/>
      <c r="U34" s="3390"/>
      <c r="V34" s="49"/>
      <c r="W34" s="1066"/>
      <c r="Y34" s="1059" t="s">
        <v>229</v>
      </c>
      <c r="Z34" s="589"/>
      <c r="AA34" s="590"/>
      <c r="AB34" s="590"/>
      <c r="AC34" s="590"/>
      <c r="AD34" s="590"/>
      <c r="AE34" s="591"/>
      <c r="AF34" s="591"/>
      <c r="AG34" s="591"/>
      <c r="AH34" s="591"/>
      <c r="AI34" s="591"/>
      <c r="AJ34" s="592"/>
      <c r="AK34" s="592"/>
      <c r="AL34" s="592"/>
      <c r="AM34" s="592"/>
      <c r="AN34" s="592"/>
      <c r="AO34" s="1052"/>
      <c r="AP34" s="1052"/>
      <c r="AQ34" s="1052"/>
      <c r="AR34" s="1056"/>
      <c r="AS34" s="1151" t="str">
        <f>IF('CALCULS Eau potable'!J77&gt;0,"P","")</f>
        <v/>
      </c>
      <c r="AT34" s="1149"/>
      <c r="AU34" s="3328" t="str">
        <f>IF('CALCULS Eau potable'!K77&gt;0,"P","")</f>
        <v/>
      </c>
      <c r="AV34" s="3328"/>
      <c r="AW34" s="3328"/>
      <c r="AX34" s="3328"/>
      <c r="AY34" s="591"/>
      <c r="BB34" s="49"/>
      <c r="BD34" s="76"/>
      <c r="BE34" s="76"/>
      <c r="BF34" s="1079" t="str">
        <f>IF(ISBLANK('FORMULAIRE PGA Eau potable'!D220)=TRUE,"",'FORMULAIRE PGA Eau potable'!D220)</f>
        <v/>
      </c>
      <c r="BG34" s="1079"/>
      <c r="BH34" s="1079"/>
      <c r="BI34" s="1079"/>
      <c r="BJ34" s="1079"/>
      <c r="BK34" s="1079"/>
      <c r="BL34" s="1079"/>
      <c r="BM34" s="1079"/>
      <c r="BN34" s="1079"/>
      <c r="BO34" s="569"/>
      <c r="BP34" s="1080"/>
      <c r="BQ34" s="570"/>
      <c r="BR34" s="1081" t="str">
        <f>'CALCULS Eau potable'!J92</f>
        <v/>
      </c>
      <c r="BS34" s="3324" t="str">
        <f>'CALCULS Eau potable'!I92</f>
        <v/>
      </c>
      <c r="BT34" s="3324"/>
      <c r="BU34" s="72"/>
      <c r="BV34" s="1074"/>
      <c r="BW34" s="1074"/>
      <c r="BX34" s="72"/>
      <c r="BY34" s="1081" t="str">
        <f>'CALCULS Eau potable'!L92</f>
        <v/>
      </c>
      <c r="BZ34" s="3325" t="str">
        <f>'CALCULS Eau potable'!K92</f>
        <v/>
      </c>
      <c r="CA34" s="3325"/>
      <c r="CB34" s="3325"/>
      <c r="CC34" s="393"/>
      <c r="CD34" s="100"/>
      <c r="CE34" s="43"/>
    </row>
    <row r="35" spans="2:83" ht="21" customHeight="1" x14ac:dyDescent="0.25">
      <c r="B35" s="44"/>
      <c r="C35" s="392"/>
      <c r="D35" s="3383" t="str">
        <f>IF(ISBLANK('FORMULAIRE PGA Eau potable'!D200)=TRUE,"",'FORMULAIRE PGA Eau potable'!D200)</f>
        <v/>
      </c>
      <c r="E35" s="3383"/>
      <c r="F35" s="3383"/>
      <c r="G35" s="3383"/>
      <c r="H35" s="3383"/>
      <c r="I35" s="3383"/>
      <c r="K35" s="3389" t="str">
        <f>IF(ISBLANK('FORMULAIRE PGA Eau potable'!J200)=TRUE,"",'FORMULAIRE PGA Eau potable'!J200)</f>
        <v/>
      </c>
      <c r="L35" s="3383"/>
      <c r="M35" s="3383"/>
      <c r="N35" s="3383"/>
      <c r="O35" s="3383"/>
      <c r="P35" s="3383"/>
      <c r="Q35" s="3383"/>
      <c r="R35" s="3383"/>
      <c r="S35" s="3383"/>
      <c r="T35" s="3383"/>
      <c r="U35" s="3390"/>
      <c r="V35" s="49"/>
      <c r="W35" s="1066"/>
      <c r="Y35" s="1060" t="s">
        <v>1802</v>
      </c>
      <c r="Z35" s="593"/>
      <c r="AA35" s="594"/>
      <c r="AB35" s="594"/>
      <c r="AC35" s="594"/>
      <c r="AD35" s="594"/>
      <c r="AE35" s="595"/>
      <c r="AF35" s="595"/>
      <c r="AG35" s="595"/>
      <c r="AH35" s="595"/>
      <c r="AI35" s="595"/>
      <c r="AJ35" s="596"/>
      <c r="AK35" s="596"/>
      <c r="AL35" s="596"/>
      <c r="AM35" s="596"/>
      <c r="AN35" s="596"/>
      <c r="AO35" s="1053"/>
      <c r="AP35" s="1053"/>
      <c r="AQ35" s="1053"/>
      <c r="AR35" s="1057"/>
      <c r="AS35" s="1152" t="str">
        <f>IF('CALCULS Eau potable'!J78&gt;0,"P","")</f>
        <v/>
      </c>
      <c r="AT35" s="1150"/>
      <c r="AU35" s="3327" t="str">
        <f>IF('CALCULS Eau potable'!K78&gt;0,"P","")</f>
        <v/>
      </c>
      <c r="AV35" s="3327"/>
      <c r="AW35" s="3327"/>
      <c r="AX35" s="3327"/>
      <c r="AY35" s="595"/>
      <c r="BB35" s="49"/>
      <c r="BD35" s="76"/>
      <c r="BE35" s="76"/>
      <c r="BF35" s="1079" t="str">
        <f>IF(ISBLANK('FORMULAIRE PGA Eau potable'!D221)=TRUE,"",'FORMULAIRE PGA Eau potable'!D221)</f>
        <v/>
      </c>
      <c r="BG35" s="1079"/>
      <c r="BH35" s="1079"/>
      <c r="BI35" s="1079"/>
      <c r="BJ35" s="1079"/>
      <c r="BK35" s="1079"/>
      <c r="BL35" s="1079"/>
      <c r="BM35" s="1079"/>
      <c r="BN35" s="1079"/>
      <c r="BO35" s="569"/>
      <c r="BP35" s="1078"/>
      <c r="BQ35" s="570"/>
      <c r="BR35" s="1081" t="str">
        <f>'CALCULS Eau potable'!J93</f>
        <v/>
      </c>
      <c r="BS35" s="3324" t="str">
        <f>'CALCULS Eau potable'!I93</f>
        <v/>
      </c>
      <c r="BT35" s="3324"/>
      <c r="BU35" s="72"/>
      <c r="BV35" s="1074"/>
      <c r="BW35" s="1074"/>
      <c r="BX35" s="1074"/>
      <c r="BY35" s="1081" t="str">
        <f>'CALCULS Eau potable'!L93</f>
        <v/>
      </c>
      <c r="BZ35" s="3325" t="str">
        <f>'CALCULS Eau potable'!K93</f>
        <v/>
      </c>
      <c r="CA35" s="3325"/>
      <c r="CB35" s="3325"/>
      <c r="CC35" s="393"/>
      <c r="CD35" s="100"/>
      <c r="CE35" s="43"/>
    </row>
    <row r="36" spans="2:83" ht="21" customHeight="1" x14ac:dyDescent="0.25">
      <c r="B36" s="44"/>
      <c r="C36" s="392"/>
      <c r="D36" s="3383" t="str">
        <f>IF(ISBLANK('FORMULAIRE PGA Eau potable'!D201)=TRUE,"",'FORMULAIRE PGA Eau potable'!D201)</f>
        <v/>
      </c>
      <c r="E36" s="3383"/>
      <c r="F36" s="3383"/>
      <c r="G36" s="3383"/>
      <c r="H36" s="3383"/>
      <c r="I36" s="3383"/>
      <c r="K36" s="3389" t="str">
        <f>IF(ISBLANK('FORMULAIRE PGA Eau potable'!J201)=TRUE,"",'FORMULAIRE PGA Eau potable'!J201)</f>
        <v/>
      </c>
      <c r="L36" s="3383"/>
      <c r="M36" s="3383"/>
      <c r="N36" s="3383"/>
      <c r="O36" s="3383"/>
      <c r="P36" s="3383"/>
      <c r="Q36" s="3383"/>
      <c r="R36" s="3383"/>
      <c r="S36" s="3383"/>
      <c r="T36" s="3383"/>
      <c r="U36" s="3390"/>
      <c r="V36" s="49"/>
      <c r="W36" s="1066"/>
      <c r="Y36" s="1060" t="s">
        <v>1803</v>
      </c>
      <c r="Z36" s="593"/>
      <c r="AA36" s="594"/>
      <c r="AB36" s="594"/>
      <c r="AC36" s="594"/>
      <c r="AD36" s="594"/>
      <c r="AE36" s="596"/>
      <c r="AF36" s="596"/>
      <c r="AG36" s="596"/>
      <c r="AH36" s="596"/>
      <c r="AI36" s="596"/>
      <c r="AJ36" s="596"/>
      <c r="AK36" s="596"/>
      <c r="AL36" s="596"/>
      <c r="AM36" s="596"/>
      <c r="AN36" s="596"/>
      <c r="AO36" s="1053"/>
      <c r="AP36" s="1053"/>
      <c r="AQ36" s="1053"/>
      <c r="AR36" s="1057"/>
      <c r="AS36" s="1152" t="str">
        <f>IF('CALCULS Eau potable'!J79&gt;0,"P","")</f>
        <v/>
      </c>
      <c r="AT36" s="1150"/>
      <c r="AU36" s="3327" t="str">
        <f>IF('CALCULS Eau potable'!K79&gt;0,"P","")</f>
        <v/>
      </c>
      <c r="AV36" s="3327"/>
      <c r="AW36" s="3327"/>
      <c r="AX36" s="3327"/>
      <c r="AY36" s="596"/>
      <c r="BB36" s="568"/>
      <c r="BD36" s="76"/>
      <c r="BE36" s="76"/>
      <c r="BF36" s="1079" t="str">
        <f>IF(ISBLANK('FORMULAIRE PGA Eau potable'!D222)=TRUE,"",'FORMULAIRE PGA Eau potable'!D222)</f>
        <v/>
      </c>
      <c r="BG36" s="1079"/>
      <c r="BH36" s="1079"/>
      <c r="BI36" s="1079"/>
      <c r="BJ36" s="1079"/>
      <c r="BK36" s="1079"/>
      <c r="BL36" s="1079"/>
      <c r="BM36" s="1079"/>
      <c r="BN36" s="1079"/>
      <c r="BO36" s="570"/>
      <c r="BP36" s="1078"/>
      <c r="BQ36" s="570"/>
      <c r="BR36" s="1081" t="str">
        <f>'CALCULS Eau potable'!J94</f>
        <v/>
      </c>
      <c r="BS36" s="3324" t="str">
        <f>'CALCULS Eau potable'!I94</f>
        <v/>
      </c>
      <c r="BT36" s="3324"/>
      <c r="BU36" s="72"/>
      <c r="BV36" s="1074"/>
      <c r="BW36" s="1074"/>
      <c r="BX36" s="1074"/>
      <c r="BY36" s="1081" t="str">
        <f>'CALCULS Eau potable'!L94</f>
        <v/>
      </c>
      <c r="BZ36" s="3325" t="str">
        <f>'CALCULS Eau potable'!K94</f>
        <v/>
      </c>
      <c r="CA36" s="3325"/>
      <c r="CB36" s="3325"/>
      <c r="CC36" s="393"/>
      <c r="CD36" s="100"/>
      <c r="CE36" s="43"/>
    </row>
    <row r="37" spans="2:83" ht="21" customHeight="1" x14ac:dyDescent="0.25">
      <c r="B37" s="44"/>
      <c r="C37" s="392"/>
      <c r="D37" s="3383"/>
      <c r="E37" s="3383"/>
      <c r="F37" s="3383"/>
      <c r="G37" s="3383"/>
      <c r="H37" s="3383"/>
      <c r="I37" s="3383"/>
      <c r="K37" s="3383"/>
      <c r="L37" s="3383"/>
      <c r="M37" s="3383"/>
      <c r="N37" s="3383"/>
      <c r="O37" s="3383"/>
      <c r="P37" s="3383"/>
      <c r="Q37" s="3383"/>
      <c r="R37" s="3383"/>
      <c r="S37" s="3383"/>
      <c r="T37" s="3383"/>
      <c r="U37" s="3390"/>
      <c r="V37" s="49"/>
      <c r="W37" s="1066"/>
      <c r="Y37" s="1060" t="s">
        <v>1804</v>
      </c>
      <c r="Z37" s="593"/>
      <c r="AA37" s="594"/>
      <c r="AB37" s="594"/>
      <c r="AC37" s="594"/>
      <c r="AD37" s="594"/>
      <c r="AE37" s="595"/>
      <c r="AF37" s="595"/>
      <c r="AG37" s="595"/>
      <c r="AH37" s="595"/>
      <c r="AI37" s="595"/>
      <c r="AJ37" s="596"/>
      <c r="AK37" s="596"/>
      <c r="AL37" s="596"/>
      <c r="AM37" s="596"/>
      <c r="AN37" s="596"/>
      <c r="AO37" s="1053"/>
      <c r="AP37" s="1053"/>
      <c r="AQ37" s="1053"/>
      <c r="AR37" s="1057"/>
      <c r="AS37" s="1152" t="str">
        <f>IF('CALCULS Eau potable'!J80&gt;0,"P","")</f>
        <v/>
      </c>
      <c r="AT37" s="1150"/>
      <c r="AU37" s="3327" t="str">
        <f>IF('CALCULS Eau potable'!K80&gt;0,"P","")</f>
        <v/>
      </c>
      <c r="AV37" s="3327"/>
      <c r="AW37" s="3327"/>
      <c r="AX37" s="3327"/>
      <c r="AY37" s="595"/>
      <c r="BB37" s="568"/>
      <c r="BD37" s="76"/>
      <c r="BE37" s="76"/>
      <c r="BF37" s="1079"/>
      <c r="BG37" s="76"/>
      <c r="BH37" s="76"/>
      <c r="BI37" s="76"/>
      <c r="BJ37" s="76"/>
      <c r="BK37" s="76"/>
      <c r="BL37" s="72"/>
      <c r="BM37" s="570"/>
      <c r="BN37" s="570"/>
      <c r="BO37" s="570"/>
      <c r="BP37" s="570"/>
      <c r="BQ37" s="570"/>
      <c r="BR37" s="1081"/>
      <c r="BS37" s="3324"/>
      <c r="BT37" s="3324"/>
      <c r="BU37" s="72"/>
      <c r="BV37" s="570"/>
      <c r="BW37" s="570"/>
      <c r="BX37" s="570"/>
      <c r="BY37" s="1081"/>
      <c r="BZ37" s="3325"/>
      <c r="CA37" s="3325"/>
      <c r="CB37" s="3325"/>
      <c r="CC37" s="393"/>
      <c r="CD37" s="100"/>
      <c r="CE37" s="43"/>
    </row>
    <row r="38" spans="2:83" ht="17.25" customHeight="1" x14ac:dyDescent="0.25">
      <c r="B38" s="44"/>
      <c r="C38" s="392"/>
      <c r="D38" s="3383"/>
      <c r="E38" s="3383"/>
      <c r="F38" s="3383"/>
      <c r="G38" s="3383"/>
      <c r="H38" s="3383"/>
      <c r="I38" s="3383"/>
      <c r="K38" s="3383"/>
      <c r="L38" s="3383"/>
      <c r="M38" s="3383"/>
      <c r="N38" s="3383"/>
      <c r="O38" s="3383"/>
      <c r="P38" s="3383"/>
      <c r="Q38" s="3383"/>
      <c r="R38" s="3383"/>
      <c r="S38" s="3383"/>
      <c r="T38" s="3383"/>
      <c r="U38" s="3390"/>
      <c r="V38" s="49"/>
      <c r="W38" s="1066"/>
      <c r="Y38" s="1171" t="s">
        <v>1812</v>
      </c>
      <c r="Z38" s="1165"/>
      <c r="AA38" s="1166"/>
      <c r="AB38" s="1166"/>
      <c r="AC38" s="1166"/>
      <c r="AD38" s="1166"/>
      <c r="AE38" s="1166"/>
      <c r="AF38" s="1166"/>
      <c r="AG38" s="1166"/>
      <c r="AH38" s="1166"/>
      <c r="AI38" s="1166"/>
      <c r="AJ38" s="1167"/>
      <c r="AK38" s="1167"/>
      <c r="AL38" s="1167"/>
      <c r="AM38" s="1167"/>
      <c r="AN38" s="1167"/>
      <c r="AO38" s="1168"/>
      <c r="AP38" s="1168"/>
      <c r="AQ38" s="1168"/>
      <c r="AR38" s="1169"/>
      <c r="AS38" s="1172" t="str">
        <f>IF('CALCULS Eau potable'!J81&gt;0,"P","")</f>
        <v/>
      </c>
      <c r="AT38" s="1170"/>
      <c r="AU38" s="3372" t="str">
        <f>IF('CALCULS Eau potable'!K81&gt;0,"P","")</f>
        <v/>
      </c>
      <c r="AV38" s="3373"/>
      <c r="AW38" s="3373"/>
      <c r="AX38" s="3373"/>
      <c r="AY38" s="1166"/>
      <c r="BB38" s="568"/>
      <c r="BD38" s="76"/>
      <c r="BE38" s="76"/>
      <c r="BF38" s="1079"/>
      <c r="BG38" s="76"/>
      <c r="BH38" s="76"/>
      <c r="BI38" s="76"/>
      <c r="BJ38" s="76"/>
      <c r="BK38" s="76"/>
      <c r="BL38" s="72"/>
      <c r="BM38" s="570"/>
      <c r="BN38" s="570"/>
      <c r="BO38" s="570"/>
      <c r="BP38" s="570"/>
      <c r="BQ38" s="570"/>
      <c r="BR38" s="1081"/>
      <c r="BS38" s="3324"/>
      <c r="BT38" s="3324"/>
      <c r="BU38" s="72"/>
      <c r="BV38" s="570"/>
      <c r="BW38" s="570"/>
      <c r="BX38" s="570"/>
      <c r="BY38" s="1081"/>
      <c r="BZ38" s="3325"/>
      <c r="CA38" s="3325"/>
      <c r="CB38" s="3325"/>
      <c r="CC38" s="393"/>
      <c r="CD38" s="100"/>
      <c r="CE38" s="43"/>
    </row>
    <row r="39" spans="2:83" ht="6.75" customHeight="1" x14ac:dyDescent="0.25">
      <c r="B39" s="44"/>
      <c r="C39" s="394"/>
      <c r="D39" s="395"/>
      <c r="E39" s="396"/>
      <c r="F39" s="396"/>
      <c r="G39" s="396"/>
      <c r="H39" s="396"/>
      <c r="I39" s="396"/>
      <c r="J39" s="396"/>
      <c r="K39" s="396"/>
      <c r="L39" s="396"/>
      <c r="M39" s="396"/>
      <c r="N39" s="396"/>
      <c r="O39" s="396"/>
      <c r="P39" s="396"/>
      <c r="Q39" s="396"/>
      <c r="R39" s="396"/>
      <c r="S39" s="163"/>
      <c r="T39" s="396"/>
      <c r="U39" s="397"/>
      <c r="V39" s="571"/>
      <c r="W39" s="394"/>
      <c r="X39" s="396"/>
      <c r="Y39" s="163"/>
      <c r="Z39" s="163"/>
      <c r="AA39" s="163"/>
      <c r="AB39" s="163"/>
      <c r="AC39" s="396"/>
      <c r="AD39" s="396"/>
      <c r="AE39" s="396"/>
      <c r="AF39" s="396"/>
      <c r="AG39" s="396"/>
      <c r="AH39" s="396"/>
      <c r="AI39" s="396"/>
      <c r="AJ39" s="396"/>
      <c r="AK39" s="396"/>
      <c r="AL39" s="396"/>
      <c r="AM39" s="396"/>
      <c r="AN39" s="396"/>
      <c r="AO39" s="396"/>
      <c r="AP39" s="396"/>
      <c r="AQ39" s="396"/>
      <c r="AR39" s="396"/>
      <c r="AS39" s="396"/>
      <c r="AT39" s="396"/>
      <c r="AU39" s="162"/>
      <c r="AV39" s="163"/>
      <c r="AW39" s="163"/>
      <c r="AX39" s="396"/>
      <c r="AY39" s="162"/>
      <c r="AZ39" s="163"/>
      <c r="BA39" s="163"/>
      <c r="BB39" s="49"/>
      <c r="BC39" s="163"/>
      <c r="BD39" s="163"/>
      <c r="BE39" s="396"/>
      <c r="BF39" s="396"/>
      <c r="BG39" s="396"/>
      <c r="BH39" s="396"/>
      <c r="BI39" s="396"/>
      <c r="BJ39" s="396"/>
      <c r="BK39" s="396"/>
      <c r="BL39" s="396"/>
      <c r="BM39" s="396"/>
      <c r="BN39" s="396"/>
      <c r="BO39" s="396"/>
      <c r="BP39" s="396"/>
      <c r="BQ39" s="396"/>
      <c r="BR39" s="396"/>
      <c r="BS39" s="396"/>
      <c r="BT39" s="396"/>
      <c r="BU39" s="396"/>
      <c r="BV39" s="396"/>
      <c r="BW39" s="396"/>
      <c r="BX39" s="396"/>
      <c r="BY39" s="396"/>
      <c r="BZ39" s="396"/>
      <c r="CA39" s="396"/>
      <c r="CB39" s="396"/>
      <c r="CC39" s="397"/>
      <c r="CD39" s="100"/>
      <c r="CE39" s="43"/>
    </row>
    <row r="40" spans="2:83" ht="12.75" customHeight="1" x14ac:dyDescent="0.25">
      <c r="B40" s="94"/>
      <c r="C40" s="95"/>
      <c r="D40" s="95"/>
      <c r="E40" s="95"/>
      <c r="F40" s="95"/>
      <c r="G40" s="95"/>
      <c r="H40" s="95"/>
      <c r="I40" s="95"/>
      <c r="J40" s="95"/>
      <c r="K40" s="95"/>
      <c r="L40" s="95"/>
      <c r="M40" s="95"/>
      <c r="N40" s="95"/>
      <c r="O40" s="95"/>
      <c r="P40" s="95"/>
      <c r="Q40" s="95"/>
      <c r="R40" s="95"/>
      <c r="S40" s="95"/>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95"/>
      <c r="BD40" s="95"/>
      <c r="BE40" s="95"/>
      <c r="BF40" s="95"/>
      <c r="BG40" s="95"/>
      <c r="BH40" s="95"/>
      <c r="BI40" s="95"/>
      <c r="BJ40" s="95"/>
      <c r="BK40" s="95"/>
      <c r="BL40" s="95"/>
      <c r="BM40" s="95"/>
      <c r="BN40" s="95"/>
      <c r="BO40" s="95"/>
      <c r="BP40" s="95"/>
      <c r="BQ40" s="95"/>
      <c r="BR40" s="95"/>
      <c r="BS40" s="95"/>
      <c r="BT40" s="95"/>
      <c r="BU40" s="95"/>
      <c r="BV40" s="95"/>
      <c r="BW40" s="95"/>
      <c r="BX40" s="95"/>
      <c r="BY40" s="95"/>
      <c r="BZ40" s="95"/>
      <c r="CA40" s="95"/>
      <c r="CB40" s="95"/>
      <c r="CC40" s="95"/>
      <c r="CD40" s="96"/>
      <c r="CE40" s="43"/>
    </row>
    <row r="41" spans="2:83" ht="15.75" customHeight="1" x14ac:dyDescent="0.25">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row>
    <row r="42" spans="2:83" ht="22.5" customHeight="1" x14ac:dyDescent="0.25">
      <c r="B42" s="36"/>
      <c r="C42" s="1031" t="s">
        <v>28</v>
      </c>
      <c r="D42" s="38"/>
      <c r="E42" s="38"/>
      <c r="F42" s="38"/>
      <c r="G42" s="38"/>
      <c r="H42" s="38"/>
      <c r="I42" s="38"/>
      <c r="J42" s="38"/>
      <c r="K42" s="38"/>
      <c r="L42" s="38"/>
      <c r="M42" s="38"/>
      <c r="N42" s="38"/>
      <c r="O42" s="38"/>
      <c r="P42" s="38"/>
      <c r="Q42" s="38"/>
      <c r="R42" s="38"/>
      <c r="S42" s="38"/>
      <c r="T42" s="39"/>
      <c r="U42" s="3326"/>
      <c r="V42" s="3326"/>
      <c r="W42" s="3326"/>
      <c r="X42" s="3326"/>
      <c r="Y42" s="38"/>
      <c r="Z42" s="107"/>
      <c r="AA42" s="38"/>
      <c r="AB42" s="38"/>
      <c r="AC42" s="38"/>
      <c r="AD42" s="38"/>
      <c r="AE42" s="38"/>
      <c r="AF42" s="107"/>
      <c r="AG42" s="38"/>
      <c r="AH42" s="38"/>
      <c r="AI42" s="38"/>
      <c r="AJ42" s="38"/>
      <c r="AK42" s="38"/>
      <c r="AL42" s="38"/>
      <c r="AM42" s="38"/>
      <c r="AN42" s="38"/>
      <c r="AO42" s="55"/>
      <c r="AP42" s="38"/>
      <c r="AQ42" s="243" t="s">
        <v>52</v>
      </c>
      <c r="AR42" s="108"/>
      <c r="AS42" s="39"/>
      <c r="AT42" s="39"/>
      <c r="AU42" s="3326"/>
      <c r="AV42" s="3326"/>
      <c r="AW42" s="3326"/>
      <c r="AX42" s="3326"/>
      <c r="AY42" s="3326"/>
      <c r="AZ42" s="3326"/>
      <c r="BA42" s="3326"/>
      <c r="BB42" s="3326"/>
      <c r="BC42" s="3326"/>
      <c r="BD42" s="3326"/>
      <c r="BE42" s="3326"/>
      <c r="BF42" s="3326"/>
      <c r="BG42" s="3326"/>
      <c r="BH42" s="3326"/>
      <c r="BI42" s="38"/>
      <c r="BJ42" s="38"/>
      <c r="BK42" s="38"/>
      <c r="BL42" s="38"/>
      <c r="BM42" s="38"/>
      <c r="BN42" s="38"/>
      <c r="BO42" s="38"/>
      <c r="BP42" s="38"/>
      <c r="BQ42" s="38"/>
      <c r="BR42" s="38"/>
      <c r="BS42" s="38"/>
      <c r="BT42" s="38"/>
      <c r="BU42" s="38"/>
      <c r="BV42" s="38"/>
      <c r="BW42" s="38"/>
      <c r="BX42" s="38"/>
      <c r="BY42" s="38"/>
      <c r="BZ42" s="39"/>
      <c r="CA42" s="36"/>
      <c r="CB42" s="3311"/>
      <c r="CC42" s="3311"/>
      <c r="CD42" s="38"/>
    </row>
    <row r="43" spans="2:83" ht="6.75" customHeight="1" x14ac:dyDescent="0.25"/>
    <row r="44" spans="2:83" ht="14.25" customHeight="1" x14ac:dyDescent="0.25">
      <c r="B44" s="40"/>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109"/>
      <c r="AH44" s="109"/>
      <c r="AI44" s="109"/>
      <c r="AJ44" s="109"/>
      <c r="AK44" s="109"/>
      <c r="AL44" s="109"/>
      <c r="AM44" s="109"/>
      <c r="AN44" s="109"/>
      <c r="AO44" s="110"/>
      <c r="AP44" s="109"/>
      <c r="AQ44" s="109"/>
      <c r="AR44" s="109"/>
      <c r="AS44" s="109"/>
      <c r="AT44" s="109"/>
      <c r="AU44" s="109"/>
      <c r="AV44" s="109"/>
      <c r="AW44" s="109"/>
      <c r="AX44" s="109"/>
      <c r="AY44" s="109"/>
      <c r="AZ44" s="109"/>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2"/>
      <c r="CE44" s="43"/>
    </row>
    <row r="45" spans="2:83" ht="9.75" customHeight="1" x14ac:dyDescent="0.25">
      <c r="B45" s="44"/>
      <c r="C45" s="45"/>
      <c r="D45" s="46"/>
      <c r="E45" s="46"/>
      <c r="F45" s="46"/>
      <c r="G45" s="46"/>
      <c r="H45" s="46"/>
      <c r="I45" s="46"/>
      <c r="J45" s="46"/>
      <c r="K45" s="46"/>
      <c r="L45" s="46"/>
      <c r="M45" s="46"/>
      <c r="N45" s="46"/>
      <c r="O45" s="46"/>
      <c r="P45" s="46"/>
      <c r="Q45" s="46"/>
      <c r="R45" s="46"/>
      <c r="S45" s="46"/>
      <c r="T45" s="46"/>
      <c r="U45" s="111"/>
      <c r="V45" s="111"/>
      <c r="W45" s="111"/>
      <c r="X45" s="111"/>
      <c r="Y45" s="111"/>
      <c r="Z45" s="111"/>
      <c r="AA45" s="111"/>
      <c r="AB45" s="111"/>
      <c r="AC45" s="111"/>
      <c r="AD45" s="111"/>
      <c r="AE45" s="111"/>
      <c r="AF45" s="111"/>
      <c r="AG45" s="111"/>
      <c r="AH45" s="111"/>
      <c r="AI45" s="111"/>
      <c r="AJ45" s="111"/>
      <c r="AK45" s="111"/>
      <c r="AL45" s="111"/>
      <c r="AM45" s="112"/>
      <c r="AN45" s="99"/>
      <c r="AO45" s="110"/>
      <c r="AP45" s="99"/>
      <c r="AQ45" s="113"/>
      <c r="AR45" s="111"/>
      <c r="AS45" s="111"/>
      <c r="AT45" s="111"/>
      <c r="AU45" s="111"/>
      <c r="AV45" s="111"/>
      <c r="AW45" s="111"/>
      <c r="AX45" s="111"/>
      <c r="AY45" s="111"/>
      <c r="AZ45" s="111"/>
      <c r="BA45" s="111"/>
      <c r="BB45" s="111"/>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7"/>
      <c r="CD45" s="100"/>
      <c r="CE45" s="43"/>
    </row>
    <row r="46" spans="2:83" ht="18" customHeight="1" x14ac:dyDescent="0.25">
      <c r="B46" s="44"/>
      <c r="C46" s="101"/>
      <c r="D46" s="51" t="s">
        <v>1836</v>
      </c>
      <c r="E46" s="59"/>
      <c r="F46" s="59"/>
      <c r="G46" s="59"/>
      <c r="H46" s="59"/>
      <c r="I46" s="59"/>
      <c r="J46" s="59"/>
      <c r="K46" s="59"/>
      <c r="L46" s="59"/>
      <c r="M46" s="59"/>
      <c r="N46" s="59"/>
      <c r="O46" s="59"/>
      <c r="P46" s="59"/>
      <c r="Q46" s="59"/>
      <c r="R46" s="59"/>
      <c r="S46" s="59"/>
      <c r="T46" s="59"/>
      <c r="U46" s="59"/>
      <c r="V46" s="59"/>
      <c r="W46" s="59"/>
      <c r="X46" s="59"/>
      <c r="Y46" s="59"/>
      <c r="Z46" s="55"/>
      <c r="AA46" s="59"/>
      <c r="AB46" s="57"/>
      <c r="AC46" s="59"/>
      <c r="AD46" s="59"/>
      <c r="AE46" s="59"/>
      <c r="AF46" s="59"/>
      <c r="AG46" s="59"/>
      <c r="AH46" s="59"/>
      <c r="AI46" s="59"/>
      <c r="AJ46" s="3322">
        <f>'CALCULS Eau potable'!L148</f>
        <v>0</v>
      </c>
      <c r="AK46" s="3322"/>
      <c r="AL46" s="3322"/>
      <c r="AM46" s="114"/>
      <c r="AN46" s="99"/>
      <c r="AO46" s="110"/>
      <c r="AP46" s="99"/>
      <c r="AQ46" s="115"/>
      <c r="AR46" s="102" t="s">
        <v>1837</v>
      </c>
      <c r="AU46" s="59"/>
      <c r="AV46" s="59"/>
      <c r="AW46" s="59"/>
      <c r="AX46" s="59"/>
      <c r="AY46" s="59"/>
      <c r="AZ46" s="55"/>
      <c r="BA46" s="59"/>
      <c r="BB46" s="57"/>
      <c r="BC46" s="59"/>
      <c r="BE46" s="59"/>
      <c r="BG46" s="59"/>
      <c r="BH46" s="59"/>
      <c r="BI46" s="59"/>
      <c r="BJ46" s="59"/>
      <c r="BK46" s="59"/>
      <c r="BL46" s="59"/>
      <c r="BM46" s="59"/>
      <c r="BN46" s="59"/>
      <c r="BO46" s="59"/>
      <c r="BP46" s="59"/>
      <c r="BQ46" s="59"/>
      <c r="BR46" s="59"/>
      <c r="BS46" s="59"/>
      <c r="BT46" s="59"/>
      <c r="BU46" s="59"/>
      <c r="BV46" s="59"/>
      <c r="BW46" s="59"/>
      <c r="BX46" s="59"/>
      <c r="BY46" s="59"/>
      <c r="BZ46" s="3322">
        <f>'CALCULS Eau potable'!L117</f>
        <v>0</v>
      </c>
      <c r="CA46" s="3322"/>
      <c r="CB46" s="3322"/>
      <c r="CC46" s="61"/>
      <c r="CD46" s="100"/>
      <c r="CE46" s="43"/>
    </row>
    <row r="47" spans="2:83" ht="9" customHeight="1" x14ac:dyDescent="0.25">
      <c r="B47" s="44"/>
      <c r="C47" s="50"/>
      <c r="D47" s="52"/>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114"/>
      <c r="AN47" s="99"/>
      <c r="AO47" s="110"/>
      <c r="AP47" s="99"/>
      <c r="AQ47" s="115"/>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61"/>
      <c r="CD47" s="100"/>
      <c r="CE47" s="43"/>
    </row>
    <row r="48" spans="2:83" ht="140.25" customHeight="1" x14ac:dyDescent="0.25">
      <c r="B48" s="44"/>
      <c r="C48" s="50"/>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114"/>
      <c r="AN48" s="99"/>
      <c r="AO48" s="110"/>
      <c r="AP48" s="99"/>
      <c r="AQ48" s="115"/>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61"/>
      <c r="CD48" s="100"/>
      <c r="CE48" s="43"/>
    </row>
    <row r="49" spans="2:83" ht="12" customHeight="1" x14ac:dyDescent="0.25">
      <c r="B49" s="44"/>
      <c r="C49" s="91"/>
      <c r="D49" s="105"/>
      <c r="E49" s="92"/>
      <c r="F49" s="92"/>
      <c r="G49" s="92"/>
      <c r="H49" s="92"/>
      <c r="I49" s="92"/>
      <c r="J49" s="92"/>
      <c r="K49" s="92"/>
      <c r="L49" s="92"/>
      <c r="M49" s="92"/>
      <c r="N49" s="92"/>
      <c r="O49" s="92"/>
      <c r="P49" s="92"/>
      <c r="Q49" s="92"/>
      <c r="R49" s="92"/>
      <c r="S49" s="92"/>
      <c r="T49" s="92"/>
      <c r="U49" s="116"/>
      <c r="V49" s="116"/>
      <c r="W49" s="116"/>
      <c r="X49" s="116"/>
      <c r="Y49" s="116"/>
      <c r="Z49" s="116"/>
      <c r="AA49" s="116"/>
      <c r="AB49" s="116"/>
      <c r="AC49" s="116"/>
      <c r="AD49" s="116"/>
      <c r="AE49" s="116"/>
      <c r="AF49" s="116"/>
      <c r="AG49" s="116"/>
      <c r="AH49" s="116"/>
      <c r="AI49" s="116"/>
      <c r="AJ49" s="116"/>
      <c r="AK49" s="116"/>
      <c r="AL49" s="116"/>
      <c r="AM49" s="117"/>
      <c r="AN49" s="99"/>
      <c r="AO49" s="110"/>
      <c r="AP49" s="99"/>
      <c r="AQ49" s="118"/>
      <c r="AR49" s="116"/>
      <c r="AS49" s="116"/>
      <c r="AT49" s="116"/>
      <c r="AU49" s="116"/>
      <c r="AV49" s="116"/>
      <c r="AW49" s="116"/>
      <c r="AX49" s="116"/>
      <c r="AY49" s="116"/>
      <c r="AZ49" s="116"/>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3"/>
      <c r="CD49" s="100"/>
      <c r="CE49" s="43"/>
    </row>
    <row r="50" spans="2:83" ht="12.75" customHeight="1" x14ac:dyDescent="0.25">
      <c r="B50" s="94"/>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119"/>
      <c r="AH50" s="119"/>
      <c r="AI50" s="119"/>
      <c r="AJ50" s="119"/>
      <c r="AK50" s="119"/>
      <c r="AL50" s="119"/>
      <c r="AM50" s="119"/>
      <c r="AN50" s="119"/>
      <c r="AO50" s="110"/>
      <c r="AP50" s="119"/>
      <c r="AQ50" s="119"/>
      <c r="AR50" s="119"/>
      <c r="AS50" s="119"/>
      <c r="AT50" s="119"/>
      <c r="AU50" s="119"/>
      <c r="AV50" s="119"/>
      <c r="AW50" s="119"/>
      <c r="AX50" s="119"/>
      <c r="AY50" s="119"/>
      <c r="AZ50" s="119"/>
      <c r="BA50" s="95"/>
      <c r="BB50" s="95"/>
      <c r="BC50" s="95"/>
      <c r="BD50" s="95"/>
      <c r="BE50" s="95"/>
      <c r="BF50" s="95"/>
      <c r="BG50" s="95"/>
      <c r="BH50" s="95"/>
      <c r="BI50" s="95"/>
      <c r="BJ50" s="95"/>
      <c r="BK50" s="95"/>
      <c r="BL50" s="95"/>
      <c r="BM50" s="95"/>
      <c r="BN50" s="95"/>
      <c r="BO50" s="95"/>
      <c r="BP50" s="95"/>
      <c r="BQ50" s="95"/>
      <c r="BR50" s="95"/>
      <c r="BS50" s="95"/>
      <c r="BT50" s="95"/>
      <c r="BU50" s="95"/>
      <c r="BV50" s="95"/>
      <c r="BW50" s="95"/>
      <c r="BX50" s="95"/>
      <c r="BY50" s="95"/>
      <c r="BZ50" s="95"/>
      <c r="CA50" s="95"/>
      <c r="CB50" s="95"/>
      <c r="CC50" s="95"/>
      <c r="CD50" s="96"/>
      <c r="CE50" s="43"/>
    </row>
    <row r="51" spans="2:83" ht="15.75" customHeight="1" x14ac:dyDescent="0.25">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row>
    <row r="52" spans="2:83" ht="22.5" customHeight="1" x14ac:dyDescent="0.25">
      <c r="B52" s="36"/>
      <c r="C52" s="1031" t="s">
        <v>1841</v>
      </c>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7"/>
      <c r="AR52" s="37"/>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6"/>
      <c r="BZ52" s="39"/>
      <c r="CA52" s="36"/>
      <c r="CB52" s="3311"/>
      <c r="CC52" s="3311"/>
      <c r="CD52" s="38"/>
    </row>
    <row r="53" spans="2:83" ht="6.75" customHeight="1" x14ac:dyDescent="0.25"/>
    <row r="54" spans="2:83" ht="15" customHeight="1" x14ac:dyDescent="0.25">
      <c r="B54" s="40"/>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2"/>
      <c r="CE54" s="43"/>
    </row>
    <row r="55" spans="2:83" ht="9" customHeight="1" x14ac:dyDescent="0.25">
      <c r="B55" s="44"/>
      <c r="C55" s="45"/>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7"/>
      <c r="AD55" s="48"/>
      <c r="AE55" s="45"/>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7"/>
      <c r="BI55" s="99"/>
      <c r="BJ55" s="45"/>
      <c r="BK55" s="46"/>
      <c r="BL55" s="46"/>
      <c r="BM55" s="46"/>
      <c r="BN55" s="46"/>
      <c r="BO55" s="46"/>
      <c r="BP55" s="46"/>
      <c r="BQ55" s="46"/>
      <c r="BR55" s="46"/>
      <c r="BS55" s="46"/>
      <c r="BT55" s="46"/>
      <c r="BU55" s="46"/>
      <c r="BV55" s="46"/>
      <c r="BW55" s="46"/>
      <c r="BX55" s="46"/>
      <c r="BY55" s="46"/>
      <c r="BZ55" s="46"/>
      <c r="CA55" s="46"/>
      <c r="CB55" s="46"/>
      <c r="CC55" s="47"/>
      <c r="CD55" s="100"/>
      <c r="CE55" s="43"/>
    </row>
    <row r="56" spans="2:83" ht="19.5" customHeight="1" x14ac:dyDescent="0.25">
      <c r="B56" s="44"/>
      <c r="C56" s="50"/>
      <c r="D56" s="1158" t="s">
        <v>1838</v>
      </c>
      <c r="E56" s="59"/>
      <c r="F56" s="59"/>
      <c r="G56" s="59"/>
      <c r="H56" s="59"/>
      <c r="I56" s="59"/>
      <c r="J56" s="59"/>
      <c r="K56" s="59"/>
      <c r="L56" s="59"/>
      <c r="M56" s="59"/>
      <c r="N56" s="59"/>
      <c r="O56" s="59"/>
      <c r="P56" s="59"/>
      <c r="Q56" s="59"/>
      <c r="R56" s="59"/>
      <c r="S56" s="59"/>
      <c r="T56" s="76"/>
      <c r="U56" s="76"/>
      <c r="V56" s="55"/>
      <c r="W56" s="76"/>
      <c r="X56" s="76"/>
      <c r="Y56" s="76"/>
      <c r="Z56" s="3323">
        <f>'CALCULS Eau potable'!H203</f>
        <v>0</v>
      </c>
      <c r="AA56" s="3323"/>
      <c r="AB56" s="3323"/>
      <c r="AC56" s="120"/>
      <c r="AD56" s="121"/>
      <c r="AE56" s="122"/>
      <c r="AF56" s="1159" t="s">
        <v>1839</v>
      </c>
      <c r="AG56" s="1164"/>
      <c r="AH56" s="1164"/>
      <c r="AI56" s="123"/>
      <c r="AJ56" s="1164"/>
      <c r="AK56" s="1164"/>
      <c r="AL56" s="1164"/>
      <c r="AM56" s="124"/>
      <c r="AN56" s="124"/>
      <c r="AO56" s="124"/>
      <c r="AP56" s="124"/>
      <c r="AQ56" s="124"/>
      <c r="AR56" s="124"/>
      <c r="AS56" s="125"/>
      <c r="AT56" s="125"/>
      <c r="AU56" s="124"/>
      <c r="AV56" s="124"/>
      <c r="AW56" s="124"/>
      <c r="AX56" s="124"/>
      <c r="AY56" s="59"/>
      <c r="AZ56" s="59"/>
      <c r="BA56" s="59"/>
      <c r="BB56" s="59"/>
      <c r="BC56" s="59"/>
      <c r="BD56" s="57"/>
      <c r="BE56" s="59"/>
      <c r="BF56" s="59"/>
      <c r="BG56" s="59"/>
      <c r="BH56" s="61"/>
      <c r="BI56" s="99"/>
      <c r="BJ56" s="1160" t="s">
        <v>1888</v>
      </c>
      <c r="BL56" s="76"/>
      <c r="BM56" s="76"/>
      <c r="BN56" s="76"/>
      <c r="BO56" s="76"/>
      <c r="BP56" s="76"/>
      <c r="BQ56" s="103"/>
      <c r="BR56" s="76"/>
      <c r="BS56" s="76"/>
      <c r="BT56" s="76"/>
      <c r="BU56" s="126"/>
      <c r="BV56" s="76"/>
      <c r="BW56" s="76"/>
      <c r="BX56" s="76"/>
      <c r="BY56" s="59"/>
      <c r="BZ56" s="76"/>
      <c r="CA56" s="59"/>
      <c r="CB56" s="59"/>
      <c r="CC56" s="61"/>
      <c r="CD56" s="100"/>
      <c r="CE56" s="43"/>
    </row>
    <row r="57" spans="2:83" ht="21" customHeight="1" x14ac:dyDescent="0.25">
      <c r="B57" s="44"/>
      <c r="C57" s="50"/>
      <c r="D57" s="124"/>
      <c r="E57" s="59"/>
      <c r="F57" s="59"/>
      <c r="G57" s="59"/>
      <c r="H57" s="59"/>
      <c r="I57" s="59"/>
      <c r="J57" s="59"/>
      <c r="K57" s="59"/>
      <c r="L57" s="59"/>
      <c r="M57" s="59"/>
      <c r="N57" s="59"/>
      <c r="O57" s="59"/>
      <c r="P57" s="59"/>
      <c r="Q57" s="59"/>
      <c r="R57" s="59"/>
      <c r="S57" s="59"/>
      <c r="T57" s="59"/>
      <c r="U57" s="59"/>
      <c r="V57" s="59"/>
      <c r="W57" s="59"/>
      <c r="X57" s="59"/>
      <c r="Y57" s="59"/>
      <c r="Z57" s="59"/>
      <c r="AA57" s="59"/>
      <c r="AB57" s="55"/>
      <c r="AC57" s="120"/>
      <c r="AD57" s="121"/>
      <c r="AE57" s="122"/>
      <c r="AF57" s="127"/>
      <c r="AG57" s="127"/>
      <c r="AH57" s="127"/>
      <c r="AI57" s="127"/>
      <c r="AJ57" s="127"/>
      <c r="AK57" s="127"/>
      <c r="AL57" s="127"/>
      <c r="AM57" s="59"/>
      <c r="AN57" s="59"/>
      <c r="AO57" s="59"/>
      <c r="AP57" s="59"/>
      <c r="AQ57" s="423" t="s">
        <v>128</v>
      </c>
      <c r="AS57" s="423"/>
      <c r="AT57" s="423"/>
      <c r="AU57" s="3349" t="s">
        <v>129</v>
      </c>
      <c r="AV57" s="3349"/>
      <c r="AW57" s="3349"/>
      <c r="AX57" s="3349"/>
      <c r="AY57" s="3349"/>
      <c r="AZ57" s="3349"/>
      <c r="BA57" s="434"/>
      <c r="BB57" s="434"/>
      <c r="BC57" s="434"/>
      <c r="BD57" s="3349" t="s">
        <v>171</v>
      </c>
      <c r="BE57" s="3349"/>
      <c r="BF57" s="3349"/>
      <c r="BG57" s="128"/>
      <c r="BH57" s="61"/>
      <c r="BI57" s="99"/>
      <c r="BJ57" s="180" t="s">
        <v>1887</v>
      </c>
      <c r="BL57" s="59"/>
      <c r="BM57" s="59"/>
      <c r="BN57" s="59"/>
      <c r="BO57" s="59"/>
      <c r="BP57" s="59"/>
      <c r="BQ57" s="59"/>
      <c r="BR57" s="128"/>
      <c r="BS57" s="128"/>
      <c r="BT57" s="128"/>
      <c r="BU57" s="128"/>
      <c r="BV57" s="128"/>
      <c r="BW57" s="128"/>
      <c r="BX57" s="128"/>
      <c r="BY57" s="59"/>
      <c r="BZ57" s="59"/>
      <c r="CA57" s="59"/>
      <c r="CB57" s="129"/>
      <c r="CC57" s="61"/>
      <c r="CD57" s="100"/>
      <c r="CE57" s="43"/>
    </row>
    <row r="58" spans="2:83" ht="7.5" customHeight="1" x14ac:dyDescent="0.25">
      <c r="B58" s="44"/>
      <c r="C58" s="50"/>
      <c r="D58" s="124"/>
      <c r="E58" s="59"/>
      <c r="F58" s="59"/>
      <c r="G58" s="59"/>
      <c r="H58" s="59"/>
      <c r="I58" s="59"/>
      <c r="J58" s="59"/>
      <c r="K58" s="59"/>
      <c r="L58" s="59"/>
      <c r="M58" s="59"/>
      <c r="N58" s="59"/>
      <c r="O58" s="59"/>
      <c r="P58" s="59"/>
      <c r="Q58" s="59"/>
      <c r="R58" s="59"/>
      <c r="S58" s="59"/>
      <c r="T58" s="59"/>
      <c r="U58" s="59"/>
      <c r="V58" s="59"/>
      <c r="W58" s="59"/>
      <c r="X58" s="59"/>
      <c r="Y58" s="59"/>
      <c r="Z58" s="59"/>
      <c r="AA58" s="59"/>
      <c r="AB58" s="55"/>
      <c r="AC58" s="120"/>
      <c r="AD58" s="121"/>
      <c r="AE58" s="122"/>
      <c r="AF58" s="127"/>
      <c r="AG58" s="127"/>
      <c r="AH58" s="127"/>
      <c r="AI58" s="127"/>
      <c r="AJ58" s="127"/>
      <c r="AK58" s="127"/>
      <c r="AL58" s="127"/>
      <c r="AM58" s="59"/>
      <c r="AN58" s="59"/>
      <c r="AO58" s="59"/>
      <c r="AP58" s="59"/>
      <c r="AQ58" s="59"/>
      <c r="AR58" s="59"/>
      <c r="AS58" s="130"/>
      <c r="AT58" s="130"/>
      <c r="AU58" s="130"/>
      <c r="AV58" s="128"/>
      <c r="AW58" s="128"/>
      <c r="AX58" s="128"/>
      <c r="AY58" s="128"/>
      <c r="AZ58" s="130"/>
      <c r="BA58" s="130"/>
      <c r="BB58" s="130"/>
      <c r="BC58" s="130"/>
      <c r="BD58" s="130"/>
      <c r="BE58" s="130"/>
      <c r="BF58" s="130"/>
      <c r="BG58" s="128"/>
      <c r="BH58" s="61"/>
      <c r="BI58" s="99"/>
      <c r="BJ58" s="466"/>
      <c r="BK58" s="1073"/>
      <c r="BL58" s="1073"/>
      <c r="BM58" s="3323"/>
      <c r="BN58" s="3323"/>
      <c r="BO58" s="3323"/>
      <c r="BP58" s="3323"/>
      <c r="BQ58" s="3323"/>
      <c r="BR58" s="3323"/>
      <c r="BS58" s="127"/>
      <c r="BT58" s="127"/>
      <c r="BU58" s="127"/>
      <c r="BV58" s="127"/>
      <c r="BW58" s="127"/>
      <c r="BX58" s="127"/>
      <c r="BY58" s="59"/>
      <c r="BZ58" s="59"/>
      <c r="CA58" s="59"/>
      <c r="CB58" s="129"/>
      <c r="CC58" s="61"/>
      <c r="CD58" s="100"/>
      <c r="CE58" s="43"/>
    </row>
    <row r="59" spans="2:83" s="72" customFormat="1" ht="19.5" customHeight="1" thickBot="1" x14ac:dyDescent="0.3">
      <c r="B59" s="63"/>
      <c r="C59" s="64"/>
      <c r="D59" s="83"/>
      <c r="E59" s="75"/>
      <c r="F59" s="75"/>
      <c r="G59" s="75"/>
      <c r="H59" s="75"/>
      <c r="I59" s="75"/>
      <c r="J59" s="75"/>
      <c r="K59" s="75"/>
      <c r="L59" s="75"/>
      <c r="M59" s="75"/>
      <c r="N59" s="75"/>
      <c r="O59" s="75"/>
      <c r="P59" s="75"/>
      <c r="Q59" s="75"/>
      <c r="R59" s="75"/>
      <c r="S59" s="75"/>
      <c r="T59" s="75"/>
      <c r="U59" s="75"/>
      <c r="V59" s="82"/>
      <c r="W59" s="75"/>
      <c r="X59" s="82"/>
      <c r="Y59" s="75"/>
      <c r="Z59" s="75"/>
      <c r="AA59" s="75"/>
      <c r="AB59" s="82"/>
      <c r="AC59" s="84"/>
      <c r="AD59" s="131"/>
      <c r="AE59" s="132"/>
      <c r="AF59" s="75"/>
      <c r="AG59" s="133"/>
      <c r="AH59" s="426" t="s">
        <v>9</v>
      </c>
      <c r="AI59" s="134"/>
      <c r="AJ59" s="134"/>
      <c r="AK59" s="134"/>
      <c r="AL59" s="134"/>
      <c r="AM59" s="135"/>
      <c r="AN59" s="135"/>
      <c r="AO59" s="134"/>
      <c r="AP59" s="134"/>
      <c r="AQ59" s="136"/>
      <c r="AR59" s="3355">
        <f>'CALCULS Eau potable'!E222</f>
        <v>0</v>
      </c>
      <c r="AS59" s="3355"/>
      <c r="AT59" s="1138">
        <f>'CALCULS Eau potable'!L222</f>
        <v>0</v>
      </c>
      <c r="AU59" s="3363">
        <f>'CALCULS Eau potable'!F222</f>
        <v>0</v>
      </c>
      <c r="AV59" s="3363"/>
      <c r="AW59" s="3363"/>
      <c r="AX59" s="3363"/>
      <c r="AY59" s="1119"/>
      <c r="AZ59" s="1138">
        <f>'CALCULS Eau potable'!F201</f>
        <v>0</v>
      </c>
      <c r="BA59" s="234"/>
      <c r="BB59" s="3334">
        <f>'CALCULS Eau potable'!G222</f>
        <v>0</v>
      </c>
      <c r="BC59" s="3334"/>
      <c r="BD59" s="3334"/>
      <c r="BE59" s="3334"/>
      <c r="BF59" s="3334"/>
      <c r="BG59" s="3334"/>
      <c r="BH59" s="69"/>
      <c r="BI59" s="137"/>
      <c r="BJ59" s="1162"/>
      <c r="BK59" s="1073">
        <f>'CALCULS Eau potable'!D294</f>
        <v>0</v>
      </c>
      <c r="BL59" s="1073"/>
      <c r="BM59" s="3323"/>
      <c r="BN59" s="3323"/>
      <c r="BO59" s="3323"/>
      <c r="BP59" s="3323"/>
      <c r="BQ59" s="3323"/>
      <c r="BR59" s="3323"/>
      <c r="BS59" s="75"/>
      <c r="BT59" s="75"/>
      <c r="BU59" s="75"/>
      <c r="BV59" s="75"/>
      <c r="BW59" s="75"/>
      <c r="BX59" s="73"/>
      <c r="BY59" s="75"/>
      <c r="BZ59" s="75"/>
      <c r="CA59" s="75"/>
      <c r="CB59" s="75"/>
      <c r="CC59" s="69"/>
      <c r="CD59" s="138"/>
      <c r="CE59" s="71"/>
    </row>
    <row r="60" spans="2:83" ht="6.75" customHeight="1" x14ac:dyDescent="0.25">
      <c r="B60" s="44"/>
      <c r="C60" s="50"/>
      <c r="D60" s="59"/>
      <c r="E60" s="59"/>
      <c r="F60" s="59"/>
      <c r="G60" s="59"/>
      <c r="H60" s="59"/>
      <c r="I60" s="59"/>
      <c r="J60" s="59"/>
      <c r="K60" s="59"/>
      <c r="L60" s="59"/>
      <c r="M60" s="59"/>
      <c r="N60" s="59"/>
      <c r="O60" s="59"/>
      <c r="P60" s="59"/>
      <c r="Q60" s="59"/>
      <c r="R60" s="59"/>
      <c r="S60" s="59"/>
      <c r="T60" s="59"/>
      <c r="U60" s="59"/>
      <c r="V60" s="55"/>
      <c r="W60" s="59"/>
      <c r="X60" s="55"/>
      <c r="Y60" s="59"/>
      <c r="Z60" s="59"/>
      <c r="AA60" s="59"/>
      <c r="AB60" s="55"/>
      <c r="AC60" s="120"/>
      <c r="AD60" s="121"/>
      <c r="AE60" s="122"/>
      <c r="AF60" s="59"/>
      <c r="AG60" s="59"/>
      <c r="AH60" s="427"/>
      <c r="AI60" s="59"/>
      <c r="AJ60" s="59"/>
      <c r="AK60" s="59"/>
      <c r="AL60" s="59"/>
      <c r="AM60" s="139"/>
      <c r="AN60" s="139"/>
      <c r="AO60" s="59"/>
      <c r="AP60" s="59"/>
      <c r="AR60" s="1128"/>
      <c r="AS60" s="1129"/>
      <c r="AT60" s="1137"/>
      <c r="AU60" s="1127"/>
      <c r="AV60" s="1126"/>
      <c r="AW60" s="1127"/>
      <c r="AX60" s="1126"/>
      <c r="AY60" s="435"/>
      <c r="AZ60" s="1146"/>
      <c r="BA60" s="88"/>
      <c r="BB60" s="1133"/>
      <c r="BC60" s="1134"/>
      <c r="BD60" s="1134"/>
      <c r="BE60" s="1134"/>
      <c r="BF60" s="1134"/>
      <c r="BG60" s="1134"/>
      <c r="BH60" s="61"/>
      <c r="BI60" s="99"/>
      <c r="BJ60" s="50"/>
      <c r="BK60" s="59"/>
      <c r="BL60" s="55"/>
      <c r="BM60" s="59"/>
      <c r="BN60" s="55"/>
      <c r="BO60" s="59"/>
      <c r="BP60" s="59"/>
      <c r="BQ60" s="59"/>
      <c r="BR60" s="59"/>
      <c r="BS60" s="59"/>
      <c r="BT60" s="59"/>
      <c r="BU60" s="59"/>
      <c r="BV60" s="59"/>
      <c r="BW60" s="59"/>
      <c r="BX60" s="89"/>
      <c r="BY60" s="59"/>
      <c r="BZ60" s="59"/>
      <c r="CA60" s="59"/>
      <c r="CB60" s="59"/>
      <c r="CC60" s="61"/>
      <c r="CD60" s="100"/>
      <c r="CE60" s="43"/>
    </row>
    <row r="61" spans="2:83" s="72" customFormat="1" ht="19.5" customHeight="1" thickBot="1" x14ac:dyDescent="0.3">
      <c r="B61" s="63"/>
      <c r="C61" s="64"/>
      <c r="D61" s="75"/>
      <c r="E61" s="75"/>
      <c r="F61" s="75"/>
      <c r="G61" s="75"/>
      <c r="H61" s="75"/>
      <c r="I61" s="75"/>
      <c r="J61" s="75"/>
      <c r="K61" s="75"/>
      <c r="L61" s="75"/>
      <c r="M61" s="75"/>
      <c r="N61" s="75"/>
      <c r="O61" s="75"/>
      <c r="P61" s="75"/>
      <c r="Q61" s="75"/>
      <c r="R61" s="75"/>
      <c r="S61" s="75"/>
      <c r="T61" s="75"/>
      <c r="U61" s="75"/>
      <c r="V61" s="82"/>
      <c r="W61" s="75"/>
      <c r="X61" s="82"/>
      <c r="Y61" s="75"/>
      <c r="Z61" s="75"/>
      <c r="AA61" s="75"/>
      <c r="AB61" s="82"/>
      <c r="AC61" s="84"/>
      <c r="AD61" s="131"/>
      <c r="AE61" s="132"/>
      <c r="AF61" s="75"/>
      <c r="AG61" s="140"/>
      <c r="AH61" s="428" t="s">
        <v>10</v>
      </c>
      <c r="AI61" s="141"/>
      <c r="AJ61" s="141"/>
      <c r="AK61" s="141"/>
      <c r="AL61" s="141"/>
      <c r="AM61" s="142"/>
      <c r="AN61" s="142"/>
      <c r="AO61" s="141"/>
      <c r="AP61" s="141"/>
      <c r="AQ61" s="143"/>
      <c r="AR61" s="3354">
        <f>'CALCULS Eau potable'!E223</f>
        <v>0</v>
      </c>
      <c r="AS61" s="3354"/>
      <c r="AT61" s="1139">
        <f>'CALCULS Eau potable'!L222</f>
        <v>0</v>
      </c>
      <c r="AU61" s="3360">
        <f>'CALCULS Eau potable'!F223</f>
        <v>0</v>
      </c>
      <c r="AV61" s="3360"/>
      <c r="AW61" s="3360"/>
      <c r="AX61" s="3360"/>
      <c r="AY61" s="1120"/>
      <c r="AZ61" s="1139">
        <f>'CALCULS Eau potable'!F201</f>
        <v>0</v>
      </c>
      <c r="BA61" s="235"/>
      <c r="BB61" s="3333">
        <f>'CALCULS Eau potable'!G223</f>
        <v>0</v>
      </c>
      <c r="BC61" s="3333"/>
      <c r="BD61" s="3333"/>
      <c r="BE61" s="3333"/>
      <c r="BF61" s="3333"/>
      <c r="BG61" s="3333"/>
      <c r="BH61" s="69"/>
      <c r="BI61" s="137"/>
      <c r="BJ61" s="64"/>
      <c r="BK61" s="75"/>
      <c r="BL61" s="82"/>
      <c r="BM61" s="75"/>
      <c r="BN61" s="82"/>
      <c r="BO61" s="75"/>
      <c r="BP61" s="75"/>
      <c r="BQ61" s="75"/>
      <c r="BR61" s="75"/>
      <c r="BS61" s="75"/>
      <c r="BT61" s="75"/>
      <c r="BU61" s="75"/>
      <c r="BV61" s="75"/>
      <c r="BW61" s="75"/>
      <c r="BX61" s="73"/>
      <c r="BY61" s="75"/>
      <c r="BZ61" s="75"/>
      <c r="CA61" s="75"/>
      <c r="CB61" s="75"/>
      <c r="CC61" s="69"/>
      <c r="CD61" s="138"/>
      <c r="CE61" s="71"/>
    </row>
    <row r="62" spans="2:83" ht="6.75" customHeight="1" x14ac:dyDescent="0.25">
      <c r="B62" s="44"/>
      <c r="C62" s="50"/>
      <c r="D62" s="59"/>
      <c r="E62" s="59"/>
      <c r="F62" s="59"/>
      <c r="G62" s="59"/>
      <c r="H62" s="59"/>
      <c r="I62" s="59"/>
      <c r="J62" s="59"/>
      <c r="K62" s="59"/>
      <c r="L62" s="59"/>
      <c r="M62" s="59"/>
      <c r="N62" s="59"/>
      <c r="O62" s="59"/>
      <c r="P62" s="59"/>
      <c r="Q62" s="59"/>
      <c r="R62" s="59"/>
      <c r="S62" s="59"/>
      <c r="T62" s="59"/>
      <c r="U62" s="59"/>
      <c r="V62" s="55"/>
      <c r="W62" s="59"/>
      <c r="X62" s="55"/>
      <c r="Y62" s="59"/>
      <c r="Z62" s="59"/>
      <c r="AA62" s="59"/>
      <c r="AB62" s="55"/>
      <c r="AC62" s="120"/>
      <c r="AD62" s="121"/>
      <c r="AE62" s="122"/>
      <c r="AF62" s="59"/>
      <c r="AG62" s="59"/>
      <c r="AH62" s="427"/>
      <c r="AI62" s="59"/>
      <c r="AJ62" s="59"/>
      <c r="AK62" s="59"/>
      <c r="AL62" s="59"/>
      <c r="AM62" s="139"/>
      <c r="AN62" s="139"/>
      <c r="AO62" s="59"/>
      <c r="AP62" s="59"/>
      <c r="AR62" s="1128"/>
      <c r="AS62" s="1130"/>
      <c r="AT62" s="1140"/>
      <c r="AU62" s="1127"/>
      <c r="AV62" s="1125"/>
      <c r="AW62" s="1127"/>
      <c r="AX62" s="1125"/>
      <c r="AY62" s="435"/>
      <c r="AZ62" s="1144"/>
      <c r="BA62" s="88"/>
      <c r="BB62" s="1133"/>
      <c r="BC62" s="1134"/>
      <c r="BD62" s="1134"/>
      <c r="BE62" s="1134"/>
      <c r="BF62" s="1134"/>
      <c r="BG62" s="1134"/>
      <c r="BH62" s="61"/>
      <c r="BI62" s="99"/>
      <c r="BJ62" s="50"/>
      <c r="BK62" s="59"/>
      <c r="BL62" s="55"/>
      <c r="BM62" s="59"/>
      <c r="BN62" s="55"/>
      <c r="BO62" s="59"/>
      <c r="BP62" s="59"/>
      <c r="BQ62" s="59"/>
      <c r="BR62" s="59"/>
      <c r="BS62" s="59"/>
      <c r="BT62" s="59"/>
      <c r="BU62" s="59"/>
      <c r="BV62" s="59"/>
      <c r="BW62" s="59"/>
      <c r="BX62" s="89"/>
      <c r="BY62" s="59"/>
      <c r="BZ62" s="59"/>
      <c r="CA62" s="59"/>
      <c r="CB62" s="59"/>
      <c r="CC62" s="61"/>
      <c r="CD62" s="100"/>
      <c r="CE62" s="43"/>
    </row>
    <row r="63" spans="2:83" s="72" customFormat="1" ht="19.5" customHeight="1" thickBot="1" x14ac:dyDescent="0.3">
      <c r="B63" s="63"/>
      <c r="C63" s="64"/>
      <c r="D63" s="75"/>
      <c r="E63" s="75"/>
      <c r="F63" s="75"/>
      <c r="G63" s="75"/>
      <c r="H63" s="75"/>
      <c r="I63" s="75"/>
      <c r="J63" s="75"/>
      <c r="K63" s="75"/>
      <c r="L63" s="75"/>
      <c r="M63" s="75"/>
      <c r="N63" s="75"/>
      <c r="O63" s="75"/>
      <c r="P63" s="75"/>
      <c r="Q63" s="75"/>
      <c r="R63" s="75"/>
      <c r="S63" s="75"/>
      <c r="T63" s="75"/>
      <c r="U63" s="75"/>
      <c r="V63" s="82"/>
      <c r="W63" s="75"/>
      <c r="X63" s="82"/>
      <c r="Y63" s="75"/>
      <c r="Z63" s="75"/>
      <c r="AA63" s="75"/>
      <c r="AB63" s="82"/>
      <c r="AC63" s="84"/>
      <c r="AD63" s="131"/>
      <c r="AE63" s="132"/>
      <c r="AF63" s="75"/>
      <c r="AG63" s="144"/>
      <c r="AH63" s="429" t="s">
        <v>123</v>
      </c>
      <c r="AI63" s="145"/>
      <c r="AJ63" s="145"/>
      <c r="AK63" s="145"/>
      <c r="AL63" s="145"/>
      <c r="AM63" s="146"/>
      <c r="AN63" s="146"/>
      <c r="AO63" s="145"/>
      <c r="AP63" s="145"/>
      <c r="AQ63" s="147"/>
      <c r="AR63" s="3353">
        <f>'CALCULS Eau potable'!E224</f>
        <v>0</v>
      </c>
      <c r="AS63" s="3353"/>
      <c r="AT63" s="1141">
        <f>'CALCULS Eau potable'!L223</f>
        <v>0</v>
      </c>
      <c r="AU63" s="3359">
        <f>'CALCULS Eau potable'!F224</f>
        <v>0</v>
      </c>
      <c r="AV63" s="3359"/>
      <c r="AW63" s="3359"/>
      <c r="AX63" s="3359"/>
      <c r="AY63" s="1121"/>
      <c r="AZ63" s="1141">
        <f>'CALCULS Eau potable'!F202</f>
        <v>0</v>
      </c>
      <c r="BA63" s="236"/>
      <c r="BB63" s="3332">
        <f>'CALCULS Eau potable'!G224</f>
        <v>0</v>
      </c>
      <c r="BC63" s="3332"/>
      <c r="BD63" s="3332"/>
      <c r="BE63" s="3332"/>
      <c r="BF63" s="3332"/>
      <c r="BG63" s="3332"/>
      <c r="BH63" s="69"/>
      <c r="BI63" s="137"/>
      <c r="BJ63" s="64"/>
      <c r="BK63" s="75"/>
      <c r="BL63" s="82"/>
      <c r="BM63" s="75"/>
      <c r="BN63" s="82"/>
      <c r="BO63" s="75"/>
      <c r="BP63" s="75"/>
      <c r="BQ63" s="75"/>
      <c r="BR63" s="75"/>
      <c r="BS63" s="75"/>
      <c r="BT63" s="75"/>
      <c r="BU63" s="75"/>
      <c r="BV63" s="75"/>
      <c r="BW63" s="75"/>
      <c r="BX63" s="73"/>
      <c r="BY63" s="75"/>
      <c r="BZ63" s="75"/>
      <c r="CA63" s="75"/>
      <c r="CB63" s="75"/>
      <c r="CC63" s="69"/>
      <c r="CD63" s="138"/>
      <c r="CE63" s="71"/>
    </row>
    <row r="64" spans="2:83" ht="6.75" customHeight="1" x14ac:dyDescent="0.25">
      <c r="B64" s="44"/>
      <c r="C64" s="50"/>
      <c r="D64" s="59"/>
      <c r="E64" s="59"/>
      <c r="F64" s="59"/>
      <c r="G64" s="59"/>
      <c r="H64" s="59"/>
      <c r="I64" s="59"/>
      <c r="J64" s="59"/>
      <c r="K64" s="59"/>
      <c r="L64" s="59"/>
      <c r="M64" s="59"/>
      <c r="N64" s="59"/>
      <c r="O64" s="59"/>
      <c r="P64" s="59"/>
      <c r="Q64" s="59"/>
      <c r="R64" s="59"/>
      <c r="S64" s="59"/>
      <c r="T64" s="59"/>
      <c r="U64" s="59"/>
      <c r="V64" s="55"/>
      <c r="W64" s="59"/>
      <c r="X64" s="55"/>
      <c r="Y64" s="59"/>
      <c r="Z64" s="59"/>
      <c r="AA64" s="59"/>
      <c r="AB64" s="55"/>
      <c r="AC64" s="120"/>
      <c r="AD64" s="121"/>
      <c r="AE64" s="122"/>
      <c r="AF64" s="59"/>
      <c r="AG64" s="59"/>
      <c r="AH64" s="425"/>
      <c r="AI64" s="59"/>
      <c r="AJ64" s="59"/>
      <c r="AK64" s="59"/>
      <c r="AL64" s="59"/>
      <c r="AM64" s="139"/>
      <c r="AN64" s="139"/>
      <c r="AO64" s="59"/>
      <c r="AP64" s="59"/>
      <c r="AQ64" s="89"/>
      <c r="AR64" s="88"/>
      <c r="AS64" s="1130"/>
      <c r="AT64" s="1140"/>
      <c r="AU64" s="89"/>
      <c r="AV64" s="1125"/>
      <c r="AW64" s="89"/>
      <c r="AX64" s="1125"/>
      <c r="AY64" s="435"/>
      <c r="AZ64" s="1144"/>
      <c r="BA64" s="88"/>
      <c r="BB64" s="1135"/>
      <c r="BC64" s="1134"/>
      <c r="BD64" s="1134"/>
      <c r="BE64" s="1134"/>
      <c r="BF64" s="1134"/>
      <c r="BG64" s="1134"/>
      <c r="BH64" s="61"/>
      <c r="BI64" s="99"/>
      <c r="BJ64" s="50"/>
      <c r="BK64" s="59"/>
      <c r="BL64" s="55"/>
      <c r="BM64" s="59"/>
      <c r="BN64" s="55"/>
      <c r="BO64" s="59"/>
      <c r="BP64" s="59"/>
      <c r="BQ64" s="59"/>
      <c r="BR64" s="59"/>
      <c r="BS64" s="59"/>
      <c r="BT64" s="59"/>
      <c r="BU64" s="59"/>
      <c r="BV64" s="59"/>
      <c r="BW64" s="59"/>
      <c r="BX64" s="89"/>
      <c r="BY64" s="59"/>
      <c r="BZ64" s="59"/>
      <c r="CA64" s="59"/>
      <c r="CB64" s="59"/>
      <c r="CC64" s="61"/>
      <c r="CD64" s="100"/>
      <c r="CE64" s="43"/>
    </row>
    <row r="65" spans="2:83" s="72" customFormat="1" ht="19.5" customHeight="1" thickBot="1" x14ac:dyDescent="0.3">
      <c r="B65" s="63"/>
      <c r="C65" s="64"/>
      <c r="D65" s="75"/>
      <c r="E65" s="75"/>
      <c r="F65" s="75"/>
      <c r="G65" s="75"/>
      <c r="H65" s="75"/>
      <c r="I65" s="75"/>
      <c r="J65" s="75"/>
      <c r="K65" s="75"/>
      <c r="L65" s="75"/>
      <c r="M65" s="75"/>
      <c r="N65" s="75"/>
      <c r="O65" s="75"/>
      <c r="P65" s="75"/>
      <c r="Q65" s="75"/>
      <c r="R65" s="75"/>
      <c r="S65" s="75"/>
      <c r="T65" s="75"/>
      <c r="U65" s="75"/>
      <c r="V65" s="82"/>
      <c r="W65" s="75"/>
      <c r="X65" s="82"/>
      <c r="Y65" s="75"/>
      <c r="Z65" s="75"/>
      <c r="AA65" s="75"/>
      <c r="AB65" s="82"/>
      <c r="AC65" s="84"/>
      <c r="AD65" s="131"/>
      <c r="AE65" s="132"/>
      <c r="AF65" s="75"/>
      <c r="AG65" s="148"/>
      <c r="AH65" s="430" t="s">
        <v>7</v>
      </c>
      <c r="AI65" s="149"/>
      <c r="AJ65" s="149"/>
      <c r="AK65" s="149"/>
      <c r="AL65" s="149"/>
      <c r="AM65" s="150"/>
      <c r="AN65" s="150"/>
      <c r="AO65" s="149"/>
      <c r="AP65" s="149"/>
      <c r="AQ65" s="151"/>
      <c r="AR65" s="3352">
        <f>'CALCULS Eau potable'!E225</f>
        <v>0</v>
      </c>
      <c r="AS65" s="3352"/>
      <c r="AT65" s="1142">
        <f>'CALCULS Eau potable'!L224</f>
        <v>0</v>
      </c>
      <c r="AU65" s="3358">
        <f>'CALCULS Eau potable'!F225</f>
        <v>0</v>
      </c>
      <c r="AV65" s="3358"/>
      <c r="AW65" s="3358"/>
      <c r="AX65" s="3358"/>
      <c r="AY65" s="1122"/>
      <c r="AZ65" s="1142">
        <f>'CALCULS Eau potable'!F202</f>
        <v>0</v>
      </c>
      <c r="BA65" s="237"/>
      <c r="BB65" s="3337">
        <f>'CALCULS Eau potable'!G225</f>
        <v>0</v>
      </c>
      <c r="BC65" s="3337"/>
      <c r="BD65" s="3337"/>
      <c r="BE65" s="3337"/>
      <c r="BF65" s="3337"/>
      <c r="BG65" s="3337"/>
      <c r="BH65" s="69"/>
      <c r="BI65" s="137"/>
      <c r="BJ65" s="64"/>
      <c r="BK65" s="75"/>
      <c r="BL65" s="82"/>
      <c r="BM65" s="75"/>
      <c r="BN65" s="82"/>
      <c r="BO65" s="75"/>
      <c r="BP65" s="75"/>
      <c r="BQ65" s="75"/>
      <c r="BR65" s="75"/>
      <c r="BS65" s="75"/>
      <c r="BT65" s="75"/>
      <c r="BU65" s="75"/>
      <c r="BV65" s="75"/>
      <c r="BW65" s="75"/>
      <c r="BX65" s="73"/>
      <c r="BY65" s="75"/>
      <c r="BZ65" s="75"/>
      <c r="CA65" s="75"/>
      <c r="CB65" s="75"/>
      <c r="CC65" s="69"/>
      <c r="CD65" s="138"/>
      <c r="CE65" s="71"/>
    </row>
    <row r="66" spans="2:83" ht="6.75" customHeight="1" x14ac:dyDescent="0.25">
      <c r="B66" s="44"/>
      <c r="C66" s="50"/>
      <c r="D66" s="59"/>
      <c r="E66" s="59"/>
      <c r="F66" s="59"/>
      <c r="G66" s="59"/>
      <c r="H66" s="59"/>
      <c r="I66" s="59"/>
      <c r="J66" s="59"/>
      <c r="K66" s="59"/>
      <c r="L66" s="59"/>
      <c r="M66" s="59"/>
      <c r="N66" s="59"/>
      <c r="O66" s="59"/>
      <c r="P66" s="59"/>
      <c r="Q66" s="59"/>
      <c r="R66" s="59"/>
      <c r="S66" s="59"/>
      <c r="T66" s="59"/>
      <c r="U66" s="59"/>
      <c r="V66" s="55"/>
      <c r="W66" s="59"/>
      <c r="X66" s="55"/>
      <c r="Y66" s="59"/>
      <c r="Z66" s="59"/>
      <c r="AA66" s="59"/>
      <c r="AB66" s="55"/>
      <c r="AC66" s="120"/>
      <c r="AD66" s="121"/>
      <c r="AE66" s="122"/>
      <c r="AF66" s="59"/>
      <c r="AG66" s="59"/>
      <c r="AH66" s="425"/>
      <c r="AI66" s="59"/>
      <c r="AJ66" s="59"/>
      <c r="AK66" s="59"/>
      <c r="AL66" s="59"/>
      <c r="AM66" s="139"/>
      <c r="AN66" s="139"/>
      <c r="AO66" s="59"/>
      <c r="AP66" s="59"/>
      <c r="AQ66" s="89"/>
      <c r="AR66" s="88"/>
      <c r="AS66" s="1130"/>
      <c r="AT66" s="1140"/>
      <c r="AU66" s="89"/>
      <c r="AV66" s="1125"/>
      <c r="AW66" s="89"/>
      <c r="AX66" s="1125"/>
      <c r="AY66" s="435"/>
      <c r="AZ66" s="1144"/>
      <c r="BA66" s="88"/>
      <c r="BB66" s="1135"/>
      <c r="BC66" s="1134"/>
      <c r="BD66" s="1134"/>
      <c r="BE66" s="1134"/>
      <c r="BF66" s="1134"/>
      <c r="BG66" s="1134"/>
      <c r="BH66" s="61"/>
      <c r="BI66" s="99"/>
      <c r="BJ66" s="50"/>
      <c r="BK66" s="59"/>
      <c r="BL66" s="55"/>
      <c r="BM66" s="59"/>
      <c r="BN66" s="55"/>
      <c r="BO66" s="59"/>
      <c r="BP66" s="59"/>
      <c r="BQ66" s="59"/>
      <c r="BR66" s="59"/>
      <c r="BS66" s="59"/>
      <c r="BT66" s="59"/>
      <c r="BU66" s="59"/>
      <c r="BV66" s="59"/>
      <c r="BW66" s="59"/>
      <c r="BX66" s="89"/>
      <c r="BY66" s="59"/>
      <c r="BZ66" s="59"/>
      <c r="CA66" s="59"/>
      <c r="CB66" s="59"/>
      <c r="CC66" s="61"/>
      <c r="CD66" s="100"/>
      <c r="CE66" s="43"/>
    </row>
    <row r="67" spans="2:83" s="72" customFormat="1" ht="19.5" customHeight="1" thickBot="1" x14ac:dyDescent="0.3">
      <c r="B67" s="63"/>
      <c r="C67" s="64"/>
      <c r="D67" s="75"/>
      <c r="E67" s="75"/>
      <c r="F67" s="75"/>
      <c r="G67" s="75"/>
      <c r="H67" s="75"/>
      <c r="I67" s="75"/>
      <c r="J67" s="75"/>
      <c r="K67" s="75"/>
      <c r="L67" s="75"/>
      <c r="M67" s="75"/>
      <c r="N67" s="75"/>
      <c r="O67" s="75"/>
      <c r="P67" s="75"/>
      <c r="Q67" s="75"/>
      <c r="R67" s="75"/>
      <c r="S67" s="75"/>
      <c r="T67" s="75"/>
      <c r="U67" s="75"/>
      <c r="V67" s="82"/>
      <c r="W67" s="75"/>
      <c r="X67" s="82"/>
      <c r="Y67" s="75"/>
      <c r="Z67" s="75"/>
      <c r="AA67" s="75"/>
      <c r="AB67" s="82"/>
      <c r="AC67" s="84"/>
      <c r="AD67" s="131"/>
      <c r="AE67" s="132"/>
      <c r="AF67" s="75"/>
      <c r="AG67" s="153"/>
      <c r="AH67" s="431" t="s">
        <v>8</v>
      </c>
      <c r="AI67" s="154"/>
      <c r="AJ67" s="154"/>
      <c r="AK67" s="154"/>
      <c r="AL67" s="154"/>
      <c r="AM67" s="155"/>
      <c r="AN67" s="155"/>
      <c r="AO67" s="154"/>
      <c r="AP67" s="154"/>
      <c r="AQ67" s="156"/>
      <c r="AR67" s="3351">
        <f>'CALCULS Eau potable'!E226</f>
        <v>0</v>
      </c>
      <c r="AS67" s="3351"/>
      <c r="AT67" s="1143">
        <f>'CALCULS Eau potable'!L224</f>
        <v>0</v>
      </c>
      <c r="AU67" s="3357">
        <f>'CALCULS Eau potable'!F226</f>
        <v>0</v>
      </c>
      <c r="AV67" s="3357"/>
      <c r="AW67" s="3357"/>
      <c r="AX67" s="3357"/>
      <c r="AY67" s="1123"/>
      <c r="AZ67" s="1143">
        <f>'CALCULS Eau potable'!F202</f>
        <v>0</v>
      </c>
      <c r="BA67" s="238"/>
      <c r="BB67" s="3336">
        <f>'CALCULS Eau potable'!G226</f>
        <v>0</v>
      </c>
      <c r="BC67" s="3336"/>
      <c r="BD67" s="3336"/>
      <c r="BE67" s="3336"/>
      <c r="BF67" s="3336"/>
      <c r="BG67" s="3336"/>
      <c r="BH67" s="69"/>
      <c r="BI67" s="137"/>
      <c r="BJ67" s="64"/>
      <c r="BK67" s="75"/>
      <c r="BL67" s="82"/>
      <c r="BM67" s="75"/>
      <c r="BN67" s="82"/>
      <c r="BO67" s="75"/>
      <c r="BP67" s="75"/>
      <c r="BQ67" s="75"/>
      <c r="BR67" s="75"/>
      <c r="BS67" s="75"/>
      <c r="BT67" s="75"/>
      <c r="BU67" s="75"/>
      <c r="BV67" s="75"/>
      <c r="BW67" s="75"/>
      <c r="BX67" s="73"/>
      <c r="BY67" s="75"/>
      <c r="BZ67" s="75"/>
      <c r="CA67" s="75"/>
      <c r="CB67" s="75"/>
      <c r="CC67" s="69"/>
      <c r="CD67" s="138"/>
      <c r="CE67" s="71"/>
    </row>
    <row r="68" spans="2:83" ht="9" customHeight="1" x14ac:dyDescent="0.25">
      <c r="B68" s="44"/>
      <c r="C68" s="50"/>
      <c r="D68" s="59"/>
      <c r="E68" s="59"/>
      <c r="F68" s="59"/>
      <c r="G68" s="59"/>
      <c r="H68" s="59"/>
      <c r="I68" s="59"/>
      <c r="J68" s="59"/>
      <c r="K68" s="59"/>
      <c r="L68" s="59"/>
      <c r="M68" s="59"/>
      <c r="N68" s="59"/>
      <c r="O68" s="59"/>
      <c r="P68" s="59"/>
      <c r="Q68" s="59"/>
      <c r="R68" s="59"/>
      <c r="S68" s="59"/>
      <c r="T68" s="59"/>
      <c r="U68" s="59"/>
      <c r="V68" s="59"/>
      <c r="W68" s="59"/>
      <c r="X68" s="59"/>
      <c r="Y68" s="59"/>
      <c r="Z68" s="59"/>
      <c r="AA68" s="59"/>
      <c r="AB68" s="55"/>
      <c r="AC68" s="120"/>
      <c r="AD68" s="121"/>
      <c r="AE68" s="122"/>
      <c r="AF68" s="59"/>
      <c r="AG68" s="59"/>
      <c r="AH68" s="432"/>
      <c r="AI68" s="59"/>
      <c r="AJ68" s="59"/>
      <c r="AK68" s="59"/>
      <c r="AL68" s="59"/>
      <c r="AM68" s="59"/>
      <c r="AN68" s="59"/>
      <c r="AO68" s="59"/>
      <c r="AP68" s="59"/>
      <c r="AQ68" s="59"/>
      <c r="AR68" s="139"/>
      <c r="AS68" s="1131"/>
      <c r="AT68" s="1144"/>
      <c r="AU68" s="444"/>
      <c r="AV68" s="1132"/>
      <c r="AW68" s="444"/>
      <c r="AX68" s="1132"/>
      <c r="AY68" s="424"/>
      <c r="AZ68" s="126"/>
      <c r="BA68" s="103"/>
      <c r="BB68" s="1136"/>
      <c r="BC68" s="1136"/>
      <c r="BD68" s="1135"/>
      <c r="BE68" s="1135"/>
      <c r="BF68" s="1135"/>
      <c r="BG68" s="1135"/>
      <c r="BH68" s="61"/>
      <c r="BI68" s="99"/>
      <c r="BJ68" s="50"/>
      <c r="BK68" s="59"/>
      <c r="BL68" s="59"/>
      <c r="BM68" s="59"/>
      <c r="BN68" s="59"/>
      <c r="BO68" s="59"/>
      <c r="BP68" s="59"/>
      <c r="BQ68" s="59"/>
      <c r="BR68" s="59"/>
      <c r="BS68" s="59"/>
      <c r="BT68" s="59"/>
      <c r="BU68" s="59"/>
      <c r="BV68" s="59"/>
      <c r="BW68" s="59"/>
      <c r="BX68" s="59"/>
      <c r="BY68" s="59"/>
      <c r="BZ68" s="59"/>
      <c r="CA68" s="59"/>
      <c r="CB68" s="59"/>
      <c r="CC68" s="61"/>
      <c r="CD68" s="100"/>
      <c r="CE68" s="43"/>
    </row>
    <row r="69" spans="2:83" ht="9" customHeight="1" x14ac:dyDescent="0.25">
      <c r="B69" s="44"/>
      <c r="C69" s="50"/>
      <c r="D69" s="59"/>
      <c r="E69" s="59"/>
      <c r="F69" s="59"/>
      <c r="G69" s="59"/>
      <c r="H69" s="59"/>
      <c r="I69" s="59"/>
      <c r="J69" s="59"/>
      <c r="K69" s="59"/>
      <c r="L69" s="59"/>
      <c r="M69" s="59"/>
      <c r="N69" s="59"/>
      <c r="O69" s="59"/>
      <c r="P69" s="59"/>
      <c r="Q69" s="59"/>
      <c r="R69" s="59"/>
      <c r="S69" s="59"/>
      <c r="T69" s="59"/>
      <c r="U69" s="59"/>
      <c r="V69" s="59"/>
      <c r="W69" s="59"/>
      <c r="X69" s="59"/>
      <c r="Y69" s="59"/>
      <c r="Z69" s="59"/>
      <c r="AA69" s="59"/>
      <c r="AB69" s="55"/>
      <c r="AC69" s="120"/>
      <c r="AD69" s="121"/>
      <c r="AE69" s="122"/>
      <c r="AF69" s="59"/>
      <c r="AG69" s="59"/>
      <c r="AH69" s="432"/>
      <c r="AI69" s="59"/>
      <c r="AJ69" s="59"/>
      <c r="AK69" s="59"/>
      <c r="AL69" s="59"/>
      <c r="AM69" s="59"/>
      <c r="AN69" s="59"/>
      <c r="AO69" s="59"/>
      <c r="AP69" s="59"/>
      <c r="AQ69" s="59"/>
      <c r="AR69" s="139"/>
      <c r="AS69" s="1131"/>
      <c r="AT69" s="1144"/>
      <c r="AU69" s="444"/>
      <c r="AV69" s="1132"/>
      <c r="AW69" s="444"/>
      <c r="AX69" s="1132"/>
      <c r="AY69" s="424"/>
      <c r="AZ69" s="126"/>
      <c r="BA69" s="103"/>
      <c r="BB69" s="1136"/>
      <c r="BC69" s="1136"/>
      <c r="BD69" s="1135"/>
      <c r="BE69" s="1135"/>
      <c r="BF69" s="1135"/>
      <c r="BG69" s="1135"/>
      <c r="BH69" s="61"/>
      <c r="BI69" s="99"/>
      <c r="BJ69" s="50"/>
      <c r="BK69" s="59"/>
      <c r="BL69" s="59"/>
      <c r="BM69" s="59"/>
      <c r="BN69" s="59"/>
      <c r="BO69" s="59"/>
      <c r="BP69" s="59"/>
      <c r="BQ69" s="59"/>
      <c r="BR69" s="59"/>
      <c r="BS69" s="59"/>
      <c r="BT69" s="59"/>
      <c r="BU69" s="59"/>
      <c r="BV69" s="59"/>
      <c r="BW69" s="59"/>
      <c r="BX69" s="59"/>
      <c r="BY69" s="59"/>
      <c r="BZ69" s="59"/>
      <c r="CA69" s="59"/>
      <c r="CB69" s="59"/>
      <c r="CC69" s="61"/>
      <c r="CD69" s="100"/>
      <c r="CE69" s="43"/>
    </row>
    <row r="70" spans="2:83" s="72" customFormat="1" ht="19.5" customHeight="1" thickBot="1" x14ac:dyDescent="0.3">
      <c r="B70" s="63"/>
      <c r="C70" s="64"/>
      <c r="D70" s="75"/>
      <c r="E70" s="75"/>
      <c r="F70" s="75"/>
      <c r="G70" s="75"/>
      <c r="H70" s="75"/>
      <c r="I70" s="75"/>
      <c r="J70" s="75"/>
      <c r="K70" s="75"/>
      <c r="L70" s="75"/>
      <c r="M70" s="75"/>
      <c r="N70" s="75"/>
      <c r="O70" s="75"/>
      <c r="P70" s="75"/>
      <c r="Q70" s="75"/>
      <c r="R70" s="75"/>
      <c r="S70" s="75"/>
      <c r="T70" s="75"/>
      <c r="U70" s="75"/>
      <c r="V70" s="82"/>
      <c r="W70" s="75"/>
      <c r="X70" s="82"/>
      <c r="Y70" s="75"/>
      <c r="Z70" s="75"/>
      <c r="AA70" s="75"/>
      <c r="AB70" s="75"/>
      <c r="AC70" s="69"/>
      <c r="AD70" s="157"/>
      <c r="AE70" s="64"/>
      <c r="AF70" s="75"/>
      <c r="AG70" s="158"/>
      <c r="AH70" s="433" t="s">
        <v>6</v>
      </c>
      <c r="AI70" s="159"/>
      <c r="AJ70" s="159"/>
      <c r="AK70" s="159"/>
      <c r="AL70" s="160"/>
      <c r="AM70" s="159"/>
      <c r="AN70" s="159"/>
      <c r="AO70" s="159"/>
      <c r="AP70" s="159"/>
      <c r="AQ70" s="161"/>
      <c r="AR70" s="3350">
        <f>'CALCULS Eau potable'!E227</f>
        <v>0</v>
      </c>
      <c r="AS70" s="3350"/>
      <c r="AT70" s="1145">
        <f>'CALCULS Eau potable'!H203</f>
        <v>0</v>
      </c>
      <c r="AU70" s="3356">
        <f>'CALCULS Eau potable'!F227</f>
        <v>0</v>
      </c>
      <c r="AV70" s="3356"/>
      <c r="AW70" s="3356"/>
      <c r="AX70" s="3356"/>
      <c r="AY70" s="1124"/>
      <c r="AZ70" s="1145">
        <f>'CALCULS Eau potable'!H201</f>
        <v>0</v>
      </c>
      <c r="BA70" s="239"/>
      <c r="BB70" s="3335">
        <f>'CALCULS Eau potable'!G227</f>
        <v>0</v>
      </c>
      <c r="BC70" s="3335"/>
      <c r="BD70" s="3335"/>
      <c r="BE70" s="3335"/>
      <c r="BF70" s="3335"/>
      <c r="BG70" s="3335"/>
      <c r="BH70" s="69"/>
      <c r="BI70" s="137"/>
      <c r="BJ70" s="64"/>
      <c r="BK70" s="75"/>
      <c r="BL70" s="3383"/>
      <c r="BM70" s="3383"/>
      <c r="BN70" s="3383"/>
      <c r="BO70" s="3383"/>
      <c r="BP70" s="3383"/>
      <c r="BQ70" s="3383"/>
      <c r="BR70" s="3383"/>
      <c r="BS70" s="3383"/>
      <c r="BT70" s="3383"/>
      <c r="BU70" s="3383"/>
      <c r="BV70" s="3383"/>
      <c r="BW70" s="3383"/>
      <c r="BX70" s="3383"/>
      <c r="BY70" s="3383"/>
      <c r="BZ70" s="3383"/>
      <c r="CA70" s="3383"/>
      <c r="CB70" s="75"/>
      <c r="CC70" s="69"/>
      <c r="CD70" s="138"/>
      <c r="CE70" s="71"/>
    </row>
    <row r="71" spans="2:83" ht="16.5" customHeight="1" thickTop="1" thickBot="1" x14ac:dyDescent="0.35">
      <c r="B71" s="44"/>
      <c r="C71" s="91"/>
      <c r="D71" s="92"/>
      <c r="E71" s="92"/>
      <c r="F71" s="92"/>
      <c r="G71" s="92"/>
      <c r="H71" s="92"/>
      <c r="I71" s="92"/>
      <c r="J71" s="92"/>
      <c r="K71" s="92"/>
      <c r="L71" s="92"/>
      <c r="M71" s="92"/>
      <c r="N71" s="92"/>
      <c r="O71" s="92"/>
      <c r="P71" s="92"/>
      <c r="Q71" s="92"/>
      <c r="R71" s="92"/>
      <c r="S71" s="92"/>
      <c r="T71" s="92"/>
      <c r="U71" s="92"/>
      <c r="V71" s="162"/>
      <c r="W71" s="92"/>
      <c r="X71" s="162"/>
      <c r="Y71" s="92"/>
      <c r="Z71" s="92"/>
      <c r="AA71" s="92"/>
      <c r="AB71" s="92"/>
      <c r="AC71" s="93"/>
      <c r="AD71" s="48"/>
      <c r="AE71" s="91"/>
      <c r="AF71" s="92"/>
      <c r="AG71" s="92"/>
      <c r="AH71" s="163"/>
      <c r="AI71" s="92"/>
      <c r="AJ71" s="92"/>
      <c r="AK71" s="92"/>
      <c r="AL71" s="92"/>
      <c r="AM71" s="92"/>
      <c r="AN71" s="92"/>
      <c r="AO71" s="92"/>
      <c r="AP71" s="92"/>
      <c r="AQ71" s="164"/>
      <c r="AR71" s="164"/>
      <c r="AS71" s="165"/>
      <c r="AT71" s="165"/>
      <c r="AU71" s="165"/>
      <c r="AV71" s="165"/>
      <c r="AW71" s="165"/>
      <c r="AX71" s="165"/>
      <c r="AY71" s="92"/>
      <c r="AZ71" s="92"/>
      <c r="BA71" s="92"/>
      <c r="BB71" s="92"/>
      <c r="BC71" s="92"/>
      <c r="BD71" s="92"/>
      <c r="BE71" s="92"/>
      <c r="BF71" s="92"/>
      <c r="BG71" s="92"/>
      <c r="BH71" s="93"/>
      <c r="BI71" s="99"/>
      <c r="BJ71" s="50"/>
      <c r="BK71" s="437"/>
      <c r="BL71" s="3383"/>
      <c r="BM71" s="3383"/>
      <c r="BN71" s="3383"/>
      <c r="BO71" s="3383"/>
      <c r="BP71" s="3383"/>
      <c r="BQ71" s="3383"/>
      <c r="BR71" s="3383"/>
      <c r="BS71" s="3383"/>
      <c r="BT71" s="3383"/>
      <c r="BU71" s="3383"/>
      <c r="BV71" s="3383"/>
      <c r="BW71" s="3383"/>
      <c r="BX71" s="3383"/>
      <c r="BY71" s="3383"/>
      <c r="BZ71" s="3383"/>
      <c r="CA71" s="3383"/>
      <c r="CB71" s="1272"/>
      <c r="CC71" s="61"/>
      <c r="CD71" s="100"/>
      <c r="CE71" s="43"/>
    </row>
    <row r="72" spans="2:83" ht="13.5" customHeight="1" thickTop="1" x14ac:dyDescent="0.25">
      <c r="B72" s="44"/>
      <c r="C72" s="99"/>
      <c r="D72" s="99"/>
      <c r="E72" s="99"/>
      <c r="F72" s="99"/>
      <c r="G72" s="99"/>
      <c r="H72" s="99"/>
      <c r="I72" s="99"/>
      <c r="J72" s="99"/>
      <c r="K72" s="99"/>
      <c r="L72" s="99"/>
      <c r="M72" s="99"/>
      <c r="N72" s="99"/>
      <c r="O72" s="99"/>
      <c r="P72" s="99"/>
      <c r="Q72" s="99"/>
      <c r="R72" s="99"/>
      <c r="S72" s="99"/>
      <c r="T72" s="99"/>
      <c r="U72" s="99"/>
      <c r="V72" s="166"/>
      <c r="W72" s="99"/>
      <c r="X72" s="166"/>
      <c r="Y72" s="99"/>
      <c r="Z72" s="99"/>
      <c r="AA72" s="99"/>
      <c r="AB72" s="99"/>
      <c r="AC72" s="99"/>
      <c r="AD72" s="99"/>
      <c r="AE72" s="99"/>
      <c r="AF72" s="99"/>
      <c r="AG72" s="99"/>
      <c r="AH72" s="166"/>
      <c r="AI72" s="99"/>
      <c r="AJ72" s="99"/>
      <c r="AK72" s="99"/>
      <c r="AL72" s="99"/>
      <c r="AM72" s="99"/>
      <c r="AN72" s="99"/>
      <c r="AO72" s="99"/>
      <c r="AP72" s="99"/>
      <c r="AQ72" s="167"/>
      <c r="AR72" s="167"/>
      <c r="AS72" s="168"/>
      <c r="AT72" s="168"/>
      <c r="AU72" s="168"/>
      <c r="AV72" s="168"/>
      <c r="AW72" s="168"/>
      <c r="AX72" s="168"/>
      <c r="AY72" s="99"/>
      <c r="AZ72" s="99"/>
      <c r="BA72" s="99"/>
      <c r="BB72" s="99"/>
      <c r="BC72" s="99"/>
      <c r="BD72" s="99"/>
      <c r="BE72" s="99"/>
      <c r="BF72" s="99"/>
      <c r="BG72" s="99"/>
      <c r="BH72" s="99"/>
      <c r="BI72" s="100"/>
      <c r="BJ72" s="59"/>
      <c r="BK72" s="59"/>
      <c r="BL72" s="3383"/>
      <c r="BM72" s="3383"/>
      <c r="BN72" s="3383"/>
      <c r="BO72" s="3383"/>
      <c r="BP72" s="3383"/>
      <c r="BQ72" s="3383"/>
      <c r="BR72" s="3383"/>
      <c r="BS72" s="3383"/>
      <c r="BT72" s="3383"/>
      <c r="BU72" s="3383"/>
      <c r="BV72" s="3383"/>
      <c r="BW72" s="3383"/>
      <c r="BX72" s="3383"/>
      <c r="BY72" s="3383"/>
      <c r="BZ72" s="3383"/>
      <c r="CA72" s="3383"/>
      <c r="CB72" s="59"/>
      <c r="CC72" s="61"/>
      <c r="CD72" s="100"/>
      <c r="CE72" s="43"/>
    </row>
    <row r="73" spans="2:83" ht="9" customHeight="1" thickBot="1" x14ac:dyDescent="0.3">
      <c r="B73" s="44"/>
      <c r="C73" s="113"/>
      <c r="D73" s="111"/>
      <c r="E73" s="111"/>
      <c r="F73" s="111"/>
      <c r="G73" s="111"/>
      <c r="H73" s="111"/>
      <c r="I73" s="111"/>
      <c r="J73" s="111"/>
      <c r="K73" s="111"/>
      <c r="L73" s="111"/>
      <c r="M73" s="111"/>
      <c r="N73" s="111"/>
      <c r="O73" s="111"/>
      <c r="P73" s="111"/>
      <c r="Q73" s="111"/>
      <c r="R73" s="111"/>
      <c r="S73" s="111"/>
      <c r="T73" s="111"/>
      <c r="U73" s="111"/>
      <c r="V73" s="169"/>
      <c r="W73" s="111"/>
      <c r="X73" s="169"/>
      <c r="Y73" s="111"/>
      <c r="Z73" s="111"/>
      <c r="AA73" s="111"/>
      <c r="AB73" s="111"/>
      <c r="AC73" s="111"/>
      <c r="AD73" s="111"/>
      <c r="AE73" s="111"/>
      <c r="AF73" s="111"/>
      <c r="AG73" s="111"/>
      <c r="AH73" s="169"/>
      <c r="AI73" s="111"/>
      <c r="AJ73" s="111"/>
      <c r="AK73" s="111"/>
      <c r="AL73" s="111"/>
      <c r="AM73" s="111"/>
      <c r="AN73" s="111"/>
      <c r="AO73" s="111"/>
      <c r="AP73" s="111"/>
      <c r="AQ73" s="170"/>
      <c r="AR73" s="170"/>
      <c r="AS73" s="171"/>
      <c r="AT73" s="171"/>
      <c r="AU73" s="171"/>
      <c r="AV73" s="171"/>
      <c r="AW73" s="171"/>
      <c r="AX73" s="171"/>
      <c r="AY73" s="111"/>
      <c r="AZ73" s="111"/>
      <c r="BA73" s="111"/>
      <c r="BB73" s="111"/>
      <c r="BC73" s="111"/>
      <c r="BD73" s="111"/>
      <c r="BE73" s="111"/>
      <c r="BF73" s="111"/>
      <c r="BG73" s="111"/>
      <c r="BH73" s="112"/>
      <c r="BI73" s="99"/>
      <c r="BJ73" s="50"/>
      <c r="BM73" s="436"/>
      <c r="BN73" s="436"/>
      <c r="BO73" s="436"/>
      <c r="BP73" s="436"/>
      <c r="BQ73" s="436"/>
      <c r="BR73" s="436"/>
      <c r="BS73" s="436"/>
      <c r="BT73" s="436"/>
      <c r="BU73" s="436"/>
      <c r="BV73" s="436"/>
      <c r="BW73" s="436"/>
      <c r="BX73" s="436"/>
      <c r="BY73" s="436"/>
      <c r="BZ73" s="436"/>
      <c r="CA73" s="436"/>
      <c r="CB73" s="59"/>
      <c r="CC73" s="61"/>
      <c r="CD73" s="100"/>
      <c r="CE73" s="43"/>
    </row>
    <row r="74" spans="2:83" s="72" customFormat="1" ht="16.5" customHeight="1" thickTop="1" thickBot="1" x14ac:dyDescent="0.35">
      <c r="B74" s="63"/>
      <c r="C74" s="172"/>
      <c r="D74" s="51" t="s">
        <v>1889</v>
      </c>
      <c r="AB74" s="75"/>
      <c r="AC74" s="75"/>
      <c r="AD74" s="75"/>
      <c r="AE74" s="75"/>
      <c r="AF74" s="75"/>
      <c r="AG74" s="62"/>
      <c r="AH74" s="173"/>
      <c r="AI74" s="173"/>
      <c r="AJ74" s="174"/>
      <c r="AK74" s="174"/>
      <c r="AL74" s="174"/>
      <c r="AM74" s="174"/>
      <c r="AN74" s="174"/>
      <c r="AO74" s="174"/>
      <c r="AP74" s="174"/>
      <c r="AQ74" s="174"/>
      <c r="AR74" s="174"/>
      <c r="AS74" s="174"/>
      <c r="AT74" s="174"/>
      <c r="AU74" s="174"/>
      <c r="AV74" s="174"/>
      <c r="AW74" s="174"/>
      <c r="AX74" s="174"/>
      <c r="AY74" s="174"/>
      <c r="AZ74" s="174"/>
      <c r="BA74" s="174"/>
      <c r="BB74" s="174"/>
      <c r="BC74" s="174"/>
      <c r="BD74" s="174"/>
      <c r="BE74" s="174"/>
      <c r="BF74" s="174"/>
      <c r="BG74" s="75"/>
      <c r="BH74" s="175"/>
      <c r="BI74" s="137"/>
      <c r="BJ74" s="64"/>
      <c r="BK74" s="437"/>
      <c r="BL74" s="3379"/>
      <c r="BM74" s="3379"/>
      <c r="BN74" s="3379"/>
      <c r="BO74" s="3379"/>
      <c r="BP74" s="3379"/>
      <c r="BQ74" s="3379"/>
      <c r="BR74" s="3379"/>
      <c r="BS74" s="3379"/>
      <c r="BT74" s="3379"/>
      <c r="BU74" s="3379"/>
      <c r="BV74" s="3379"/>
      <c r="BW74" s="3379"/>
      <c r="BX74" s="3379"/>
      <c r="BY74" s="3379"/>
      <c r="BZ74" s="3379"/>
      <c r="CA74" s="3379"/>
      <c r="CB74" s="3307"/>
      <c r="CC74" s="3308"/>
      <c r="CD74" s="138"/>
      <c r="CE74" s="71"/>
    </row>
    <row r="75" spans="2:83" ht="10.5" customHeight="1" thickTop="1" thickBot="1" x14ac:dyDescent="0.3">
      <c r="B75" s="44"/>
      <c r="C75" s="115"/>
      <c r="D75" s="59"/>
      <c r="E75" s="59"/>
      <c r="F75" s="59"/>
      <c r="G75" s="59"/>
      <c r="H75" s="59"/>
      <c r="I75" s="59"/>
      <c r="J75" s="59"/>
      <c r="K75" s="59"/>
      <c r="L75" s="59"/>
      <c r="M75" s="59"/>
      <c r="N75" s="59"/>
      <c r="O75" s="59"/>
      <c r="P75" s="59"/>
      <c r="Q75" s="59"/>
      <c r="R75" s="59"/>
      <c r="S75" s="59"/>
      <c r="T75" s="59"/>
      <c r="U75" s="59"/>
      <c r="V75" s="55"/>
      <c r="W75" s="59"/>
      <c r="X75" s="55"/>
      <c r="Y75" s="59"/>
      <c r="Z75" s="59"/>
      <c r="AA75" s="59"/>
      <c r="AB75" s="59"/>
      <c r="AC75" s="59"/>
      <c r="AD75" s="59"/>
      <c r="AE75" s="59"/>
      <c r="AF75" s="59"/>
      <c r="AG75" s="59"/>
      <c r="AH75" s="55"/>
      <c r="AI75" s="59"/>
      <c r="AJ75" s="59"/>
      <c r="AK75" s="59"/>
      <c r="AL75" s="59"/>
      <c r="AM75" s="59"/>
      <c r="AN75" s="59"/>
      <c r="AO75" s="59"/>
      <c r="AP75" s="59"/>
      <c r="AQ75" s="89"/>
      <c r="AR75" s="89"/>
      <c r="AS75" s="139"/>
      <c r="AT75" s="139"/>
      <c r="AU75" s="139"/>
      <c r="AV75" s="139"/>
      <c r="AW75" s="139"/>
      <c r="AX75" s="139"/>
      <c r="AY75" s="59"/>
      <c r="AZ75" s="59"/>
      <c r="BA75" s="59"/>
      <c r="BB75" s="59"/>
      <c r="BC75" s="59"/>
      <c r="BD75" s="59"/>
      <c r="BE75" s="59"/>
      <c r="BF75" s="59"/>
      <c r="BG75" s="59"/>
      <c r="BH75" s="114"/>
      <c r="BI75" s="99"/>
      <c r="BJ75" s="50"/>
      <c r="BK75" s="59"/>
      <c r="BL75" s="3379"/>
      <c r="BM75" s="3379"/>
      <c r="BN75" s="3379"/>
      <c r="BO75" s="3379"/>
      <c r="BP75" s="3379"/>
      <c r="BQ75" s="3379"/>
      <c r="BR75" s="3379"/>
      <c r="BS75" s="3379"/>
      <c r="BT75" s="3379"/>
      <c r="BU75" s="3379"/>
      <c r="BV75" s="3379"/>
      <c r="BW75" s="3379"/>
      <c r="BX75" s="3379"/>
      <c r="BY75" s="3379"/>
      <c r="BZ75" s="3379"/>
      <c r="CA75" s="3379"/>
      <c r="CC75" s="61"/>
      <c r="CD75" s="100"/>
      <c r="CE75" s="43"/>
    </row>
    <row r="76" spans="2:83" ht="16.5" customHeight="1" thickTop="1" thickBot="1" x14ac:dyDescent="0.35">
      <c r="B76" s="44"/>
      <c r="C76" s="115"/>
      <c r="D76" s="1038" t="s">
        <v>154</v>
      </c>
      <c r="E76" s="1040"/>
      <c r="F76" s="1040"/>
      <c r="G76" s="1041"/>
      <c r="H76" s="1042"/>
      <c r="I76" s="1041"/>
      <c r="J76" s="1043"/>
      <c r="K76" s="1041"/>
      <c r="L76" s="1044"/>
      <c r="M76" s="1041"/>
      <c r="N76" s="1044"/>
      <c r="O76" s="1041"/>
      <c r="P76" s="1044"/>
      <c r="Q76" s="1041"/>
      <c r="R76" s="1044"/>
      <c r="S76" s="1044"/>
      <c r="T76" s="1045"/>
      <c r="U76" s="1046"/>
      <c r="V76" s="1046"/>
      <c r="W76" s="1046"/>
      <c r="X76" s="1046"/>
      <c r="Y76" s="1046"/>
      <c r="Z76" s="1046"/>
      <c r="AA76" s="1046"/>
      <c r="AB76" s="2561" t="str">
        <f>IF(('FORMULAIRE PGA Eau potable'!$H$81='MENU DÉROULANT'!$C$28),"(Aucun actif)","")</f>
        <v/>
      </c>
      <c r="AC76" s="1047"/>
      <c r="AD76" s="59"/>
      <c r="AE76" s="1038" t="s">
        <v>44</v>
      </c>
      <c r="AF76" s="1040"/>
      <c r="AG76" s="1040"/>
      <c r="AH76" s="1041"/>
      <c r="AI76" s="1042"/>
      <c r="AJ76" s="1041"/>
      <c r="AK76" s="1043"/>
      <c r="AL76" s="1041"/>
      <c r="AM76" s="1044"/>
      <c r="AN76" s="1041"/>
      <c r="AO76" s="1044"/>
      <c r="AP76" s="1041"/>
      <c r="AQ76" s="1044"/>
      <c r="AR76" s="1044"/>
      <c r="AS76" s="1041"/>
      <c r="AT76" s="1041"/>
      <c r="AU76" s="1044"/>
      <c r="AV76" s="1044"/>
      <c r="AW76" s="1045"/>
      <c r="AX76" s="1046"/>
      <c r="AY76" s="1046"/>
      <c r="AZ76" s="1046"/>
      <c r="BA76" s="1046"/>
      <c r="BB76" s="1046"/>
      <c r="BC76" s="1046"/>
      <c r="BD76" s="1046"/>
      <c r="BE76" s="1046"/>
      <c r="BF76" s="2561" t="str">
        <f>IF(('FORMULAIRE PGA Eau potable'!$H$120='MENU DÉROULANT'!$F$28),"(Aucun actif)","")</f>
        <v/>
      </c>
      <c r="BG76" s="1047"/>
      <c r="BH76" s="114"/>
      <c r="BI76" s="99"/>
      <c r="BJ76" s="50"/>
      <c r="BK76" s="437"/>
      <c r="BL76" s="3379"/>
      <c r="BM76" s="3379"/>
      <c r="BN76" s="3379"/>
      <c r="BO76" s="3379"/>
      <c r="BP76" s="3379"/>
      <c r="BQ76" s="3379"/>
      <c r="BR76" s="3379"/>
      <c r="BS76" s="3379"/>
      <c r="BT76" s="3379"/>
      <c r="BU76" s="3379"/>
      <c r="BV76" s="3379"/>
      <c r="BW76" s="3379"/>
      <c r="BX76" s="3379"/>
      <c r="BY76" s="3379"/>
      <c r="BZ76" s="3379"/>
      <c r="CA76" s="3379"/>
      <c r="CB76" s="3307"/>
      <c r="CC76" s="3308"/>
      <c r="CD76" s="100"/>
      <c r="CE76" s="43"/>
    </row>
    <row r="77" spans="2:83" ht="10.5" customHeight="1" thickTop="1" x14ac:dyDescent="0.25">
      <c r="B77" s="44"/>
      <c r="C77" s="115"/>
      <c r="D77" s="1087"/>
      <c r="E77" s="1082"/>
      <c r="F77" s="1082"/>
      <c r="G77" s="1082"/>
      <c r="H77" s="1082"/>
      <c r="I77" s="1082"/>
      <c r="J77" s="1082"/>
      <c r="K77" s="1082"/>
      <c r="L77" s="1082"/>
      <c r="M77" s="1082"/>
      <c r="N77" s="1082"/>
      <c r="O77" s="1082"/>
      <c r="P77" s="1082"/>
      <c r="Q77" s="1082"/>
      <c r="R77" s="1082"/>
      <c r="S77" s="1082"/>
      <c r="T77" s="1082"/>
      <c r="U77" s="1082"/>
      <c r="V77" s="1082"/>
      <c r="W77" s="46"/>
      <c r="X77" s="468"/>
      <c r="Y77" s="46"/>
      <c r="Z77" s="46"/>
      <c r="AA77" s="46"/>
      <c r="AB77" s="46"/>
      <c r="AC77" s="47"/>
      <c r="AD77" s="59"/>
      <c r="AE77" s="45"/>
      <c r="AF77" s="46"/>
      <c r="AG77" s="46"/>
      <c r="AH77" s="1082"/>
      <c r="AI77" s="1082"/>
      <c r="AJ77" s="1082"/>
      <c r="AK77" s="1082"/>
      <c r="AL77" s="1082"/>
      <c r="AM77" s="1082"/>
      <c r="AN77" s="1082"/>
      <c r="AO77" s="1082"/>
      <c r="AP77" s="1082"/>
      <c r="AQ77" s="1082"/>
      <c r="AR77" s="1082"/>
      <c r="AS77" s="1082"/>
      <c r="AT77" s="1082"/>
      <c r="AU77" s="1082"/>
      <c r="AV77" s="1082"/>
      <c r="AW77" s="1082"/>
      <c r="AX77" s="1082"/>
      <c r="AY77" s="1082"/>
      <c r="AZ77" s="1082"/>
      <c r="BA77" s="1082"/>
      <c r="BB77" s="1082"/>
      <c r="BC77" s="46"/>
      <c r="BD77" s="46"/>
      <c r="BE77" s="46"/>
      <c r="BF77" s="46"/>
      <c r="BG77" s="47"/>
      <c r="BH77" s="114"/>
      <c r="BI77" s="99"/>
      <c r="BJ77" s="50"/>
      <c r="BK77" s="55"/>
      <c r="BL77" s="3379"/>
      <c r="BM77" s="3379"/>
      <c r="BN77" s="3379"/>
      <c r="BO77" s="3379"/>
      <c r="BP77" s="3379"/>
      <c r="BQ77" s="3379"/>
      <c r="BR77" s="3379"/>
      <c r="BS77" s="3379"/>
      <c r="BT77" s="3379"/>
      <c r="BU77" s="3379"/>
      <c r="BV77" s="3379"/>
      <c r="BW77" s="3379"/>
      <c r="BX77" s="3379"/>
      <c r="BY77" s="3379"/>
      <c r="BZ77" s="3379"/>
      <c r="CA77" s="3379"/>
      <c r="CC77" s="61"/>
      <c r="CD77" s="100"/>
      <c r="CE77" s="43"/>
    </row>
    <row r="78" spans="2:83" ht="18" customHeight="1" x14ac:dyDescent="0.3">
      <c r="B78" s="44"/>
      <c r="C78" s="115"/>
      <c r="D78" s="1157">
        <f>'CALCULS Eau potable'!O244</f>
        <v>0</v>
      </c>
      <c r="E78" s="1088" t="s">
        <v>41</v>
      </c>
      <c r="F78" s="3380">
        <f>'CALCULS Eau potable'!P244</f>
        <v>0</v>
      </c>
      <c r="G78" s="3380"/>
      <c r="H78" s="3380"/>
      <c r="I78" s="441"/>
      <c r="J78" s="440" t="s">
        <v>2063</v>
      </c>
      <c r="K78" s="441"/>
      <c r="L78" s="1084"/>
      <c r="M78" s="1084"/>
      <c r="N78" s="1083"/>
      <c r="O78" s="1083"/>
      <c r="P78" s="1083"/>
      <c r="Q78" s="441"/>
      <c r="R78" s="441"/>
      <c r="S78" s="441"/>
      <c r="T78" s="441"/>
      <c r="U78" s="441"/>
      <c r="V78" s="441"/>
      <c r="W78" s="1084"/>
      <c r="X78" s="1084"/>
      <c r="Y78" s="1084"/>
      <c r="Z78" s="3318">
        <f>'CALCULS Eau potable'!D248</f>
        <v>0</v>
      </c>
      <c r="AA78" s="3318"/>
      <c r="AB78" s="3318"/>
      <c r="AC78" s="3319"/>
      <c r="AD78" s="59"/>
      <c r="AE78" s="50"/>
      <c r="AF78" s="3344">
        <f>'CALCULS Eau potable'!O261</f>
        <v>0</v>
      </c>
      <c r="AG78" s="3344"/>
      <c r="AH78" s="3344"/>
      <c r="AI78" s="3344"/>
      <c r="AJ78" s="3344"/>
      <c r="AK78" s="3344"/>
      <c r="AL78" s="3344"/>
      <c r="AM78" s="3344"/>
      <c r="AN78" s="3343" t="s">
        <v>41</v>
      </c>
      <c r="AO78" s="3343"/>
      <c r="AP78" s="3343"/>
      <c r="AQ78" s="3380">
        <f>'CALCULS Eau potable'!P261</f>
        <v>0</v>
      </c>
      <c r="AR78" s="3380"/>
      <c r="AS78" s="440" t="s">
        <v>2063</v>
      </c>
      <c r="AT78" s="440"/>
      <c r="AU78" s="1083"/>
      <c r="AV78" s="1083"/>
      <c r="AW78" s="441"/>
      <c r="AX78" s="441"/>
      <c r="AY78" s="441"/>
      <c r="AZ78" s="1084"/>
      <c r="BA78" s="1084"/>
      <c r="BB78" s="1084"/>
      <c r="BC78" s="1084"/>
      <c r="BD78" s="3318">
        <f>'CALCULS Eau potable'!D265</f>
        <v>0</v>
      </c>
      <c r="BE78" s="3318"/>
      <c r="BF78" s="3318"/>
      <c r="BG78" s="3319"/>
      <c r="BH78" s="114"/>
      <c r="BI78" s="99"/>
      <c r="BJ78" s="50"/>
      <c r="BK78" s="55"/>
      <c r="BL78" s="3379"/>
      <c r="BM78" s="3379"/>
      <c r="BN78" s="3379"/>
      <c r="BO78" s="3379"/>
      <c r="BP78" s="3379"/>
      <c r="BQ78" s="3379"/>
      <c r="BR78" s="3379"/>
      <c r="BS78" s="3379"/>
      <c r="BT78" s="3379"/>
      <c r="BU78" s="3379"/>
      <c r="BV78" s="3379"/>
      <c r="BW78" s="3379"/>
      <c r="BX78" s="3379"/>
      <c r="BY78" s="3379"/>
      <c r="BZ78" s="3379"/>
      <c r="CA78" s="3379"/>
      <c r="CB78" s="3307"/>
      <c r="CC78" s="3308"/>
      <c r="CD78" s="100"/>
      <c r="CE78" s="43"/>
    </row>
    <row r="79" spans="2:83" ht="10.5" customHeight="1" thickBot="1" x14ac:dyDescent="0.3">
      <c r="B79" s="44"/>
      <c r="C79" s="115"/>
      <c r="D79" s="1089"/>
      <c r="E79" s="439"/>
      <c r="F79" s="1083"/>
      <c r="G79" s="441"/>
      <c r="H79" s="441"/>
      <c r="I79" s="441"/>
      <c r="J79" s="441"/>
      <c r="K79" s="441"/>
      <c r="L79" s="441"/>
      <c r="M79" s="441"/>
      <c r="N79" s="1083"/>
      <c r="O79" s="1083"/>
      <c r="P79" s="1083"/>
      <c r="Q79" s="441"/>
      <c r="R79" s="441"/>
      <c r="S79" s="441"/>
      <c r="T79" s="441"/>
      <c r="U79" s="442"/>
      <c r="V79" s="442"/>
      <c r="W79" s="1084"/>
      <c r="X79" s="1084"/>
      <c r="Y79" s="1084"/>
      <c r="Z79" s="1084"/>
      <c r="AA79" s="59"/>
      <c r="AB79" s="59"/>
      <c r="AC79" s="61"/>
      <c r="AD79" s="59"/>
      <c r="AE79" s="50"/>
      <c r="AF79" s="423"/>
      <c r="AG79" s="423"/>
      <c r="AH79" s="438"/>
      <c r="AI79" s="439"/>
      <c r="AJ79" s="1083"/>
      <c r="AK79" s="441"/>
      <c r="AL79" s="441"/>
      <c r="AM79" s="441"/>
      <c r="AN79" s="441"/>
      <c r="AO79" s="441"/>
      <c r="AP79" s="441"/>
      <c r="AQ79" s="441"/>
      <c r="AR79" s="441"/>
      <c r="AS79" s="1083"/>
      <c r="AT79" s="1083"/>
      <c r="AU79" s="1083"/>
      <c r="AV79" s="1083"/>
      <c r="AW79" s="441"/>
      <c r="AX79" s="441"/>
      <c r="AY79" s="441"/>
      <c r="AZ79" s="442"/>
      <c r="BA79" s="442"/>
      <c r="BB79" s="442"/>
      <c r="BC79" s="1084"/>
      <c r="BD79" s="423"/>
      <c r="BE79" s="59"/>
      <c r="BF79" s="59"/>
      <c r="BG79" s="61"/>
      <c r="BH79" s="114"/>
      <c r="BI79" s="99"/>
      <c r="BJ79" s="50"/>
      <c r="BK79" s="55"/>
      <c r="BL79" s="3379"/>
      <c r="BM79" s="3379"/>
      <c r="BN79" s="3379"/>
      <c r="BO79" s="3379"/>
      <c r="BP79" s="3379"/>
      <c r="BQ79" s="3379"/>
      <c r="BR79" s="3379"/>
      <c r="BS79" s="3379"/>
      <c r="BT79" s="3379"/>
      <c r="BU79" s="3379"/>
      <c r="BV79" s="3379"/>
      <c r="BW79" s="3379"/>
      <c r="BX79" s="3379"/>
      <c r="BY79" s="3379"/>
      <c r="BZ79" s="3379"/>
      <c r="CA79" s="3379"/>
      <c r="CC79" s="61"/>
      <c r="CD79" s="100"/>
      <c r="CE79" s="43"/>
    </row>
    <row r="80" spans="2:83" ht="16.5" customHeight="1" thickTop="1" thickBot="1" x14ac:dyDescent="0.35">
      <c r="B80" s="44"/>
      <c r="C80" s="115"/>
      <c r="D80" s="1090" t="s">
        <v>252</v>
      </c>
      <c r="E80" s="1084"/>
      <c r="F80" s="1084"/>
      <c r="G80" s="1084"/>
      <c r="H80" s="1084"/>
      <c r="I80" s="1084"/>
      <c r="J80" s="1084"/>
      <c r="K80" s="1084"/>
      <c r="L80" s="1084"/>
      <c r="M80" s="1084"/>
      <c r="N80" s="1084"/>
      <c r="O80" s="1084"/>
      <c r="P80" s="1084"/>
      <c r="Q80" s="1084"/>
      <c r="R80" s="1084"/>
      <c r="S80" s="1084"/>
      <c r="T80" s="1084"/>
      <c r="U80" s="1084"/>
      <c r="V80" s="1084"/>
      <c r="W80" s="1084"/>
      <c r="X80" s="1084"/>
      <c r="Y80" s="1084"/>
      <c r="Z80" s="1084"/>
      <c r="AA80" s="59"/>
      <c r="AB80" s="59"/>
      <c r="AC80" s="61"/>
      <c r="AD80" s="59"/>
      <c r="AE80" s="50"/>
      <c r="AF80" s="1085" t="s">
        <v>252</v>
      </c>
      <c r="AG80" s="423"/>
      <c r="AH80" s="1086"/>
      <c r="AI80" s="1084"/>
      <c r="AJ80" s="1084"/>
      <c r="AK80" s="1084"/>
      <c r="AL80" s="1084"/>
      <c r="AM80" s="1084"/>
      <c r="AN80" s="1084"/>
      <c r="AO80" s="1084"/>
      <c r="AP80" s="1084"/>
      <c r="AQ80" s="1084"/>
      <c r="AR80" s="1084"/>
      <c r="AS80" s="1084"/>
      <c r="AT80" s="1084"/>
      <c r="AU80" s="1084"/>
      <c r="AV80" s="1084"/>
      <c r="AW80" s="1084"/>
      <c r="AX80" s="1084"/>
      <c r="AY80" s="1084"/>
      <c r="AZ80" s="1084"/>
      <c r="BA80" s="1084"/>
      <c r="BB80" s="1084"/>
      <c r="BC80" s="1084"/>
      <c r="BD80" s="423"/>
      <c r="BE80" s="59"/>
      <c r="BF80" s="59"/>
      <c r="BG80" s="61"/>
      <c r="BH80" s="114"/>
      <c r="BI80" s="99"/>
      <c r="BJ80" s="50"/>
      <c r="BK80" s="437"/>
      <c r="BL80" s="3379"/>
      <c r="BM80" s="3379"/>
      <c r="BN80" s="3379"/>
      <c r="BO80" s="3379"/>
      <c r="BP80" s="3379"/>
      <c r="BQ80" s="3379"/>
      <c r="BR80" s="3379"/>
      <c r="BS80" s="3379"/>
      <c r="BT80" s="3379"/>
      <c r="BU80" s="3379"/>
      <c r="BV80" s="3379"/>
      <c r="BW80" s="3379"/>
      <c r="BX80" s="3379"/>
      <c r="BY80" s="3379"/>
      <c r="BZ80" s="3379"/>
      <c r="CA80" s="3379"/>
      <c r="CB80" s="3307"/>
      <c r="CC80" s="3308"/>
      <c r="CD80" s="100"/>
      <c r="CE80" s="43"/>
    </row>
    <row r="81" spans="2:83" ht="10.5" customHeight="1" thickTop="1" x14ac:dyDescent="0.25">
      <c r="B81" s="44"/>
      <c r="C81" s="115"/>
      <c r="D81" s="50"/>
      <c r="E81" s="59"/>
      <c r="F81" s="59"/>
      <c r="G81" s="59"/>
      <c r="H81" s="59"/>
      <c r="I81" s="59"/>
      <c r="J81" s="59"/>
      <c r="K81" s="59"/>
      <c r="L81" s="59"/>
      <c r="M81" s="59"/>
      <c r="N81" s="59"/>
      <c r="O81" s="59"/>
      <c r="P81" s="59"/>
      <c r="Q81" s="59"/>
      <c r="R81" s="59"/>
      <c r="S81" s="59"/>
      <c r="T81" s="59"/>
      <c r="U81" s="59"/>
      <c r="V81" s="55"/>
      <c r="W81" s="59"/>
      <c r="X81" s="55"/>
      <c r="Y81" s="59"/>
      <c r="Z81" s="59"/>
      <c r="AA81" s="59"/>
      <c r="AB81" s="59"/>
      <c r="AC81" s="61"/>
      <c r="AD81" s="59"/>
      <c r="AE81" s="50"/>
      <c r="AF81" s="59"/>
      <c r="AG81" s="59"/>
      <c r="AH81" s="55"/>
      <c r="AI81" s="59"/>
      <c r="AJ81" s="59"/>
      <c r="AK81" s="59"/>
      <c r="AL81" s="59"/>
      <c r="AM81" s="59"/>
      <c r="AN81" s="59"/>
      <c r="AO81" s="59"/>
      <c r="AP81" s="59"/>
      <c r="AQ81" s="89"/>
      <c r="AR81" s="89"/>
      <c r="AS81" s="139"/>
      <c r="AT81" s="139"/>
      <c r="AU81" s="139"/>
      <c r="AV81" s="139"/>
      <c r="AW81" s="139"/>
      <c r="AX81" s="139"/>
      <c r="AY81" s="59"/>
      <c r="AZ81" s="59"/>
      <c r="BA81" s="59"/>
      <c r="BB81" s="59"/>
      <c r="BC81" s="59"/>
      <c r="BD81" s="59"/>
      <c r="BE81" s="59"/>
      <c r="BF81" s="59"/>
      <c r="BG81" s="61"/>
      <c r="BH81" s="114"/>
      <c r="BI81" s="99"/>
      <c r="BJ81" s="50"/>
      <c r="BK81" s="55"/>
      <c r="BL81" s="3379"/>
      <c r="BM81" s="3379"/>
      <c r="BN81" s="3379"/>
      <c r="BO81" s="3379"/>
      <c r="BP81" s="3379"/>
      <c r="BQ81" s="3379"/>
      <c r="BR81" s="3379"/>
      <c r="BS81" s="3379"/>
      <c r="BT81" s="3379"/>
      <c r="BU81" s="3379"/>
      <c r="BV81" s="3379"/>
      <c r="BW81" s="3379"/>
      <c r="BX81" s="3379"/>
      <c r="BY81" s="3379"/>
      <c r="BZ81" s="3379"/>
      <c r="CA81" s="3379"/>
      <c r="CB81" s="59"/>
      <c r="CC81" s="61"/>
      <c r="CD81" s="100"/>
      <c r="CE81" s="43"/>
    </row>
    <row r="82" spans="2:83" ht="16.5" customHeight="1" x14ac:dyDescent="0.3">
      <c r="B82" s="44"/>
      <c r="C82" s="115"/>
      <c r="D82" s="50"/>
      <c r="E82" s="59"/>
      <c r="F82" s="59"/>
      <c r="G82" s="59"/>
      <c r="H82" s="59"/>
      <c r="I82" s="59"/>
      <c r="J82" s="59"/>
      <c r="K82" s="59"/>
      <c r="L82" s="59"/>
      <c r="M82" s="59"/>
      <c r="N82" s="59"/>
      <c r="O82" s="59"/>
      <c r="P82" s="59"/>
      <c r="Q82" s="59"/>
      <c r="R82" s="59"/>
      <c r="S82" s="59"/>
      <c r="T82" s="59"/>
      <c r="U82" s="59"/>
      <c r="V82" s="55"/>
      <c r="W82" s="59"/>
      <c r="X82" s="55"/>
      <c r="Y82" s="59"/>
      <c r="Z82" s="59"/>
      <c r="AA82" s="59"/>
      <c r="AB82" s="59"/>
      <c r="AC82" s="61"/>
      <c r="AD82" s="59"/>
      <c r="AE82" s="50"/>
      <c r="AF82" s="59"/>
      <c r="AG82" s="59"/>
      <c r="AH82" s="55"/>
      <c r="AI82" s="59"/>
      <c r="AJ82" s="59"/>
      <c r="AK82" s="59"/>
      <c r="AL82" s="59"/>
      <c r="AM82" s="59"/>
      <c r="AN82" s="59"/>
      <c r="AO82" s="59"/>
      <c r="AP82" s="59"/>
      <c r="AQ82" s="89"/>
      <c r="AR82" s="89"/>
      <c r="AS82" s="139"/>
      <c r="AT82" s="139"/>
      <c r="AU82" s="139"/>
      <c r="AV82" s="139"/>
      <c r="AW82" s="139"/>
      <c r="AX82" s="139"/>
      <c r="AY82" s="59"/>
      <c r="AZ82" s="59"/>
      <c r="BA82" s="59"/>
      <c r="BB82" s="59"/>
      <c r="BC82" s="59"/>
      <c r="BD82" s="59"/>
      <c r="BE82" s="59"/>
      <c r="BF82" s="59"/>
      <c r="BG82" s="61"/>
      <c r="BH82" s="114"/>
      <c r="BI82" s="99"/>
      <c r="BJ82" s="50"/>
      <c r="BK82" s="55"/>
      <c r="BL82" s="3379"/>
      <c r="BM82" s="3379"/>
      <c r="BN82" s="3379"/>
      <c r="BO82" s="3379"/>
      <c r="BP82" s="3379"/>
      <c r="BQ82" s="3379"/>
      <c r="BR82" s="3379"/>
      <c r="BS82" s="3379"/>
      <c r="BT82" s="3379"/>
      <c r="BU82" s="3379"/>
      <c r="BV82" s="3379"/>
      <c r="BW82" s="3379"/>
      <c r="BX82" s="3379"/>
      <c r="BY82" s="3379"/>
      <c r="BZ82" s="3379"/>
      <c r="CA82" s="3379"/>
      <c r="CB82" s="1272"/>
      <c r="CC82" s="61"/>
      <c r="CD82" s="100"/>
      <c r="CE82" s="43"/>
    </row>
    <row r="83" spans="2:83" ht="5.25" customHeight="1" x14ac:dyDescent="0.25">
      <c r="B83" s="44"/>
      <c r="C83" s="115"/>
      <c r="D83" s="50"/>
      <c r="E83" s="59"/>
      <c r="F83" s="59"/>
      <c r="G83" s="59"/>
      <c r="H83" s="59"/>
      <c r="I83" s="59"/>
      <c r="J83" s="59"/>
      <c r="K83" s="59"/>
      <c r="L83" s="59"/>
      <c r="M83" s="59"/>
      <c r="N83" s="59"/>
      <c r="O83" s="59"/>
      <c r="P83" s="59"/>
      <c r="Q83" s="59"/>
      <c r="R83" s="59"/>
      <c r="S83" s="59"/>
      <c r="T83" s="59"/>
      <c r="U83" s="59"/>
      <c r="V83" s="55"/>
      <c r="W83" s="59"/>
      <c r="X83" s="55"/>
      <c r="Y83" s="59"/>
      <c r="Z83" s="59"/>
      <c r="AA83" s="59"/>
      <c r="AB83" s="59"/>
      <c r="AC83" s="61"/>
      <c r="AD83" s="59"/>
      <c r="AE83" s="50"/>
      <c r="AF83" s="59"/>
      <c r="AG83" s="59"/>
      <c r="AH83" s="55"/>
      <c r="AI83" s="59"/>
      <c r="AJ83" s="59"/>
      <c r="AK83" s="59"/>
      <c r="AL83" s="59"/>
      <c r="AM83" s="59"/>
      <c r="AN83" s="59"/>
      <c r="AO83" s="59"/>
      <c r="AP83" s="59"/>
      <c r="AQ83" s="89"/>
      <c r="AR83" s="89"/>
      <c r="AS83" s="139"/>
      <c r="AT83" s="139"/>
      <c r="AU83" s="139"/>
      <c r="AV83" s="139"/>
      <c r="AW83" s="139"/>
      <c r="AX83" s="139"/>
      <c r="AY83" s="59"/>
      <c r="AZ83" s="59"/>
      <c r="BA83" s="59"/>
      <c r="BB83" s="59"/>
      <c r="BC83" s="59"/>
      <c r="BD83" s="59"/>
      <c r="BE83" s="59"/>
      <c r="BF83" s="59"/>
      <c r="BG83" s="61"/>
      <c r="BH83" s="114"/>
      <c r="BI83" s="99"/>
      <c r="BJ83" s="50"/>
      <c r="BK83" s="55"/>
      <c r="CB83" s="59"/>
      <c r="CC83" s="61"/>
      <c r="CD83" s="100"/>
      <c r="CE83" s="43"/>
    </row>
    <row r="84" spans="2:83" ht="5.25" customHeight="1" thickBot="1" x14ac:dyDescent="0.3">
      <c r="B84" s="44"/>
      <c r="C84" s="115"/>
      <c r="D84" s="50"/>
      <c r="E84" s="59"/>
      <c r="F84" s="59"/>
      <c r="G84" s="59"/>
      <c r="H84" s="59"/>
      <c r="I84" s="59"/>
      <c r="J84" s="59"/>
      <c r="K84" s="59"/>
      <c r="L84" s="59"/>
      <c r="M84" s="59"/>
      <c r="N84" s="59"/>
      <c r="O84" s="59"/>
      <c r="P84" s="59"/>
      <c r="Q84" s="59"/>
      <c r="R84" s="59"/>
      <c r="S84" s="59"/>
      <c r="T84" s="59"/>
      <c r="U84" s="59"/>
      <c r="V84" s="55"/>
      <c r="W84" s="59"/>
      <c r="X84" s="55"/>
      <c r="Y84" s="59"/>
      <c r="Z84" s="59"/>
      <c r="AA84" s="59"/>
      <c r="AB84" s="59"/>
      <c r="AC84" s="61"/>
      <c r="AD84" s="59"/>
      <c r="AE84" s="50"/>
      <c r="AF84" s="59"/>
      <c r="AG84" s="59"/>
      <c r="AH84" s="55"/>
      <c r="AI84" s="59"/>
      <c r="AJ84" s="59"/>
      <c r="AK84" s="59"/>
      <c r="AL84" s="59"/>
      <c r="AM84" s="59"/>
      <c r="AN84" s="59"/>
      <c r="AO84" s="59"/>
      <c r="AP84" s="59"/>
      <c r="AQ84" s="89"/>
      <c r="AR84" s="89"/>
      <c r="AS84" s="139"/>
      <c r="AT84" s="139"/>
      <c r="AU84" s="139"/>
      <c r="AV84" s="139"/>
      <c r="AW84" s="139"/>
      <c r="AX84" s="139"/>
      <c r="AY84" s="59"/>
      <c r="AZ84" s="59"/>
      <c r="BA84" s="59"/>
      <c r="BB84" s="59"/>
      <c r="BC84" s="59"/>
      <c r="BD84" s="59"/>
      <c r="BE84" s="59"/>
      <c r="BF84" s="59"/>
      <c r="BG84" s="61"/>
      <c r="BH84" s="114"/>
      <c r="BI84" s="99"/>
      <c r="BJ84" s="50"/>
      <c r="BK84" s="55"/>
      <c r="BL84" s="3379"/>
      <c r="BM84" s="3379"/>
      <c r="BN84" s="3379"/>
      <c r="BO84" s="3379"/>
      <c r="BP84" s="3379"/>
      <c r="BQ84" s="3379"/>
      <c r="BR84" s="3379"/>
      <c r="BS84" s="3379"/>
      <c r="BT84" s="3379"/>
      <c r="BU84" s="3379"/>
      <c r="BV84" s="3379"/>
      <c r="BW84" s="3379"/>
      <c r="BX84" s="3379"/>
      <c r="BY84" s="3379"/>
      <c r="BZ84" s="3379"/>
      <c r="CA84" s="3379"/>
      <c r="CC84" s="61"/>
      <c r="CD84" s="100"/>
      <c r="CE84" s="43"/>
    </row>
    <row r="85" spans="2:83" ht="16.5" customHeight="1" thickTop="1" thickBot="1" x14ac:dyDescent="0.35">
      <c r="B85" s="44"/>
      <c r="C85" s="115"/>
      <c r="D85" s="50"/>
      <c r="E85" s="59"/>
      <c r="F85" s="59"/>
      <c r="G85" s="59"/>
      <c r="H85" s="59"/>
      <c r="I85" s="59"/>
      <c r="J85" s="59"/>
      <c r="K85" s="59"/>
      <c r="L85" s="59"/>
      <c r="M85" s="59"/>
      <c r="N85" s="59"/>
      <c r="O85" s="59"/>
      <c r="P85" s="59"/>
      <c r="Q85" s="59"/>
      <c r="R85" s="59"/>
      <c r="S85" s="59"/>
      <c r="T85" s="59"/>
      <c r="U85" s="59"/>
      <c r="V85" s="55"/>
      <c r="W85" s="59"/>
      <c r="X85" s="55"/>
      <c r="Y85" s="59"/>
      <c r="Z85" s="59"/>
      <c r="AA85" s="59"/>
      <c r="AB85" s="59"/>
      <c r="AC85" s="61"/>
      <c r="AD85" s="59"/>
      <c r="AE85" s="50"/>
      <c r="AF85" s="59"/>
      <c r="AG85" s="59"/>
      <c r="AH85" s="55"/>
      <c r="AI85" s="59"/>
      <c r="AJ85" s="59"/>
      <c r="AK85" s="59"/>
      <c r="AL85" s="59"/>
      <c r="AM85" s="59"/>
      <c r="AN85" s="59"/>
      <c r="AO85" s="59"/>
      <c r="AP85" s="59"/>
      <c r="AQ85" s="89"/>
      <c r="AR85" s="89"/>
      <c r="AS85" s="139"/>
      <c r="AT85" s="139"/>
      <c r="AU85" s="139"/>
      <c r="AV85" s="139"/>
      <c r="AW85" s="139"/>
      <c r="AX85" s="139"/>
      <c r="AY85" s="59"/>
      <c r="AZ85" s="59"/>
      <c r="BA85" s="59"/>
      <c r="BB85" s="59"/>
      <c r="BC85" s="59"/>
      <c r="BD85" s="59"/>
      <c r="BE85" s="59"/>
      <c r="BF85" s="59"/>
      <c r="BG85" s="61"/>
      <c r="BH85" s="114"/>
      <c r="BI85" s="99"/>
      <c r="BJ85" s="50"/>
      <c r="BK85" s="1154"/>
      <c r="BL85" s="3379"/>
      <c r="BM85" s="3379"/>
      <c r="BN85" s="3379"/>
      <c r="BO85" s="3379"/>
      <c r="BP85" s="3379"/>
      <c r="BQ85" s="3379"/>
      <c r="BR85" s="3379"/>
      <c r="BS85" s="3379"/>
      <c r="BT85" s="3379"/>
      <c r="BU85" s="3379"/>
      <c r="BV85" s="3379"/>
      <c r="BW85" s="3379"/>
      <c r="BX85" s="3379"/>
      <c r="BY85" s="3379"/>
      <c r="BZ85" s="3379"/>
      <c r="CA85" s="3379"/>
      <c r="CB85" s="3307"/>
      <c r="CC85" s="3308"/>
      <c r="CD85" s="100"/>
      <c r="CE85" s="43"/>
    </row>
    <row r="86" spans="2:83" ht="4.5" customHeight="1" thickTop="1" x14ac:dyDescent="0.25">
      <c r="B86" s="44"/>
      <c r="C86" s="115"/>
      <c r="D86" s="50"/>
      <c r="E86" s="59"/>
      <c r="F86" s="59"/>
      <c r="G86" s="59"/>
      <c r="H86" s="59"/>
      <c r="I86" s="59"/>
      <c r="J86" s="59"/>
      <c r="K86" s="59"/>
      <c r="L86" s="59"/>
      <c r="M86" s="59"/>
      <c r="N86" s="59"/>
      <c r="O86" s="59"/>
      <c r="P86" s="59"/>
      <c r="Q86" s="59"/>
      <c r="R86" s="59"/>
      <c r="S86" s="59"/>
      <c r="T86" s="59"/>
      <c r="U86" s="59"/>
      <c r="V86" s="55"/>
      <c r="W86" s="59"/>
      <c r="X86" s="55"/>
      <c r="Y86" s="59"/>
      <c r="Z86" s="59"/>
      <c r="AA86" s="59"/>
      <c r="AB86" s="59"/>
      <c r="AC86" s="61"/>
      <c r="AD86" s="59"/>
      <c r="AE86" s="50"/>
      <c r="AF86" s="59"/>
      <c r="AG86" s="59"/>
      <c r="AH86" s="55"/>
      <c r="AI86" s="59"/>
      <c r="AJ86" s="59"/>
      <c r="AK86" s="59"/>
      <c r="AL86" s="59"/>
      <c r="AM86" s="59"/>
      <c r="AN86" s="59"/>
      <c r="AO86" s="59"/>
      <c r="AP86" s="59"/>
      <c r="AQ86" s="89"/>
      <c r="AR86" s="89"/>
      <c r="AS86" s="139"/>
      <c r="AT86" s="139"/>
      <c r="AU86" s="139"/>
      <c r="AV86" s="139"/>
      <c r="AW86" s="139"/>
      <c r="AX86" s="139"/>
      <c r="AY86" s="59"/>
      <c r="AZ86" s="59"/>
      <c r="BA86" s="59"/>
      <c r="BB86" s="59"/>
      <c r="BC86" s="59"/>
      <c r="BD86" s="59"/>
      <c r="BE86" s="59"/>
      <c r="BF86" s="59"/>
      <c r="BG86" s="61"/>
      <c r="BH86" s="114"/>
      <c r="BI86" s="99"/>
      <c r="BJ86" s="50"/>
      <c r="BK86" s="55"/>
      <c r="BL86" s="3379"/>
      <c r="BM86" s="3379"/>
      <c r="BN86" s="3379"/>
      <c r="BO86" s="3379"/>
      <c r="BP86" s="3379"/>
      <c r="BQ86" s="3379"/>
      <c r="BR86" s="3379"/>
      <c r="BS86" s="3379"/>
      <c r="BT86" s="3379"/>
      <c r="BU86" s="3379"/>
      <c r="BV86" s="3379"/>
      <c r="BW86" s="3379"/>
      <c r="BX86" s="3379"/>
      <c r="BY86" s="3379"/>
      <c r="BZ86" s="3379"/>
      <c r="CA86" s="3379"/>
      <c r="CC86" s="61"/>
      <c r="CD86" s="100"/>
      <c r="CE86" s="43"/>
    </row>
    <row r="87" spans="2:83" ht="5.25" customHeight="1" thickBot="1" x14ac:dyDescent="0.3">
      <c r="B87" s="44"/>
      <c r="C87" s="115"/>
      <c r="D87" s="50"/>
      <c r="E87" s="59"/>
      <c r="F87" s="59"/>
      <c r="G87" s="59"/>
      <c r="H87" s="59"/>
      <c r="I87" s="59"/>
      <c r="J87" s="59"/>
      <c r="K87" s="59"/>
      <c r="L87" s="59"/>
      <c r="M87" s="59"/>
      <c r="N87" s="59"/>
      <c r="O87" s="59"/>
      <c r="P87" s="59"/>
      <c r="Q87" s="59"/>
      <c r="R87" s="59"/>
      <c r="S87" s="59"/>
      <c r="T87" s="59"/>
      <c r="U87" s="59"/>
      <c r="V87" s="55"/>
      <c r="W87" s="59"/>
      <c r="X87" s="55"/>
      <c r="Y87" s="59"/>
      <c r="Z87" s="59"/>
      <c r="AA87" s="59"/>
      <c r="AB87" s="59"/>
      <c r="AC87" s="61"/>
      <c r="AD87" s="59"/>
      <c r="AE87" s="50"/>
      <c r="AF87" s="59"/>
      <c r="AG87" s="59"/>
      <c r="AH87" s="55"/>
      <c r="AI87" s="59"/>
      <c r="AJ87" s="59"/>
      <c r="AK87" s="59"/>
      <c r="AL87" s="59"/>
      <c r="AM87" s="59"/>
      <c r="AN87" s="59"/>
      <c r="AO87" s="59"/>
      <c r="AP87" s="59"/>
      <c r="AQ87" s="89"/>
      <c r="AR87" s="89"/>
      <c r="AS87" s="139"/>
      <c r="AT87" s="139"/>
      <c r="AU87" s="139"/>
      <c r="AV87" s="139"/>
      <c r="AW87" s="139"/>
      <c r="AX87" s="139"/>
      <c r="AY87" s="59"/>
      <c r="AZ87" s="59"/>
      <c r="BA87" s="59"/>
      <c r="BB87" s="59"/>
      <c r="BC87" s="59"/>
      <c r="BD87" s="59"/>
      <c r="BE87" s="59"/>
      <c r="BF87" s="59"/>
      <c r="BG87" s="61"/>
      <c r="BH87" s="114"/>
      <c r="BI87" s="99"/>
      <c r="BJ87" s="50"/>
      <c r="BK87" s="55"/>
      <c r="BL87" s="3379"/>
      <c r="BM87" s="3379"/>
      <c r="BN87" s="3379"/>
      <c r="BO87" s="3379"/>
      <c r="BP87" s="3379"/>
      <c r="BQ87" s="3379"/>
      <c r="BR87" s="3379"/>
      <c r="BS87" s="3379"/>
      <c r="BT87" s="3379"/>
      <c r="BU87" s="3379"/>
      <c r="BV87" s="3379"/>
      <c r="BW87" s="3379"/>
      <c r="BX87" s="3379"/>
      <c r="BY87" s="3379"/>
      <c r="BZ87" s="3379"/>
      <c r="CA87" s="3379"/>
      <c r="CB87" s="59"/>
      <c r="CC87" s="61"/>
      <c r="CD87" s="100"/>
      <c r="CE87" s="43"/>
    </row>
    <row r="88" spans="2:83" ht="18" customHeight="1" thickTop="1" thickBot="1" x14ac:dyDescent="0.35">
      <c r="B88" s="44"/>
      <c r="C88" s="115"/>
      <c r="D88" s="50"/>
      <c r="E88" s="59"/>
      <c r="F88" s="59"/>
      <c r="G88" s="59"/>
      <c r="H88" s="59"/>
      <c r="I88" s="59"/>
      <c r="J88" s="59"/>
      <c r="K88" s="59"/>
      <c r="L88" s="59"/>
      <c r="M88" s="59"/>
      <c r="N88" s="59"/>
      <c r="O88" s="59"/>
      <c r="P88" s="59"/>
      <c r="Q88" s="59"/>
      <c r="R88" s="59"/>
      <c r="S88" s="59"/>
      <c r="T88" s="59"/>
      <c r="U88" s="59"/>
      <c r="V88" s="55"/>
      <c r="W88" s="59"/>
      <c r="X88" s="55"/>
      <c r="Y88" s="59"/>
      <c r="Z88" s="59"/>
      <c r="AA88" s="59"/>
      <c r="AB88" s="59"/>
      <c r="AC88" s="61"/>
      <c r="AD88" s="59"/>
      <c r="AE88" s="50"/>
      <c r="AF88" s="59"/>
      <c r="AG88" s="59"/>
      <c r="AH88" s="55"/>
      <c r="AI88" s="59"/>
      <c r="AJ88" s="59"/>
      <c r="AK88" s="59"/>
      <c r="AL88" s="59"/>
      <c r="AM88" s="59"/>
      <c r="AN88" s="59"/>
      <c r="AO88" s="59"/>
      <c r="AP88" s="59"/>
      <c r="AQ88" s="89"/>
      <c r="AR88" s="89"/>
      <c r="AS88" s="139"/>
      <c r="AT88" s="139"/>
      <c r="AU88" s="139"/>
      <c r="AV88" s="139"/>
      <c r="AW88" s="139"/>
      <c r="AX88" s="139"/>
      <c r="AY88" s="59"/>
      <c r="AZ88" s="59"/>
      <c r="BA88" s="59"/>
      <c r="BB88" s="59"/>
      <c r="BC88" s="59"/>
      <c r="BD88" s="59"/>
      <c r="BE88" s="59"/>
      <c r="BF88" s="59"/>
      <c r="BG88" s="61"/>
      <c r="BH88" s="114"/>
      <c r="BI88" s="99"/>
      <c r="BJ88" s="50"/>
      <c r="BK88" s="437"/>
      <c r="BL88" s="3379"/>
      <c r="BM88" s="3379"/>
      <c r="BN88" s="3379"/>
      <c r="BO88" s="3379"/>
      <c r="BP88" s="3379"/>
      <c r="BQ88" s="3379"/>
      <c r="BR88" s="3379"/>
      <c r="BS88" s="3379"/>
      <c r="BT88" s="3379"/>
      <c r="BU88" s="3379"/>
      <c r="BV88" s="3379"/>
      <c r="BW88" s="3379"/>
      <c r="BX88" s="3379"/>
      <c r="BY88" s="3379"/>
      <c r="BZ88" s="3379"/>
      <c r="CA88" s="3379"/>
      <c r="CB88" s="3307"/>
      <c r="CC88" s="3308"/>
      <c r="CD88" s="100"/>
      <c r="CE88" s="43"/>
    </row>
    <row r="89" spans="2:83" ht="8.25" customHeight="1" thickTop="1" x14ac:dyDescent="0.25">
      <c r="B89" s="44"/>
      <c r="C89" s="115"/>
      <c r="D89" s="91"/>
      <c r="E89" s="92"/>
      <c r="F89" s="92"/>
      <c r="G89" s="92"/>
      <c r="H89" s="92"/>
      <c r="I89" s="92"/>
      <c r="J89" s="92"/>
      <c r="K89" s="92"/>
      <c r="L89" s="92"/>
      <c r="M89" s="92"/>
      <c r="N89" s="92"/>
      <c r="O89" s="92"/>
      <c r="P89" s="92"/>
      <c r="Q89" s="92"/>
      <c r="R89" s="92"/>
      <c r="S89" s="92"/>
      <c r="T89" s="92"/>
      <c r="U89" s="92"/>
      <c r="V89" s="162"/>
      <c r="W89" s="92"/>
      <c r="X89" s="162"/>
      <c r="Y89" s="92"/>
      <c r="Z89" s="92"/>
      <c r="AA89" s="92"/>
      <c r="AB89" s="92"/>
      <c r="AC89" s="93"/>
      <c r="AD89" s="59"/>
      <c r="AE89" s="91"/>
      <c r="AF89" s="92"/>
      <c r="AG89" s="92"/>
      <c r="AH89" s="162"/>
      <c r="AI89" s="92"/>
      <c r="AJ89" s="92"/>
      <c r="AK89" s="92"/>
      <c r="AL89" s="92"/>
      <c r="AM89" s="92"/>
      <c r="AN89" s="92"/>
      <c r="AO89" s="92"/>
      <c r="AP89" s="92"/>
      <c r="AQ89" s="164"/>
      <c r="AR89" s="164"/>
      <c r="AS89" s="165"/>
      <c r="AT89" s="165"/>
      <c r="AU89" s="165"/>
      <c r="AV89" s="165"/>
      <c r="AW89" s="165"/>
      <c r="AX89" s="165"/>
      <c r="AY89" s="92"/>
      <c r="AZ89" s="92"/>
      <c r="BA89" s="92"/>
      <c r="BB89" s="92"/>
      <c r="BC89" s="92"/>
      <c r="BD89" s="92"/>
      <c r="BE89" s="92"/>
      <c r="BF89" s="92"/>
      <c r="BG89" s="93"/>
      <c r="BH89" s="114"/>
      <c r="BI89" s="99"/>
      <c r="BJ89" s="50"/>
      <c r="BK89" s="55"/>
      <c r="BL89" s="1273"/>
      <c r="BM89" s="1273"/>
      <c r="BN89" s="1273"/>
      <c r="BO89" s="1273"/>
      <c r="BP89" s="1273"/>
      <c r="BQ89" s="1273"/>
      <c r="BR89" s="1273"/>
      <c r="BS89" s="1273"/>
      <c r="BT89" s="1273"/>
      <c r="BU89" s="1273"/>
      <c r="BV89" s="1273"/>
      <c r="BW89" s="1273"/>
      <c r="BX89" s="1273"/>
      <c r="BY89" s="1273"/>
      <c r="BZ89" s="1273"/>
      <c r="CA89" s="1273"/>
      <c r="CC89" s="61"/>
      <c r="CD89" s="100"/>
      <c r="CE89" s="43"/>
    </row>
    <row r="90" spans="2:83" ht="12" customHeight="1" x14ac:dyDescent="0.25">
      <c r="B90" s="44"/>
      <c r="C90" s="118"/>
      <c r="D90" s="116"/>
      <c r="E90" s="116"/>
      <c r="F90" s="116"/>
      <c r="G90" s="116"/>
      <c r="H90" s="116"/>
      <c r="I90" s="116"/>
      <c r="J90" s="116"/>
      <c r="K90" s="116"/>
      <c r="L90" s="116"/>
      <c r="M90" s="116"/>
      <c r="N90" s="116"/>
      <c r="O90" s="116"/>
      <c r="P90" s="116"/>
      <c r="Q90" s="116"/>
      <c r="R90" s="116"/>
      <c r="S90" s="116"/>
      <c r="T90" s="116"/>
      <c r="U90" s="116"/>
      <c r="V90" s="176"/>
      <c r="W90" s="116"/>
      <c r="X90" s="176"/>
      <c r="Y90" s="116"/>
      <c r="Z90" s="116"/>
      <c r="AA90" s="116"/>
      <c r="AB90" s="116"/>
      <c r="AC90" s="116"/>
      <c r="AD90" s="116"/>
      <c r="AE90" s="116"/>
      <c r="AF90" s="116"/>
      <c r="AG90" s="116"/>
      <c r="AH90" s="176"/>
      <c r="AI90" s="116"/>
      <c r="AJ90" s="116"/>
      <c r="AK90" s="116"/>
      <c r="AL90" s="116"/>
      <c r="AM90" s="116"/>
      <c r="AN90" s="116"/>
      <c r="AO90" s="116"/>
      <c r="AP90" s="116"/>
      <c r="AQ90" s="177"/>
      <c r="AR90" s="177" t="s">
        <v>124</v>
      </c>
      <c r="AS90" s="178"/>
      <c r="AT90" s="178"/>
      <c r="AU90" s="178"/>
      <c r="AV90" s="178"/>
      <c r="AW90" s="178"/>
      <c r="AX90" s="178"/>
      <c r="AY90" s="116"/>
      <c r="AZ90" s="116"/>
      <c r="BA90" s="116"/>
      <c r="BB90" s="116"/>
      <c r="BC90" s="116"/>
      <c r="BD90" s="116"/>
      <c r="BE90" s="116"/>
      <c r="BF90" s="116"/>
      <c r="BG90" s="116"/>
      <c r="BH90" s="117"/>
      <c r="BI90" s="99"/>
      <c r="BJ90" s="91"/>
      <c r="BK90" s="92"/>
      <c r="BL90" s="162"/>
      <c r="BM90" s="92"/>
      <c r="BN90" s="162"/>
      <c r="BO90" s="92"/>
      <c r="BP90" s="92"/>
      <c r="BQ90" s="92"/>
      <c r="BR90" s="92"/>
      <c r="BS90" s="92"/>
      <c r="BT90" s="92"/>
      <c r="BU90" s="92"/>
      <c r="BV90" s="92"/>
      <c r="BW90" s="92"/>
      <c r="BX90" s="164"/>
      <c r="BY90" s="92"/>
      <c r="BZ90" s="92"/>
      <c r="CA90" s="92"/>
      <c r="CB90" s="92"/>
      <c r="CC90" s="93"/>
      <c r="CD90" s="100"/>
      <c r="CE90" s="43"/>
    </row>
    <row r="91" spans="2:83" ht="13.5" customHeight="1" x14ac:dyDescent="0.25">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c r="BR91" s="95"/>
      <c r="BS91" s="95"/>
      <c r="BT91" s="95"/>
      <c r="BU91" s="95"/>
      <c r="BV91" s="95"/>
      <c r="BW91" s="95"/>
      <c r="BX91" s="95"/>
      <c r="BY91" s="95"/>
      <c r="BZ91" s="95"/>
      <c r="CA91" s="95"/>
      <c r="CB91" s="95"/>
      <c r="CC91" s="95"/>
      <c r="CD91" s="96"/>
      <c r="CE91" s="43"/>
    </row>
    <row r="92" spans="2:83" ht="9.75" customHeight="1" x14ac:dyDescent="0.25">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c r="CA92" s="59"/>
      <c r="CB92" s="59"/>
      <c r="CC92" s="59"/>
      <c r="CD92" s="59"/>
      <c r="CE92" s="59"/>
    </row>
    <row r="93" spans="2:83" ht="22.5" customHeight="1" x14ac:dyDescent="0.25">
      <c r="B93" s="36"/>
      <c r="C93" s="1031" t="s">
        <v>1840</v>
      </c>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7"/>
      <c r="AR93" s="37"/>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6"/>
      <c r="BY93" s="36"/>
      <c r="BZ93" s="39"/>
      <c r="CA93" s="36"/>
      <c r="CB93" s="3311"/>
      <c r="CC93" s="3311"/>
      <c r="CD93" s="38"/>
    </row>
    <row r="94" spans="2:83" ht="6.75" customHeight="1" x14ac:dyDescent="0.25"/>
    <row r="95" spans="2:83" ht="14.25" customHeight="1" x14ac:dyDescent="0.25">
      <c r="B95" s="40"/>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c r="BN95" s="41"/>
      <c r="BO95" s="41"/>
      <c r="BP95" s="41"/>
      <c r="BQ95" s="41"/>
      <c r="BR95" s="41"/>
      <c r="BS95" s="41"/>
      <c r="BT95" s="41"/>
      <c r="BU95" s="41"/>
      <c r="BV95" s="41"/>
      <c r="BW95" s="41"/>
      <c r="BX95" s="41"/>
      <c r="BY95" s="41"/>
      <c r="BZ95" s="41"/>
      <c r="CA95" s="41"/>
      <c r="CB95" s="41"/>
      <c r="CC95" s="41"/>
      <c r="CD95" s="42"/>
      <c r="CE95" s="43"/>
    </row>
    <row r="96" spans="2:83" ht="9.75" customHeight="1" x14ac:dyDescent="0.25">
      <c r="B96" s="44"/>
      <c r="C96" s="45"/>
      <c r="D96" s="46"/>
      <c r="E96" s="46"/>
      <c r="F96" s="46"/>
      <c r="G96" s="46"/>
      <c r="H96" s="46"/>
      <c r="I96" s="46"/>
      <c r="J96" s="46"/>
      <c r="K96" s="46"/>
      <c r="L96" s="46"/>
      <c r="M96" s="46"/>
      <c r="N96" s="46"/>
      <c r="O96" s="46"/>
      <c r="P96" s="46"/>
      <c r="Q96" s="46"/>
      <c r="R96" s="46"/>
      <c r="S96" s="46"/>
      <c r="T96" s="46"/>
      <c r="U96" s="46"/>
      <c r="V96" s="46"/>
      <c r="W96" s="47"/>
      <c r="X96" s="99"/>
      <c r="Y96" s="45"/>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7"/>
      <c r="AX96" s="179"/>
      <c r="AY96" s="113"/>
      <c r="AZ96" s="111"/>
      <c r="BA96" s="111"/>
      <c r="BB96" s="111"/>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7"/>
      <c r="CD96" s="100"/>
      <c r="CE96" s="43"/>
    </row>
    <row r="97" spans="2:83" ht="18" customHeight="1" x14ac:dyDescent="0.25">
      <c r="B97" s="44"/>
      <c r="C97" s="453" t="s">
        <v>1902</v>
      </c>
      <c r="D97" s="209"/>
      <c r="E97" s="59"/>
      <c r="F97" s="59"/>
      <c r="G97" s="59"/>
      <c r="H97" s="59"/>
      <c r="I97" s="59"/>
      <c r="J97" s="59"/>
      <c r="K97" s="59"/>
      <c r="L97" s="59"/>
      <c r="M97" s="59"/>
      <c r="N97" s="59"/>
      <c r="O97" s="59"/>
      <c r="P97" s="59"/>
      <c r="Q97" s="59"/>
      <c r="R97" s="59"/>
      <c r="S97" s="59"/>
      <c r="T97" s="59"/>
      <c r="U97" s="3362">
        <f>'CALCULS Eau potable'!O322</f>
        <v>0</v>
      </c>
      <c r="V97" s="3362"/>
      <c r="W97" s="61"/>
      <c r="X97" s="99"/>
      <c r="Y97" s="50"/>
      <c r="Z97" s="540" t="s">
        <v>1903</v>
      </c>
      <c r="AA97" s="59"/>
      <c r="AC97" s="59"/>
      <c r="AD97" s="59"/>
      <c r="AE97" s="59"/>
      <c r="AF97" s="59"/>
      <c r="AG97" s="59"/>
      <c r="AH97" s="59"/>
      <c r="AI97" s="59"/>
      <c r="AJ97" s="59"/>
      <c r="AK97" s="59"/>
      <c r="AL97" s="59"/>
      <c r="AM97" s="59"/>
      <c r="AN97" s="59"/>
      <c r="AO97" s="59"/>
      <c r="AP97" s="59"/>
      <c r="AQ97" s="59"/>
      <c r="AR97" s="59"/>
      <c r="AS97" s="59"/>
      <c r="AT97" s="59"/>
      <c r="AU97" s="3330">
        <f>'CALCULS Eau potable'!O346</f>
        <v>0</v>
      </c>
      <c r="AV97" s="3330"/>
      <c r="AW97" s="61"/>
      <c r="AX97" s="179"/>
      <c r="AY97" s="115"/>
      <c r="AZ97" s="540" t="s">
        <v>1904</v>
      </c>
      <c r="BA97" s="59"/>
      <c r="BC97" s="59"/>
      <c r="BE97" s="59"/>
      <c r="BG97" s="59"/>
      <c r="BH97" s="59"/>
      <c r="BI97" s="59"/>
      <c r="BJ97" s="59"/>
      <c r="BK97" s="59"/>
      <c r="BL97" s="59"/>
      <c r="BM97" s="59"/>
      <c r="BN97" s="59"/>
      <c r="BO97" s="59"/>
      <c r="BP97" s="59"/>
      <c r="BQ97" s="59"/>
      <c r="BR97" s="59"/>
      <c r="BS97" s="59"/>
      <c r="BT97" s="59"/>
      <c r="BU97" s="59"/>
      <c r="BV97" s="59"/>
      <c r="BW97" s="59"/>
      <c r="BX97" s="59"/>
      <c r="BY97" s="59"/>
      <c r="BZ97" s="59"/>
      <c r="CA97" s="59"/>
      <c r="CB97" s="3330">
        <f>'CALCULS Eau potable'!O370</f>
        <v>0</v>
      </c>
      <c r="CC97" s="3331"/>
      <c r="CD97" s="100"/>
      <c r="CE97" s="43"/>
    </row>
    <row r="98" spans="2:83" ht="3.75" customHeight="1" x14ac:dyDescent="0.25">
      <c r="B98" s="44"/>
      <c r="C98" s="180"/>
      <c r="E98" s="59"/>
      <c r="F98" s="59"/>
      <c r="G98" s="59"/>
      <c r="H98" s="59"/>
      <c r="I98" s="59"/>
      <c r="J98" s="59"/>
      <c r="K98" s="59"/>
      <c r="L98" s="59"/>
      <c r="M98" s="59"/>
      <c r="N98" s="59"/>
      <c r="O98" s="59"/>
      <c r="P98" s="59"/>
      <c r="Q98" s="59"/>
      <c r="R98" s="59"/>
      <c r="S98" s="59"/>
      <c r="T98" s="59"/>
      <c r="U98" s="59"/>
      <c r="V98" s="59"/>
      <c r="W98" s="61"/>
      <c r="X98" s="99"/>
      <c r="Y98" s="50"/>
      <c r="Z98" s="125"/>
      <c r="AA98" s="59"/>
      <c r="AC98" s="59"/>
      <c r="AD98" s="59"/>
      <c r="AE98" s="59"/>
      <c r="AF98" s="59"/>
      <c r="AG98" s="59"/>
      <c r="AH98" s="59"/>
      <c r="AI98" s="59"/>
      <c r="AJ98" s="59"/>
      <c r="AK98" s="59"/>
      <c r="AL98" s="59"/>
      <c r="AM98" s="59"/>
      <c r="AN98" s="59"/>
      <c r="AO98" s="59"/>
      <c r="AP98" s="59"/>
      <c r="AQ98" s="59"/>
      <c r="AR98" s="59"/>
      <c r="AS98" s="59"/>
      <c r="AT98" s="59"/>
      <c r="AU98" s="59"/>
      <c r="AV98" s="59"/>
      <c r="AW98" s="61"/>
      <c r="AX98" s="179"/>
      <c r="AY98" s="115"/>
      <c r="AZ98" s="125"/>
      <c r="BA98" s="59"/>
      <c r="BC98" s="59"/>
      <c r="BE98" s="59"/>
      <c r="BG98" s="59"/>
      <c r="BH98" s="59"/>
      <c r="BI98" s="59"/>
      <c r="BJ98" s="59"/>
      <c r="BK98" s="59"/>
      <c r="BL98" s="59"/>
      <c r="BM98" s="59"/>
      <c r="BN98" s="59"/>
      <c r="BO98" s="59"/>
      <c r="BP98" s="59"/>
      <c r="BQ98" s="59"/>
      <c r="BR98" s="59"/>
      <c r="BS98" s="59"/>
      <c r="BT98" s="59"/>
      <c r="BU98" s="59"/>
      <c r="BV98" s="59"/>
      <c r="BW98" s="59"/>
      <c r="BX98" s="59"/>
      <c r="BY98" s="59"/>
      <c r="BZ98" s="59"/>
      <c r="CA98" s="59"/>
      <c r="CB98" s="59"/>
      <c r="CC98" s="61"/>
      <c r="CD98" s="100"/>
      <c r="CE98" s="43"/>
    </row>
    <row r="99" spans="2:83" ht="166.5" customHeight="1" x14ac:dyDescent="0.25">
      <c r="B99" s="44"/>
      <c r="C99" s="50"/>
      <c r="D99" s="59"/>
      <c r="E99" s="59"/>
      <c r="F99" s="59"/>
      <c r="G99" s="59"/>
      <c r="H99" s="59"/>
      <c r="I99" s="59"/>
      <c r="J99" s="59"/>
      <c r="K99" s="59"/>
      <c r="L99" s="59"/>
      <c r="M99" s="59"/>
      <c r="N99" s="59"/>
      <c r="O99" s="59"/>
      <c r="P99" s="59"/>
      <c r="Q99" s="59"/>
      <c r="R99" s="59"/>
      <c r="S99" s="59"/>
      <c r="T99" s="59"/>
      <c r="U99" s="59"/>
      <c r="V99" s="59"/>
      <c r="W99" s="61"/>
      <c r="X99" s="99"/>
      <c r="Y99" s="50"/>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61"/>
      <c r="AX99" s="179"/>
      <c r="AY99" s="115"/>
      <c r="AZ99" s="59"/>
      <c r="BA99" s="59"/>
      <c r="BB99" s="59"/>
      <c r="BC99" s="59"/>
      <c r="BD99" s="59"/>
      <c r="BE99" s="59"/>
      <c r="BF99" s="59"/>
      <c r="BG99" s="59"/>
      <c r="BH99" s="59"/>
      <c r="BI99" s="59"/>
      <c r="BJ99" s="59"/>
      <c r="BK99" s="59"/>
      <c r="BL99" s="59"/>
      <c r="BM99" s="59"/>
      <c r="BN99" s="59"/>
      <c r="BO99" s="59"/>
      <c r="BP99" s="59"/>
      <c r="BQ99" s="59"/>
      <c r="BR99" s="59"/>
      <c r="BS99" s="59"/>
      <c r="BT99" s="59"/>
      <c r="BU99" s="59"/>
      <c r="BV99" s="59"/>
      <c r="BW99" s="59"/>
      <c r="BX99" s="59"/>
      <c r="BY99" s="59"/>
      <c r="BZ99" s="59"/>
      <c r="CA99" s="59"/>
      <c r="CB99" s="59"/>
      <c r="CC99" s="61"/>
      <c r="CD99" s="100"/>
      <c r="CE99" s="43"/>
    </row>
    <row r="100" spans="2:83" ht="6" customHeight="1" x14ac:dyDescent="0.25">
      <c r="B100" s="44"/>
      <c r="C100" s="50"/>
      <c r="D100" s="59"/>
      <c r="E100" s="59"/>
      <c r="F100" s="59"/>
      <c r="G100" s="59"/>
      <c r="H100" s="59"/>
      <c r="I100" s="59"/>
      <c r="J100" s="59"/>
      <c r="K100" s="59"/>
      <c r="L100" s="59"/>
      <c r="M100" s="59"/>
      <c r="N100" s="59"/>
      <c r="O100" s="59"/>
      <c r="P100" s="59"/>
      <c r="Q100" s="59"/>
      <c r="R100" s="59"/>
      <c r="S100" s="59"/>
      <c r="T100" s="59"/>
      <c r="U100" s="59"/>
      <c r="V100" s="59"/>
      <c r="W100" s="61"/>
      <c r="X100" s="99"/>
      <c r="Y100" s="50"/>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61"/>
      <c r="AX100" s="99"/>
      <c r="AY100" s="181"/>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c r="CA100" s="59"/>
      <c r="CB100" s="59"/>
      <c r="CC100" s="61"/>
      <c r="CD100" s="100"/>
      <c r="CE100" s="43"/>
    </row>
    <row r="101" spans="2:83" ht="21.75" customHeight="1" x14ac:dyDescent="0.3">
      <c r="B101" s="44"/>
      <c r="C101" s="64"/>
      <c r="E101" s="444"/>
      <c r="F101" s="90"/>
      <c r="G101" s="59"/>
      <c r="I101" s="59"/>
      <c r="J101" s="59"/>
      <c r="K101" s="59"/>
      <c r="O101" s="75"/>
      <c r="P101" s="1176" t="s">
        <v>45</v>
      </c>
      <c r="R101" s="3320" t="str">
        <f>'CALCULS Eau potable'!N317</f>
        <v/>
      </c>
      <c r="S101" s="3320"/>
      <c r="T101" s="3320"/>
      <c r="U101" s="1275">
        <f>'CALCULS Eau potable'!O322</f>
        <v>0</v>
      </c>
      <c r="W101" s="1201"/>
      <c r="X101" s="99"/>
      <c r="Y101" s="50"/>
      <c r="AA101" s="59"/>
      <c r="AB101" s="59"/>
      <c r="AC101" s="59"/>
      <c r="AD101" s="59"/>
      <c r="AE101" s="59"/>
      <c r="AF101" s="59"/>
      <c r="AG101" s="59"/>
      <c r="AH101" s="59"/>
      <c r="AI101" s="59"/>
      <c r="AJ101" s="59"/>
      <c r="AK101" s="59"/>
      <c r="AL101" s="59"/>
      <c r="AM101" s="59"/>
      <c r="AN101" s="59"/>
      <c r="AO101" s="59"/>
      <c r="AP101" s="59"/>
      <c r="AS101" s="1177" t="s">
        <v>54</v>
      </c>
      <c r="AT101" s="1200" t="str">
        <f>'CALCULS Eau potable'!N341</f>
        <v/>
      </c>
      <c r="AU101" s="603">
        <f>'CALCULS Eau potable'!O346</f>
        <v>0</v>
      </c>
      <c r="AV101" s="1199"/>
      <c r="AW101" s="61"/>
      <c r="AX101" s="99"/>
      <c r="AY101" s="181"/>
      <c r="BA101" s="59"/>
      <c r="BB101" s="59"/>
      <c r="BC101" s="59"/>
      <c r="BD101" s="59"/>
      <c r="BE101" s="59"/>
      <c r="BF101" s="59"/>
      <c r="BG101" s="59"/>
      <c r="BH101" s="59"/>
      <c r="BI101" s="59"/>
      <c r="BJ101" s="59"/>
      <c r="BK101" s="59"/>
      <c r="BL101" s="59"/>
      <c r="BM101" s="59"/>
      <c r="BN101" s="59"/>
      <c r="BO101" s="59"/>
      <c r="BP101" s="59"/>
      <c r="BQ101" s="59"/>
      <c r="BR101" s="59"/>
      <c r="BS101" s="59"/>
      <c r="BU101" s="1176" t="s">
        <v>53</v>
      </c>
      <c r="BV101" s="3321" t="str">
        <f>'CALCULS Eau potable'!N365</f>
        <v/>
      </c>
      <c r="BW101" s="3321"/>
      <c r="BX101" s="3321"/>
      <c r="BY101" s="3321"/>
      <c r="BZ101" s="3382">
        <f>'CALCULS Eau potable'!O370</f>
        <v>0</v>
      </c>
      <c r="CA101" s="3382"/>
      <c r="CB101" s="3382"/>
      <c r="CC101" s="1197"/>
      <c r="CD101" s="100"/>
      <c r="CE101" s="43"/>
    </row>
    <row r="102" spans="2:83" ht="15" customHeight="1" x14ac:dyDescent="0.3">
      <c r="B102" s="44"/>
      <c r="C102" s="64"/>
      <c r="D102" s="443"/>
      <c r="E102" s="444"/>
      <c r="F102" s="90"/>
      <c r="G102" s="59"/>
      <c r="I102" s="59"/>
      <c r="J102" s="59"/>
      <c r="K102" s="59"/>
      <c r="L102" s="1161"/>
      <c r="M102" s="1161"/>
      <c r="N102" s="1161"/>
      <c r="O102" s="59"/>
      <c r="P102" s="1176" t="s">
        <v>2091</v>
      </c>
      <c r="R102" s="3320" t="str">
        <f>'CALCULS Eau potable'!N318</f>
        <v/>
      </c>
      <c r="S102" s="3320"/>
      <c r="T102" s="3320"/>
      <c r="U102" s="1274">
        <f>'CALCULS Eau potable'!N322</f>
        <v>0</v>
      </c>
      <c r="W102" s="1201"/>
      <c r="X102" s="99"/>
      <c r="Y102" s="50"/>
      <c r="Z102" s="445"/>
      <c r="AA102" s="59"/>
      <c r="AB102" s="59"/>
      <c r="AC102" s="59"/>
      <c r="AD102" s="59"/>
      <c r="AE102" s="59"/>
      <c r="AF102" s="59"/>
      <c r="AG102" s="59"/>
      <c r="AH102" s="59"/>
      <c r="AI102" s="59"/>
      <c r="AJ102" s="59"/>
      <c r="AK102" s="59"/>
      <c r="AL102" s="59"/>
      <c r="AM102" s="59"/>
      <c r="AN102" s="59"/>
      <c r="AO102" s="59"/>
      <c r="AP102" s="59"/>
      <c r="AQ102" s="1161"/>
      <c r="AR102" s="1161"/>
      <c r="AS102" s="1177" t="s">
        <v>2093</v>
      </c>
      <c r="AT102" s="1200" t="str">
        <f>'CALCULS Eau potable'!N342</f>
        <v/>
      </c>
      <c r="AU102" s="1198">
        <f>'CALCULS Eau potable'!N346</f>
        <v>0</v>
      </c>
      <c r="AV102" s="1199"/>
      <c r="AW102" s="61"/>
      <c r="AX102" s="99"/>
      <c r="AY102" s="181"/>
      <c r="AZ102" s="445"/>
      <c r="BA102" s="59"/>
      <c r="BB102" s="59"/>
      <c r="BC102" s="59"/>
      <c r="BD102" s="59"/>
      <c r="BE102" s="59"/>
      <c r="BF102" s="59"/>
      <c r="BG102" s="59"/>
      <c r="BH102" s="59"/>
      <c r="BI102" s="59"/>
      <c r="BJ102" s="59"/>
      <c r="BK102" s="59"/>
      <c r="BL102" s="59"/>
      <c r="BM102" s="59"/>
      <c r="BN102" s="59"/>
      <c r="BO102" s="59"/>
      <c r="BP102" s="59"/>
      <c r="BQ102" s="59"/>
      <c r="BR102" s="59"/>
      <c r="BS102" s="59"/>
      <c r="BT102" s="1161"/>
      <c r="BU102" s="1176" t="s">
        <v>2092</v>
      </c>
      <c r="BV102" s="3321" t="str">
        <f>'CALCULS Eau potable'!N366</f>
        <v/>
      </c>
      <c r="BW102" s="3321"/>
      <c r="BX102" s="3321"/>
      <c r="BY102" s="3321"/>
      <c r="BZ102" s="3381">
        <f>'CALCULS Eau potable'!N370</f>
        <v>0</v>
      </c>
      <c r="CA102" s="3381"/>
      <c r="CB102" s="3381"/>
      <c r="CC102" s="1197"/>
      <c r="CD102" s="100"/>
      <c r="CE102" s="43"/>
    </row>
    <row r="103" spans="2:83" ht="10.5" customHeight="1" x14ac:dyDescent="0.25">
      <c r="B103" s="44"/>
      <c r="C103" s="91"/>
      <c r="D103" s="105"/>
      <c r="E103" s="92"/>
      <c r="F103" s="92"/>
      <c r="G103" s="92"/>
      <c r="H103" s="92"/>
      <c r="I103" s="92"/>
      <c r="J103" s="92"/>
      <c r="K103" s="92"/>
      <c r="L103" s="92"/>
      <c r="M103" s="92"/>
      <c r="N103" s="92"/>
      <c r="O103" s="92"/>
      <c r="P103" s="92"/>
      <c r="Q103" s="92"/>
      <c r="R103" s="92"/>
      <c r="S103" s="92"/>
      <c r="T103" s="92"/>
      <c r="U103" s="92"/>
      <c r="V103" s="92"/>
      <c r="W103" s="93"/>
      <c r="X103" s="99"/>
      <c r="Y103" s="91"/>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3"/>
      <c r="AX103" s="99"/>
      <c r="AY103" s="91"/>
      <c r="AZ103" s="92"/>
      <c r="BA103" s="92"/>
      <c r="BB103" s="92"/>
      <c r="BC103" s="92"/>
      <c r="BD103" s="92"/>
      <c r="BE103" s="92"/>
      <c r="BF103" s="92"/>
      <c r="BG103" s="92"/>
      <c r="BH103" s="92"/>
      <c r="BI103" s="92"/>
      <c r="BJ103" s="92"/>
      <c r="BK103" s="92"/>
      <c r="BL103" s="92"/>
      <c r="BM103" s="92"/>
      <c r="BN103" s="92"/>
      <c r="BO103" s="92"/>
      <c r="BP103" s="92"/>
      <c r="BQ103" s="92"/>
      <c r="BR103" s="92"/>
      <c r="BS103" s="92"/>
      <c r="BT103" s="92"/>
      <c r="BU103" s="92"/>
      <c r="BV103" s="92"/>
      <c r="BW103" s="92"/>
      <c r="BX103" s="92"/>
      <c r="BY103" s="92"/>
      <c r="BZ103" s="92"/>
      <c r="CA103" s="92"/>
      <c r="CB103" s="92"/>
      <c r="CC103" s="93"/>
      <c r="CD103" s="100"/>
      <c r="CE103" s="43"/>
    </row>
    <row r="104" spans="2:83" ht="12.75" customHeight="1" x14ac:dyDescent="0.25">
      <c r="B104" s="94"/>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95"/>
      <c r="BB104" s="95"/>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6"/>
      <c r="CE104" s="43"/>
    </row>
    <row r="105" spans="2:83" ht="9.75" customHeight="1" x14ac:dyDescent="0.25">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c r="BT105" s="59"/>
      <c r="BU105" s="59"/>
      <c r="BV105" s="59"/>
      <c r="BW105" s="59"/>
      <c r="BX105" s="59"/>
      <c r="BY105" s="59"/>
      <c r="BZ105" s="59"/>
      <c r="CA105" s="59"/>
      <c r="CB105" s="59"/>
      <c r="CC105" s="59"/>
      <c r="CD105" s="59"/>
      <c r="CE105" s="59"/>
    </row>
    <row r="106" spans="2:83" ht="22.5" customHeight="1" x14ac:dyDescent="0.25">
      <c r="B106" s="36"/>
      <c r="C106" s="1031" t="s">
        <v>38</v>
      </c>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9"/>
      <c r="AK106" s="36"/>
      <c r="AL106" s="3311"/>
      <c r="AM106" s="3311"/>
      <c r="AN106" s="38"/>
      <c r="AO106" s="182"/>
      <c r="AP106" s="38"/>
      <c r="AQ106" s="1031" t="s">
        <v>39</v>
      </c>
      <c r="AR106" s="37"/>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9"/>
      <c r="CA106" s="36"/>
      <c r="CB106" s="3311"/>
      <c r="CC106" s="3311"/>
      <c r="CD106" s="38"/>
    </row>
    <row r="107" spans="2:83" ht="6.75" customHeight="1" x14ac:dyDescent="0.25"/>
    <row r="108" spans="2:83" ht="9.75" customHeight="1" x14ac:dyDescent="0.25">
      <c r="B108" s="40"/>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183"/>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2"/>
      <c r="CE108" s="43"/>
    </row>
    <row r="109" spans="2:83" ht="9.75" customHeight="1" x14ac:dyDescent="0.25">
      <c r="B109" s="44"/>
      <c r="C109" s="45"/>
      <c r="D109" s="46"/>
      <c r="E109" s="184"/>
      <c r="F109" s="184"/>
      <c r="G109" s="184"/>
      <c r="H109" s="184"/>
      <c r="I109" s="184"/>
      <c r="J109" s="184"/>
      <c r="K109" s="184"/>
      <c r="L109" s="184"/>
      <c r="M109" s="184"/>
      <c r="N109" s="184"/>
      <c r="O109" s="184"/>
      <c r="P109" s="184"/>
      <c r="Q109" s="184"/>
      <c r="R109" s="184"/>
      <c r="S109" s="184"/>
      <c r="T109" s="46"/>
      <c r="U109" s="46"/>
      <c r="V109" s="46"/>
      <c r="W109" s="46"/>
      <c r="X109" s="46"/>
      <c r="Y109" s="46"/>
      <c r="Z109" s="46"/>
      <c r="AA109" s="46"/>
      <c r="AB109" s="46"/>
      <c r="AC109" s="46"/>
      <c r="AD109" s="46"/>
      <c r="AE109" s="46"/>
      <c r="AF109" s="46"/>
      <c r="AG109" s="46"/>
      <c r="AH109" s="46"/>
      <c r="AI109" s="184"/>
      <c r="AJ109" s="46"/>
      <c r="AK109" s="46"/>
      <c r="AL109" s="46"/>
      <c r="AM109" s="47"/>
      <c r="AN109" s="99"/>
      <c r="AO109" s="183"/>
      <c r="AP109" s="99"/>
      <c r="AQ109" s="45"/>
      <c r="AR109" s="46"/>
      <c r="AS109" s="46"/>
      <c r="AT109" s="46"/>
      <c r="AU109" s="184"/>
      <c r="AV109" s="184"/>
      <c r="AW109" s="184"/>
      <c r="AX109" s="184"/>
      <c r="AY109" s="184"/>
      <c r="AZ109" s="184"/>
      <c r="BA109" s="184"/>
      <c r="BB109" s="184"/>
      <c r="BC109" s="184"/>
      <c r="BD109" s="184"/>
      <c r="BE109" s="184"/>
      <c r="BF109" s="184"/>
      <c r="BG109" s="184"/>
      <c r="BH109" s="184"/>
      <c r="BI109" s="184"/>
      <c r="BJ109" s="46"/>
      <c r="BK109" s="46"/>
      <c r="BL109" s="46"/>
      <c r="BM109" s="46"/>
      <c r="BN109" s="46"/>
      <c r="BO109" s="46"/>
      <c r="BP109" s="46"/>
      <c r="BQ109" s="46"/>
      <c r="BR109" s="46"/>
      <c r="BS109" s="46"/>
      <c r="BT109" s="46"/>
      <c r="BU109" s="46"/>
      <c r="BV109" s="46"/>
      <c r="BW109" s="46"/>
      <c r="BX109" s="46"/>
      <c r="BY109" s="184"/>
      <c r="BZ109" s="46"/>
      <c r="CA109" s="46"/>
      <c r="CB109" s="46"/>
      <c r="CC109" s="47"/>
      <c r="CD109" s="100"/>
      <c r="CE109" s="43"/>
    </row>
    <row r="110" spans="2:83" ht="18" customHeight="1" x14ac:dyDescent="0.25">
      <c r="B110" s="44"/>
      <c r="C110" s="50"/>
      <c r="D110" s="185" t="s">
        <v>32</v>
      </c>
      <c r="E110" s="186"/>
      <c r="F110" s="186"/>
      <c r="G110" s="186"/>
      <c r="H110" s="186"/>
      <c r="I110" s="186"/>
      <c r="J110" s="186"/>
      <c r="K110" s="186"/>
      <c r="L110" s="186"/>
      <c r="M110" s="186"/>
      <c r="N110" s="186"/>
      <c r="O110" s="186"/>
      <c r="P110" s="186"/>
      <c r="Q110" s="186"/>
      <c r="R110" s="186"/>
      <c r="S110" s="186"/>
      <c r="T110" s="59"/>
      <c r="U110" s="59"/>
      <c r="V110" s="59"/>
      <c r="W110" s="59"/>
      <c r="X110" s="59"/>
      <c r="Y110" s="59"/>
      <c r="Z110" s="59"/>
      <c r="AA110" s="59"/>
      <c r="AB110" s="187"/>
      <c r="AC110" s="59"/>
      <c r="AD110" s="187"/>
      <c r="AE110" s="59"/>
      <c r="AF110" s="59"/>
      <c r="AG110" s="59"/>
      <c r="AH110" s="139"/>
      <c r="AI110" s="3310"/>
      <c r="AJ110" s="3310"/>
      <c r="AK110" s="59"/>
      <c r="AL110" s="59"/>
      <c r="AM110" s="61"/>
      <c r="AN110" s="99"/>
      <c r="AO110" s="183"/>
      <c r="AP110" s="99"/>
      <c r="AQ110" s="50"/>
      <c r="AR110" s="185" t="s">
        <v>33</v>
      </c>
      <c r="AU110" s="186"/>
      <c r="AV110" s="186"/>
      <c r="AW110" s="186"/>
      <c r="AX110" s="186"/>
      <c r="AY110" s="186"/>
      <c r="AZ110" s="186"/>
      <c r="BA110" s="186"/>
      <c r="BB110" s="186"/>
      <c r="BC110" s="186"/>
      <c r="BD110" s="186"/>
      <c r="BE110" s="186"/>
      <c r="BF110" s="186"/>
      <c r="BG110" s="186"/>
      <c r="BH110" s="186"/>
      <c r="BI110" s="186"/>
      <c r="BJ110" s="59"/>
      <c r="BK110" s="59"/>
      <c r="BL110" s="59"/>
      <c r="BM110" s="59"/>
      <c r="BN110" s="59"/>
      <c r="BO110" s="59"/>
      <c r="BP110" s="59"/>
      <c r="BQ110" s="59"/>
      <c r="BR110" s="59"/>
      <c r="BS110" s="59"/>
      <c r="BT110" s="59"/>
      <c r="BU110" s="59"/>
      <c r="BV110" s="59"/>
      <c r="BW110" s="59"/>
      <c r="BX110" s="59"/>
      <c r="BY110" s="186"/>
      <c r="BZ110" s="59"/>
      <c r="CA110" s="59"/>
      <c r="CB110" s="59"/>
      <c r="CC110" s="61"/>
      <c r="CD110" s="100"/>
      <c r="CE110" s="43"/>
    </row>
    <row r="111" spans="2:83" ht="6.75" customHeight="1" x14ac:dyDescent="0.25">
      <c r="B111" s="44"/>
      <c r="C111" s="50"/>
      <c r="D111" s="188"/>
      <c r="E111" s="186"/>
      <c r="F111" s="186"/>
      <c r="G111" s="186"/>
      <c r="H111" s="186"/>
      <c r="I111" s="186"/>
      <c r="J111" s="186"/>
      <c r="K111" s="186"/>
      <c r="L111" s="186"/>
      <c r="M111" s="186"/>
      <c r="N111" s="186"/>
      <c r="O111" s="186"/>
      <c r="P111" s="186"/>
      <c r="Q111" s="186"/>
      <c r="R111" s="186"/>
      <c r="S111" s="186"/>
      <c r="T111" s="59"/>
      <c r="U111" s="59"/>
      <c r="V111" s="59"/>
      <c r="W111" s="59"/>
      <c r="X111" s="59"/>
      <c r="Y111" s="59"/>
      <c r="Z111" s="59"/>
      <c r="AA111" s="59"/>
      <c r="AB111" s="59"/>
      <c r="AC111" s="59"/>
      <c r="AD111" s="59"/>
      <c r="AE111" s="59"/>
      <c r="AF111" s="59"/>
      <c r="AG111" s="59"/>
      <c r="AH111" s="59"/>
      <c r="AI111" s="186"/>
      <c r="AJ111" s="59"/>
      <c r="AK111" s="59"/>
      <c r="AL111" s="59"/>
      <c r="AM111" s="61"/>
      <c r="AN111" s="99"/>
      <c r="AO111" s="183"/>
      <c r="AP111" s="99"/>
      <c r="AQ111" s="50"/>
      <c r="AR111" s="59"/>
      <c r="AS111" s="188"/>
      <c r="AT111" s="188"/>
      <c r="AU111" s="186"/>
      <c r="AV111" s="186"/>
      <c r="AW111" s="186"/>
      <c r="AX111" s="186"/>
      <c r="AY111" s="186"/>
      <c r="AZ111" s="186"/>
      <c r="BA111" s="186"/>
      <c r="BB111" s="186"/>
      <c r="BC111" s="186"/>
      <c r="BD111" s="186"/>
      <c r="BE111" s="186"/>
      <c r="BF111" s="186"/>
      <c r="BG111" s="186"/>
      <c r="BH111" s="186"/>
      <c r="BI111" s="186"/>
      <c r="BJ111" s="59"/>
      <c r="BK111" s="59"/>
      <c r="BL111" s="59"/>
      <c r="BM111" s="59"/>
      <c r="BN111" s="59"/>
      <c r="BO111" s="59"/>
      <c r="BP111" s="59"/>
      <c r="BQ111" s="59"/>
      <c r="BR111" s="59"/>
      <c r="BS111" s="59"/>
      <c r="BT111" s="59"/>
      <c r="BU111" s="59"/>
      <c r="BV111" s="59"/>
      <c r="BW111" s="59"/>
      <c r="BX111" s="59"/>
      <c r="BY111" s="186"/>
      <c r="BZ111" s="59"/>
      <c r="CA111" s="59"/>
      <c r="CB111" s="59"/>
      <c r="CC111" s="61"/>
      <c r="CD111" s="100"/>
      <c r="CE111" s="43"/>
    </row>
    <row r="112" spans="2:83" ht="15" customHeight="1" x14ac:dyDescent="0.25">
      <c r="B112" s="44"/>
      <c r="C112" s="50"/>
      <c r="D112" s="188"/>
      <c r="F112" s="1204" t="s">
        <v>1916</v>
      </c>
      <c r="G112" s="1203"/>
      <c r="H112" s="1203"/>
      <c r="I112" s="1203"/>
      <c r="J112" s="1203"/>
      <c r="K112" s="1203"/>
      <c r="L112" s="1203"/>
      <c r="M112" s="1203"/>
      <c r="N112" s="1203"/>
      <c r="O112" s="1203"/>
      <c r="P112" s="1203"/>
      <c r="Q112" s="1203"/>
      <c r="R112" s="1203"/>
      <c r="S112" s="1203"/>
      <c r="T112" s="1202"/>
      <c r="U112" s="59"/>
      <c r="V112" s="1038" t="s">
        <v>0</v>
      </c>
      <c r="W112" s="1203"/>
      <c r="X112" s="1203"/>
      <c r="Y112" s="1203"/>
      <c r="Z112" s="1203"/>
      <c r="AA112" s="1203"/>
      <c r="AB112" s="1203"/>
      <c r="AC112" s="1203"/>
      <c r="AD112" s="1203"/>
      <c r="AE112" s="1203"/>
      <c r="AF112" s="1203"/>
      <c r="AG112" s="1203"/>
      <c r="AH112" s="1203"/>
      <c r="AI112" s="1203"/>
      <c r="AJ112" s="2561" t="str">
        <f>IF(('FORMULAIRE PGA Eau potable'!$H$120='MENU DÉROULANT'!$F$28),"(Aucun actif)","")</f>
        <v/>
      </c>
      <c r="AK112" s="1203"/>
      <c r="AL112" s="1205"/>
      <c r="AM112" s="61"/>
      <c r="AN112" s="99"/>
      <c r="AO112" s="183"/>
      <c r="AP112" s="99"/>
      <c r="AQ112" s="50"/>
      <c r="AR112" s="59"/>
      <c r="AS112" s="188"/>
      <c r="AT112" s="188"/>
      <c r="AV112" s="1204" t="s">
        <v>1916</v>
      </c>
      <c r="AW112" s="1203"/>
      <c r="AX112" s="1203"/>
      <c r="AY112" s="1203"/>
      <c r="AZ112" s="1203"/>
      <c r="BA112" s="1203"/>
      <c r="BB112" s="1203"/>
      <c r="BC112" s="1203"/>
      <c r="BD112" s="1203"/>
      <c r="BE112" s="1203"/>
      <c r="BF112" s="1203"/>
      <c r="BG112" s="1203"/>
      <c r="BH112" s="1203"/>
      <c r="BI112" s="1203"/>
      <c r="BJ112" s="1202"/>
      <c r="BK112" s="59"/>
      <c r="BL112" s="1038" t="s">
        <v>0</v>
      </c>
      <c r="BM112" s="1203"/>
      <c r="BN112" s="1203"/>
      <c r="BO112" s="1203"/>
      <c r="BP112" s="1203"/>
      <c r="BQ112" s="1203"/>
      <c r="BR112" s="1203"/>
      <c r="BS112" s="1203"/>
      <c r="BT112" s="1203"/>
      <c r="BU112" s="1203"/>
      <c r="BV112" s="1203"/>
      <c r="BW112" s="1203"/>
      <c r="BX112" s="1203"/>
      <c r="BY112" s="1203"/>
      <c r="BZ112" s="2561" t="str">
        <f>IF(('FORMULAIRE PGA Eau potable'!$H$120='MENU DÉROULANT'!$F$28),"(Aucun actif)","")</f>
        <v/>
      </c>
      <c r="CA112" s="1203"/>
      <c r="CB112" s="1205"/>
      <c r="CC112" s="61"/>
      <c r="CD112" s="100"/>
      <c r="CE112" s="43"/>
    </row>
    <row r="113" spans="2:83" ht="12.75" customHeight="1" x14ac:dyDescent="0.25">
      <c r="B113" s="44"/>
      <c r="C113" s="50"/>
      <c r="D113" s="188"/>
      <c r="E113" s="186"/>
      <c r="F113" s="189"/>
      <c r="G113" s="189"/>
      <c r="H113" s="189"/>
      <c r="I113" s="189"/>
      <c r="J113" s="189"/>
      <c r="K113" s="189"/>
      <c r="L113" s="189"/>
      <c r="M113" s="189"/>
      <c r="N113" s="189"/>
      <c r="O113" s="186"/>
      <c r="P113" s="186"/>
      <c r="Q113" s="186"/>
      <c r="T113" s="2562" t="str">
        <f>IF(('FORMULAIRE PGA Eau potable'!$H$81='MENU DÉROULANT'!$C$28),"(Aucun actif)","")</f>
        <v/>
      </c>
      <c r="U113" s="59"/>
      <c r="V113" s="185"/>
      <c r="W113" s="185"/>
      <c r="X113" s="185"/>
      <c r="Y113" s="185"/>
      <c r="Z113" s="185"/>
      <c r="AA113" s="185"/>
      <c r="AB113" s="185"/>
      <c r="AC113" s="185"/>
      <c r="AD113" s="185"/>
      <c r="AE113" s="59"/>
      <c r="AF113" s="59"/>
      <c r="AG113" s="59"/>
      <c r="AH113" s="3312"/>
      <c r="AI113" s="3312"/>
      <c r="AJ113" s="3312"/>
      <c r="AK113" s="59"/>
      <c r="AL113" s="59"/>
      <c r="AM113" s="61"/>
      <c r="AN113" s="99"/>
      <c r="AO113" s="183"/>
      <c r="AP113" s="99"/>
      <c r="AQ113" s="50"/>
      <c r="AR113" s="59"/>
      <c r="AS113" s="188"/>
      <c r="AT113" s="188"/>
      <c r="AU113" s="186"/>
      <c r="AV113" s="189"/>
      <c r="AW113" s="189"/>
      <c r="AX113" s="189"/>
      <c r="AY113" s="189"/>
      <c r="AZ113" s="189"/>
      <c r="BA113" s="189"/>
      <c r="BB113" s="189"/>
      <c r="BC113" s="189"/>
      <c r="BD113" s="189"/>
      <c r="BE113" s="186"/>
      <c r="BF113" s="186"/>
      <c r="BG113" s="186"/>
      <c r="BJ113" s="2562" t="str">
        <f>IF(('FORMULAIRE PGA Eau potable'!$H$81='MENU DÉROULANT'!$C$28),"(Aucun actif)","")</f>
        <v/>
      </c>
      <c r="BK113" s="59"/>
      <c r="BL113" s="185"/>
      <c r="BM113" s="185"/>
      <c r="BN113" s="185"/>
      <c r="BO113" s="185"/>
      <c r="BP113" s="185"/>
      <c r="BQ113" s="185"/>
      <c r="BR113" s="185"/>
      <c r="BS113" s="185"/>
      <c r="BT113" s="185"/>
      <c r="BU113" s="59"/>
      <c r="BV113" s="59"/>
      <c r="BW113" s="59"/>
      <c r="BX113" s="3312"/>
      <c r="BY113" s="3312"/>
      <c r="BZ113" s="3312"/>
      <c r="CA113" s="59"/>
      <c r="CB113" s="59"/>
      <c r="CC113" s="61"/>
      <c r="CD113" s="100"/>
      <c r="CE113" s="43"/>
    </row>
    <row r="114" spans="2:83" ht="15.75" customHeight="1" x14ac:dyDescent="0.3">
      <c r="B114" s="44"/>
      <c r="C114" s="50"/>
      <c r="D114" s="3369" t="s">
        <v>152</v>
      </c>
      <c r="E114" s="3345" t="s">
        <v>122</v>
      </c>
      <c r="F114" s="3345"/>
      <c r="G114" s="3345"/>
      <c r="H114" s="3345"/>
      <c r="I114" s="189"/>
      <c r="J114" s="3314" t="str">
        <f>'CALCULS Eau potable'!E394</f>
        <v/>
      </c>
      <c r="K114" s="3315"/>
      <c r="L114" s="3315"/>
      <c r="M114" s="3374" t="s">
        <v>1908</v>
      </c>
      <c r="N114" s="3375"/>
      <c r="O114" s="3376"/>
      <c r="P114" s="191"/>
      <c r="Q114" s="190"/>
      <c r="U114" s="3345" t="s">
        <v>122</v>
      </c>
      <c r="V114" s="3345"/>
      <c r="W114" s="3345"/>
      <c r="X114" s="3345"/>
      <c r="Y114" s="189"/>
      <c r="Z114" s="3314" t="str">
        <f>'CALCULS Eau potable'!E395</f>
        <v/>
      </c>
      <c r="AA114" s="3315"/>
      <c r="AB114" s="3315"/>
      <c r="AC114" s="3374" t="s">
        <v>1908</v>
      </c>
      <c r="AD114" s="3375"/>
      <c r="AE114" s="3376"/>
      <c r="AF114" s="23"/>
      <c r="AG114" s="192"/>
      <c r="AH114" s="3313"/>
      <c r="AI114" s="3313"/>
      <c r="AJ114" s="3313"/>
      <c r="AK114" s="23"/>
      <c r="AL114" s="27"/>
      <c r="AM114" s="61"/>
      <c r="AN114" s="99"/>
      <c r="AO114" s="183"/>
      <c r="AP114" s="99"/>
      <c r="AQ114" s="50"/>
      <c r="AR114" s="3369" t="s">
        <v>152</v>
      </c>
      <c r="AS114" s="3369"/>
      <c r="AT114" s="3369"/>
      <c r="AU114" s="3345" t="s">
        <v>122</v>
      </c>
      <c r="AV114" s="3345"/>
      <c r="AW114" s="3345"/>
      <c r="AX114" s="3345"/>
      <c r="AY114" s="189"/>
      <c r="AZ114" s="3314" t="str">
        <f>'CALCULS Eau potable'!E406</f>
        <v/>
      </c>
      <c r="BA114" s="3315"/>
      <c r="BB114" s="3315"/>
      <c r="BC114" s="3374" t="s">
        <v>1908</v>
      </c>
      <c r="BD114" s="3375"/>
      <c r="BE114" s="3376"/>
      <c r="BF114" s="191"/>
      <c r="BG114" s="190"/>
      <c r="BK114" s="3345" t="s">
        <v>122</v>
      </c>
      <c r="BL114" s="3345"/>
      <c r="BM114" s="3345"/>
      <c r="BN114" s="3345"/>
      <c r="BO114" s="189"/>
      <c r="BP114" s="3314" t="str">
        <f>'CALCULS Eau potable'!E407</f>
        <v/>
      </c>
      <c r="BQ114" s="3315"/>
      <c r="BR114" s="3315"/>
      <c r="BS114" s="3374" t="s">
        <v>1908</v>
      </c>
      <c r="BT114" s="3375"/>
      <c r="BU114" s="3376"/>
      <c r="BV114" s="23"/>
      <c r="BW114" s="192"/>
      <c r="BX114" s="3313"/>
      <c r="BY114" s="3313"/>
      <c r="BZ114" s="3313"/>
      <c r="CA114" s="23"/>
      <c r="CB114" s="27"/>
      <c r="CC114" s="61"/>
      <c r="CD114" s="100"/>
      <c r="CE114" s="43"/>
    </row>
    <row r="115" spans="2:83" ht="9.75" customHeight="1" x14ac:dyDescent="0.3">
      <c r="B115" s="44"/>
      <c r="C115" s="50"/>
      <c r="D115" s="3369"/>
      <c r="AK115" s="23"/>
      <c r="AL115" s="27"/>
      <c r="AM115" s="61"/>
      <c r="AN115" s="99"/>
      <c r="AO115" s="183"/>
      <c r="AP115" s="99"/>
      <c r="AQ115" s="50"/>
      <c r="AR115" s="3369"/>
      <c r="AS115" s="3369"/>
      <c r="AT115" s="3369"/>
      <c r="CB115" s="27"/>
      <c r="CC115" s="61"/>
      <c r="CD115" s="100"/>
      <c r="CE115" s="43"/>
    </row>
    <row r="116" spans="2:83" ht="15" customHeight="1" x14ac:dyDescent="0.3">
      <c r="B116" s="44"/>
      <c r="C116" s="50"/>
      <c r="D116" s="3369"/>
      <c r="E116" s="193"/>
      <c r="F116" s="1207" t="str">
        <f>IF('CALCULS Eau potable'!E389&gt;0,"p","")</f>
        <v/>
      </c>
      <c r="G116" s="22"/>
      <c r="H116" s="1207" t="str">
        <f>IF('CALCULS Eau potable'!F389&gt;0,"p","")</f>
        <v/>
      </c>
      <c r="I116" s="21"/>
      <c r="J116" s="1207" t="str">
        <f>IF('CALCULS Eau potable'!G389&gt;0,"p","")</f>
        <v/>
      </c>
      <c r="K116" s="21"/>
      <c r="L116" s="1207" t="str">
        <f>IF('CALCULS Eau potable'!H389&gt;0,"p","")</f>
        <v/>
      </c>
      <c r="M116" s="21"/>
      <c r="N116" s="1207" t="str">
        <f>IF('CALCULS Eau potable'!I389&gt;0,"p","")</f>
        <v/>
      </c>
      <c r="O116" s="21"/>
      <c r="P116" s="1207" t="str">
        <f>IF('CALCULS Eau potable'!J389&gt;0,"p","")</f>
        <v/>
      </c>
      <c r="Q116" s="21"/>
      <c r="R116" s="1207" t="str">
        <f>IF('CALCULS Eau potable'!K389&gt;0,"p","")</f>
        <v/>
      </c>
      <c r="S116" s="21"/>
      <c r="T116" s="21"/>
      <c r="V116" s="1207" t="str">
        <f>IF('CALCULS Eau potable'!E391&gt;0,"p","")</f>
        <v/>
      </c>
      <c r="W116" s="22"/>
      <c r="X116" s="1207" t="str">
        <f>IF('CALCULS Eau potable'!F391&gt;0,"p","")</f>
        <v/>
      </c>
      <c r="Y116" s="21"/>
      <c r="Z116" s="1207" t="str">
        <f>IF('CALCULS Eau potable'!G391&gt;0,"p","")</f>
        <v/>
      </c>
      <c r="AA116" s="21"/>
      <c r="AB116" s="1207" t="str">
        <f>IF('CALCULS Eau potable'!H391&gt;0,"p","")</f>
        <v/>
      </c>
      <c r="AC116" s="21"/>
      <c r="AD116" s="1207" t="str">
        <f>IF('CALCULS Eau potable'!I391&gt;0,"p","")</f>
        <v/>
      </c>
      <c r="AE116" s="21"/>
      <c r="AF116" s="1207" t="str">
        <f>IF('CALCULS Eau potable'!J391&gt;0,"p","")</f>
        <v/>
      </c>
      <c r="AG116" s="21"/>
      <c r="AH116" s="1207" t="str">
        <f>IF('CALCULS Eau potable'!K391&gt;0,"p","")</f>
        <v/>
      </c>
      <c r="AI116" s="21"/>
      <c r="AJ116" s="21"/>
      <c r="AK116" s="23"/>
      <c r="AL116" s="27"/>
      <c r="AM116" s="61"/>
      <c r="AN116" s="99"/>
      <c r="AO116" s="183"/>
      <c r="AP116" s="99"/>
      <c r="AQ116" s="50"/>
      <c r="AR116" s="3369"/>
      <c r="AS116" s="3369"/>
      <c r="AT116" s="3369"/>
      <c r="AU116" s="193"/>
      <c r="AV116" s="1208" t="str">
        <f>IF('CALCULS Eau potable'!E401&gt;0,"p","")</f>
        <v/>
      </c>
      <c r="AW116" s="478"/>
      <c r="AX116" s="1208" t="str">
        <f>IF('CALCULS Eau potable'!F401&gt;0,"p","")</f>
        <v/>
      </c>
      <c r="AY116" s="477"/>
      <c r="AZ116" s="1208" t="str">
        <f>IF('CALCULS Eau potable'!G401&gt;0,"p","")</f>
        <v/>
      </c>
      <c r="BA116" s="477"/>
      <c r="BB116" s="1208" t="str">
        <f>IF('CALCULS Eau potable'!H401&gt;0,"p","")</f>
        <v/>
      </c>
      <c r="BC116" s="477"/>
      <c r="BD116" s="1208" t="str">
        <f>IF('CALCULS Eau potable'!I401&gt;0,"p","")</f>
        <v/>
      </c>
      <c r="BE116" s="477"/>
      <c r="BF116" s="1208" t="str">
        <f>IF('CALCULS Eau potable'!J401&gt;0,"p","")</f>
        <v/>
      </c>
      <c r="BG116" s="477"/>
      <c r="BH116" s="1208" t="str">
        <f>IF('CALCULS Eau potable'!K401&gt;0,"p","")</f>
        <v/>
      </c>
      <c r="BI116" s="477"/>
      <c r="BJ116" s="477"/>
      <c r="BL116" s="1208" t="str">
        <f>IF('CALCULS Eau potable'!E403&gt;0,"p","")</f>
        <v/>
      </c>
      <c r="BM116" s="478"/>
      <c r="BN116" s="1208" t="str">
        <f>IF('CALCULS Eau potable'!F403&gt;0,"p","")</f>
        <v/>
      </c>
      <c r="BO116" s="477"/>
      <c r="BP116" s="1208" t="str">
        <f>IF('CALCULS Eau potable'!G403&gt;0,"p","")</f>
        <v/>
      </c>
      <c r="BQ116" s="477"/>
      <c r="BR116" s="1208" t="str">
        <f>IF('CALCULS Eau potable'!H403&gt;0,"p","")</f>
        <v/>
      </c>
      <c r="BS116" s="477"/>
      <c r="BT116" s="1208" t="str">
        <f>IF('CALCULS Eau potable'!I403&gt;0,"p","")</f>
        <v/>
      </c>
      <c r="BU116" s="477"/>
      <c r="BV116" s="1208" t="str">
        <f>IF('CALCULS Eau potable'!J403&gt;0,"p","")</f>
        <v/>
      </c>
      <c r="BW116" s="477"/>
      <c r="BX116" s="1208" t="str">
        <f>IF('CALCULS Eau potable'!K403&gt;0,"p","")</f>
        <v/>
      </c>
      <c r="BY116" s="26"/>
      <c r="BZ116" s="27"/>
      <c r="CA116" s="23"/>
      <c r="CB116" s="27"/>
      <c r="CC116" s="61"/>
      <c r="CD116" s="100"/>
      <c r="CE116" s="43"/>
    </row>
    <row r="117" spans="2:83" ht="3.75" customHeight="1" x14ac:dyDescent="0.3">
      <c r="B117" s="44"/>
      <c r="C117" s="50"/>
      <c r="D117" s="3342"/>
      <c r="E117" s="3342"/>
      <c r="AK117" s="23"/>
      <c r="AL117" s="27"/>
      <c r="AM117" s="61"/>
      <c r="AN117" s="99"/>
      <c r="AO117" s="183"/>
      <c r="AP117" s="99"/>
      <c r="AQ117" s="50"/>
      <c r="AR117" s="59"/>
      <c r="AS117" s="3342"/>
      <c r="AT117" s="3342"/>
      <c r="AU117" s="3342"/>
      <c r="CA117" s="23"/>
      <c r="CB117" s="27"/>
      <c r="CC117" s="61"/>
      <c r="CD117" s="100"/>
      <c r="CE117" s="43"/>
    </row>
    <row r="118" spans="2:83" ht="14.25" customHeight="1" x14ac:dyDescent="0.25">
      <c r="B118" s="44"/>
      <c r="C118" s="50"/>
      <c r="D118" s="1209" t="s">
        <v>22</v>
      </c>
      <c r="E118" s="23"/>
      <c r="F118" s="23"/>
      <c r="G118" s="23"/>
      <c r="H118" s="23"/>
      <c r="I118" s="23"/>
      <c r="J118" s="23"/>
      <c r="K118" s="23"/>
      <c r="L118" s="23"/>
      <c r="M118" s="23"/>
      <c r="N118" s="23"/>
      <c r="O118" s="23"/>
      <c r="P118" s="23"/>
      <c r="Q118" s="23"/>
      <c r="R118" s="23"/>
      <c r="S118" s="23"/>
      <c r="T118" s="23"/>
      <c r="V118" s="23"/>
      <c r="W118" s="23"/>
      <c r="X118" s="23"/>
      <c r="Y118" s="23"/>
      <c r="Z118" s="23"/>
      <c r="AA118" s="23"/>
      <c r="AB118" s="23"/>
      <c r="AC118" s="23"/>
      <c r="AD118" s="23"/>
      <c r="AE118" s="23"/>
      <c r="AF118" s="23"/>
      <c r="AG118" s="23"/>
      <c r="AH118" s="23"/>
      <c r="AI118" s="23"/>
      <c r="AK118" s="23"/>
      <c r="AM118" s="61"/>
      <c r="AN118" s="99"/>
      <c r="AO118" s="183"/>
      <c r="AP118" s="99"/>
      <c r="AQ118" s="50"/>
      <c r="AR118" s="3368" t="s">
        <v>21</v>
      </c>
      <c r="AS118" s="3368"/>
      <c r="AT118" s="3368"/>
      <c r="AU118" s="23"/>
      <c r="AV118" s="23"/>
      <c r="AW118" s="23"/>
      <c r="AX118" s="23"/>
      <c r="AY118" s="23"/>
      <c r="AZ118" s="23"/>
      <c r="BA118" s="23"/>
      <c r="BB118" s="23"/>
      <c r="BC118" s="23"/>
      <c r="BD118" s="23"/>
      <c r="BE118" s="23"/>
      <c r="BF118" s="23"/>
      <c r="BG118" s="23"/>
      <c r="BH118" s="23"/>
      <c r="BI118" s="23"/>
      <c r="BJ118" s="23"/>
      <c r="BL118" s="23"/>
      <c r="BM118" s="23"/>
      <c r="BN118" s="23"/>
      <c r="BO118" s="23"/>
      <c r="BP118" s="23"/>
      <c r="BQ118" s="23"/>
      <c r="BR118" s="23"/>
      <c r="BS118" s="23"/>
      <c r="BT118" s="23"/>
      <c r="BU118" s="23"/>
      <c r="BV118" s="23"/>
      <c r="BW118" s="23"/>
      <c r="BX118" s="23"/>
      <c r="BY118" s="23"/>
      <c r="CA118" s="23"/>
      <c r="CC118" s="61"/>
      <c r="CD118" s="100"/>
      <c r="CE118" s="43"/>
    </row>
    <row r="119" spans="2:83" ht="14.25" customHeight="1" x14ac:dyDescent="0.25">
      <c r="B119" s="44"/>
      <c r="C119" s="50"/>
      <c r="D119" s="1210" t="s">
        <v>20</v>
      </c>
      <c r="E119" s="23"/>
      <c r="F119" s="23"/>
      <c r="G119" s="23"/>
      <c r="H119" s="23"/>
      <c r="I119" s="23"/>
      <c r="J119" s="23"/>
      <c r="K119" s="23"/>
      <c r="L119" s="23"/>
      <c r="M119" s="23"/>
      <c r="N119" s="23"/>
      <c r="O119" s="23"/>
      <c r="P119" s="23"/>
      <c r="Q119" s="23"/>
      <c r="R119" s="23"/>
      <c r="S119" s="23"/>
      <c r="T119" s="23"/>
      <c r="V119" s="23"/>
      <c r="W119" s="23"/>
      <c r="X119" s="23"/>
      <c r="Y119" s="23"/>
      <c r="Z119" s="23"/>
      <c r="AA119" s="23"/>
      <c r="AB119" s="23"/>
      <c r="AC119" s="23"/>
      <c r="AD119" s="23"/>
      <c r="AE119" s="23"/>
      <c r="AF119" s="23"/>
      <c r="AG119" s="23"/>
      <c r="AH119" s="23"/>
      <c r="AI119" s="23"/>
      <c r="AJ119" s="197"/>
      <c r="AK119" s="23"/>
      <c r="AL119" s="197"/>
      <c r="AM119" s="61"/>
      <c r="AN119" s="99"/>
      <c r="AO119" s="183"/>
      <c r="AP119" s="99"/>
      <c r="AQ119" s="50"/>
      <c r="AR119" s="3367" t="s">
        <v>14</v>
      </c>
      <c r="AS119" s="3367"/>
      <c r="AT119" s="3367"/>
      <c r="AU119" s="23"/>
      <c r="AV119" s="23"/>
      <c r="AW119" s="23"/>
      <c r="AX119" s="23"/>
      <c r="AY119" s="23"/>
      <c r="AZ119" s="23"/>
      <c r="BA119" s="23"/>
      <c r="BB119" s="23"/>
      <c r="BC119" s="23"/>
      <c r="BD119" s="23"/>
      <c r="BE119" s="23"/>
      <c r="BF119" s="23"/>
      <c r="BG119" s="23"/>
      <c r="BH119" s="23"/>
      <c r="BI119" s="23"/>
      <c r="BJ119" s="23"/>
      <c r="BL119" s="23"/>
      <c r="BM119" s="23"/>
      <c r="BN119" s="23"/>
      <c r="BO119" s="23"/>
      <c r="BP119" s="23"/>
      <c r="BQ119" s="23"/>
      <c r="BR119" s="23"/>
      <c r="BS119" s="23"/>
      <c r="BT119" s="23"/>
      <c r="BU119" s="23"/>
      <c r="BV119" s="23"/>
      <c r="BW119" s="23"/>
      <c r="BX119" s="23"/>
      <c r="BY119" s="23"/>
      <c r="BZ119" s="197"/>
      <c r="CA119" s="23"/>
      <c r="CB119" s="197"/>
      <c r="CC119" s="61"/>
      <c r="CD119" s="100"/>
      <c r="CE119" s="43"/>
    </row>
    <row r="120" spans="2:83" ht="14.25" customHeight="1" x14ac:dyDescent="0.25">
      <c r="B120" s="44"/>
      <c r="C120" s="50"/>
      <c r="D120" s="1211" t="s">
        <v>18</v>
      </c>
      <c r="E120" s="23"/>
      <c r="F120" s="23"/>
      <c r="G120" s="23"/>
      <c r="H120" s="23"/>
      <c r="I120" s="23"/>
      <c r="J120" s="23"/>
      <c r="K120" s="23"/>
      <c r="L120" s="23"/>
      <c r="M120" s="23"/>
      <c r="N120" s="23"/>
      <c r="O120" s="23"/>
      <c r="P120" s="23"/>
      <c r="Q120" s="23"/>
      <c r="R120" s="200"/>
      <c r="S120" s="200"/>
      <c r="T120" s="23"/>
      <c r="V120" s="23"/>
      <c r="W120" s="23"/>
      <c r="X120" s="23"/>
      <c r="Y120" s="23"/>
      <c r="Z120" s="23"/>
      <c r="AA120" s="23"/>
      <c r="AB120" s="23"/>
      <c r="AC120" s="23"/>
      <c r="AD120" s="23"/>
      <c r="AE120" s="23"/>
      <c r="AF120" s="23"/>
      <c r="AG120" s="23"/>
      <c r="AH120" s="200"/>
      <c r="AI120" s="200"/>
      <c r="AJ120" s="201"/>
      <c r="AK120" s="200"/>
      <c r="AL120" s="201"/>
      <c r="AM120" s="61"/>
      <c r="AN120" s="99"/>
      <c r="AO120" s="183"/>
      <c r="AP120" s="99"/>
      <c r="AQ120" s="50"/>
      <c r="AR120" s="3366" t="s">
        <v>17</v>
      </c>
      <c r="AS120" s="3366"/>
      <c r="AT120" s="3366"/>
      <c r="AU120" s="23"/>
      <c r="AV120" s="23"/>
      <c r="AW120" s="23"/>
      <c r="AX120" s="23"/>
      <c r="AY120" s="23"/>
      <c r="AZ120" s="23"/>
      <c r="BA120" s="23"/>
      <c r="BB120" s="23"/>
      <c r="BC120" s="23"/>
      <c r="BD120" s="23"/>
      <c r="BE120" s="23"/>
      <c r="BF120" s="23"/>
      <c r="BG120" s="23"/>
      <c r="BH120" s="200"/>
      <c r="BI120" s="200"/>
      <c r="BJ120" s="23"/>
      <c r="BL120" s="23"/>
      <c r="BM120" s="23"/>
      <c r="BN120" s="23"/>
      <c r="BO120" s="23"/>
      <c r="BP120" s="23"/>
      <c r="BQ120" s="23"/>
      <c r="BR120" s="23"/>
      <c r="BS120" s="23"/>
      <c r="BT120" s="23"/>
      <c r="BU120" s="23"/>
      <c r="BV120" s="23"/>
      <c r="BW120" s="23"/>
      <c r="BX120" s="200"/>
      <c r="BY120" s="200"/>
      <c r="BZ120" s="201"/>
      <c r="CA120" s="200"/>
      <c r="CB120" s="201"/>
      <c r="CC120" s="61"/>
      <c r="CD120" s="100"/>
      <c r="CE120" s="43"/>
    </row>
    <row r="121" spans="2:83" ht="14.25" customHeight="1" x14ac:dyDescent="0.25">
      <c r="B121" s="44"/>
      <c r="C121" s="50"/>
      <c r="D121" s="1212" t="s">
        <v>15</v>
      </c>
      <c r="E121" s="23"/>
      <c r="F121" s="23"/>
      <c r="G121" s="23"/>
      <c r="H121" s="23"/>
      <c r="I121" s="23"/>
      <c r="J121" s="23"/>
      <c r="K121" s="23"/>
      <c r="L121" s="23"/>
      <c r="M121" s="23"/>
      <c r="N121" s="23"/>
      <c r="O121" s="23"/>
      <c r="P121" s="23"/>
      <c r="Q121" s="23"/>
      <c r="R121" s="204"/>
      <c r="S121" s="204"/>
      <c r="T121" s="23"/>
      <c r="U121" s="55"/>
      <c r="V121" s="23"/>
      <c r="W121" s="23"/>
      <c r="X121" s="23"/>
      <c r="Y121" s="23"/>
      <c r="Z121" s="23"/>
      <c r="AA121" s="23"/>
      <c r="AB121" s="23"/>
      <c r="AC121" s="23"/>
      <c r="AD121" s="23"/>
      <c r="AE121" s="23"/>
      <c r="AF121" s="23"/>
      <c r="AG121" s="23"/>
      <c r="AH121" s="204"/>
      <c r="AI121" s="204"/>
      <c r="AJ121" s="59"/>
      <c r="AK121" s="204"/>
      <c r="AL121" s="59"/>
      <c r="AM121" s="61"/>
      <c r="AN121" s="99"/>
      <c r="AO121" s="183"/>
      <c r="AP121" s="99"/>
      <c r="AQ121" s="50"/>
      <c r="AR121" s="3365" t="s">
        <v>19</v>
      </c>
      <c r="AS121" s="3365"/>
      <c r="AT121" s="3365"/>
      <c r="AU121" s="23"/>
      <c r="AV121" s="23"/>
      <c r="AW121" s="23"/>
      <c r="AX121" s="23"/>
      <c r="AY121" s="23"/>
      <c r="AZ121" s="23"/>
      <c r="BA121" s="23"/>
      <c r="BB121" s="23"/>
      <c r="BC121" s="23"/>
      <c r="BD121" s="23"/>
      <c r="BE121" s="23"/>
      <c r="BF121" s="23"/>
      <c r="BG121" s="23"/>
      <c r="BH121" s="204"/>
      <c r="BI121" s="204"/>
      <c r="BJ121" s="23"/>
      <c r="BK121" s="55"/>
      <c r="BL121" s="23"/>
      <c r="BM121" s="23"/>
      <c r="BN121" s="23"/>
      <c r="BO121" s="23"/>
      <c r="BP121" s="23"/>
      <c r="BQ121" s="23"/>
      <c r="BR121" s="23"/>
      <c r="BS121" s="23"/>
      <c r="BT121" s="23"/>
      <c r="BU121" s="23"/>
      <c r="BV121" s="23"/>
      <c r="BW121" s="23"/>
      <c r="BX121" s="204"/>
      <c r="BY121" s="204"/>
      <c r="BZ121" s="59"/>
      <c r="CA121" s="204"/>
      <c r="CB121" s="59"/>
      <c r="CC121" s="61"/>
      <c r="CD121" s="100"/>
      <c r="CE121" s="43"/>
    </row>
    <row r="122" spans="2:83" ht="14.25" customHeight="1" x14ac:dyDescent="0.25">
      <c r="B122" s="44"/>
      <c r="C122" s="50"/>
      <c r="D122" s="206" t="s">
        <v>16</v>
      </c>
      <c r="E122" s="207"/>
      <c r="F122" s="207"/>
      <c r="G122" s="207"/>
      <c r="H122" s="207"/>
      <c r="I122" s="207"/>
      <c r="J122" s="207"/>
      <c r="K122" s="207"/>
      <c r="L122" s="207"/>
      <c r="M122" s="207"/>
      <c r="N122" s="207"/>
      <c r="O122" s="207"/>
      <c r="P122" s="207"/>
      <c r="Q122" s="207"/>
      <c r="R122" s="207"/>
      <c r="S122" s="207"/>
      <c r="T122" s="207"/>
      <c r="U122" s="208"/>
      <c r="V122" s="207"/>
      <c r="W122" s="207"/>
      <c r="X122" s="207"/>
      <c r="Y122" s="207"/>
      <c r="Z122" s="207"/>
      <c r="AA122" s="207"/>
      <c r="AB122" s="207"/>
      <c r="AC122" s="207"/>
      <c r="AD122" s="207"/>
      <c r="AE122" s="207"/>
      <c r="AF122" s="207"/>
      <c r="AG122" s="207"/>
      <c r="AH122" s="207"/>
      <c r="AI122" s="207"/>
      <c r="AJ122" s="208"/>
      <c r="AK122" s="207"/>
      <c r="AL122" s="208"/>
      <c r="AM122" s="61"/>
      <c r="AN122" s="99"/>
      <c r="AO122" s="183"/>
      <c r="AP122" s="99"/>
      <c r="AQ122" s="50"/>
      <c r="AR122" s="3364" t="s">
        <v>13</v>
      </c>
      <c r="AS122" s="3364"/>
      <c r="AT122" s="3364"/>
      <c r="AU122" s="454"/>
      <c r="AV122" s="454"/>
      <c r="AW122" s="454"/>
      <c r="AX122" s="454"/>
      <c r="AY122" s="454"/>
      <c r="AZ122" s="454"/>
      <c r="BA122" s="454"/>
      <c r="BB122" s="454"/>
      <c r="BC122" s="454"/>
      <c r="BD122" s="454"/>
      <c r="BE122" s="454"/>
      <c r="BF122" s="454"/>
      <c r="BG122" s="454"/>
      <c r="BH122" s="454"/>
      <c r="BI122" s="454"/>
      <c r="BJ122" s="454"/>
      <c r="BK122" s="455"/>
      <c r="BL122" s="454"/>
      <c r="BM122" s="454"/>
      <c r="BN122" s="454"/>
      <c r="BO122" s="454"/>
      <c r="BP122" s="454"/>
      <c r="BQ122" s="454"/>
      <c r="BR122" s="454"/>
      <c r="BS122" s="454"/>
      <c r="BT122" s="454"/>
      <c r="BU122" s="454"/>
      <c r="BV122" s="454"/>
      <c r="BW122" s="454"/>
      <c r="BX122" s="454"/>
      <c r="BY122" s="454"/>
      <c r="BZ122" s="455"/>
      <c r="CA122" s="454"/>
      <c r="CB122" s="455"/>
      <c r="CC122" s="61"/>
      <c r="CD122" s="100"/>
      <c r="CE122" s="43"/>
    </row>
    <row r="123" spans="2:83" ht="4.5" customHeight="1" x14ac:dyDescent="0.25">
      <c r="B123" s="44"/>
      <c r="C123" s="50"/>
      <c r="D123" s="3309"/>
      <c r="E123" s="3309"/>
      <c r="F123" s="472"/>
      <c r="G123" s="474"/>
      <c r="H123" s="472"/>
      <c r="I123" s="474"/>
      <c r="J123" s="472"/>
      <c r="K123" s="474"/>
      <c r="L123" s="472"/>
      <c r="M123" s="474"/>
      <c r="N123" s="472"/>
      <c r="O123" s="474"/>
      <c r="P123" s="472"/>
      <c r="Q123" s="474"/>
      <c r="R123" s="472"/>
      <c r="S123" s="475"/>
      <c r="T123" s="472"/>
      <c r="V123" s="472"/>
      <c r="W123" s="474"/>
      <c r="X123" s="472"/>
      <c r="Y123" s="474"/>
      <c r="Z123" s="472"/>
      <c r="AA123" s="474"/>
      <c r="AB123" s="472"/>
      <c r="AC123" s="474"/>
      <c r="AD123" s="472"/>
      <c r="AE123" s="474"/>
      <c r="AF123" s="472"/>
      <c r="AG123" s="474"/>
      <c r="AH123" s="472"/>
      <c r="AI123" s="475"/>
      <c r="AJ123" s="473"/>
      <c r="AK123" s="475"/>
      <c r="AL123" s="476"/>
      <c r="AM123" s="210"/>
      <c r="AN123" s="211"/>
      <c r="AO123" s="212"/>
      <c r="AP123" s="211"/>
      <c r="AQ123" s="213"/>
      <c r="AR123" s="3310"/>
      <c r="AS123" s="3310"/>
      <c r="AT123" s="3310"/>
      <c r="AU123" s="3310"/>
      <c r="AV123" s="23"/>
      <c r="AW123" s="209"/>
      <c r="AX123" s="23"/>
      <c r="AY123" s="209"/>
      <c r="AZ123" s="23"/>
      <c r="BA123" s="209"/>
      <c r="BB123" s="23"/>
      <c r="BC123" s="209"/>
      <c r="BD123" s="23"/>
      <c r="BE123" s="209"/>
      <c r="BF123" s="23"/>
      <c r="BG123" s="209"/>
      <c r="BH123" s="23"/>
      <c r="BI123" s="26"/>
      <c r="BJ123" s="23"/>
      <c r="BL123" s="23"/>
      <c r="BM123" s="209"/>
      <c r="BN123" s="23"/>
      <c r="BO123" s="209"/>
      <c r="BP123" s="23"/>
      <c r="BQ123" s="209"/>
      <c r="BR123" s="23"/>
      <c r="BS123" s="209"/>
      <c r="BT123" s="23"/>
      <c r="BU123" s="209"/>
      <c r="BV123" s="23"/>
      <c r="BW123" s="209"/>
      <c r="BX123" s="23"/>
      <c r="BY123" s="26"/>
      <c r="BZ123" s="59"/>
      <c r="CA123" s="26"/>
      <c r="CB123" s="186"/>
      <c r="CC123" s="61"/>
      <c r="CD123" s="100"/>
      <c r="CE123" s="43"/>
    </row>
    <row r="124" spans="2:83" ht="33" customHeight="1" x14ac:dyDescent="0.25">
      <c r="B124" s="44"/>
      <c r="C124" s="50"/>
      <c r="D124" s="3377" t="s">
        <v>153</v>
      </c>
      <c r="E124" s="3377"/>
      <c r="F124" s="3316" t="s">
        <v>26</v>
      </c>
      <c r="G124" s="209"/>
      <c r="H124" s="3316" t="s">
        <v>29</v>
      </c>
      <c r="I124" s="209"/>
      <c r="J124" s="3316" t="s">
        <v>28</v>
      </c>
      <c r="K124" s="209"/>
      <c r="L124" s="3316" t="s">
        <v>27</v>
      </c>
      <c r="M124" s="209"/>
      <c r="N124" s="3316" t="s">
        <v>30</v>
      </c>
      <c r="O124" s="209"/>
      <c r="P124" s="3316" t="s">
        <v>31</v>
      </c>
      <c r="Q124" s="209"/>
      <c r="R124" s="3316" t="s">
        <v>25</v>
      </c>
      <c r="S124" s="26"/>
      <c r="T124" s="3317" t="s">
        <v>37</v>
      </c>
      <c r="V124" s="3316" t="s">
        <v>26</v>
      </c>
      <c r="W124" s="209"/>
      <c r="X124" s="3316" t="s">
        <v>29</v>
      </c>
      <c r="Y124" s="209"/>
      <c r="Z124" s="3316" t="s">
        <v>28</v>
      </c>
      <c r="AA124" s="209"/>
      <c r="AB124" s="3316" t="s">
        <v>27</v>
      </c>
      <c r="AC124" s="209"/>
      <c r="AD124" s="3316" t="s">
        <v>30</v>
      </c>
      <c r="AE124" s="209"/>
      <c r="AF124" s="3316" t="s">
        <v>31</v>
      </c>
      <c r="AG124" s="209"/>
      <c r="AH124" s="3316" t="s">
        <v>25</v>
      </c>
      <c r="AI124" s="26"/>
      <c r="AJ124" s="3317" t="s">
        <v>37</v>
      </c>
      <c r="AK124" s="26"/>
      <c r="AL124" s="186"/>
      <c r="AM124" s="210"/>
      <c r="AN124" s="211"/>
      <c r="AO124" s="212"/>
      <c r="AP124" s="211"/>
      <c r="AQ124" s="213"/>
      <c r="AR124" s="3377" t="s">
        <v>153</v>
      </c>
      <c r="AS124" s="3377"/>
      <c r="AT124" s="3377"/>
      <c r="AU124" s="3377"/>
      <c r="AV124" s="3378" t="s">
        <v>26</v>
      </c>
      <c r="AW124" s="209"/>
      <c r="AX124" s="3316" t="s">
        <v>29</v>
      </c>
      <c r="AY124" s="209"/>
      <c r="AZ124" s="3316" t="s">
        <v>28</v>
      </c>
      <c r="BA124" s="209"/>
      <c r="BB124" s="3316" t="s">
        <v>27</v>
      </c>
      <c r="BC124" s="209"/>
      <c r="BD124" s="3316" t="s">
        <v>30</v>
      </c>
      <c r="BE124" s="209"/>
      <c r="BF124" s="3316" t="s">
        <v>31</v>
      </c>
      <c r="BG124" s="209"/>
      <c r="BH124" s="3316" t="s">
        <v>25</v>
      </c>
      <c r="BI124" s="26"/>
      <c r="BJ124" s="3317" t="s">
        <v>37</v>
      </c>
      <c r="BL124" s="3316" t="s">
        <v>26</v>
      </c>
      <c r="BM124" s="209"/>
      <c r="BN124" s="3316" t="s">
        <v>29</v>
      </c>
      <c r="BO124" s="209"/>
      <c r="BP124" s="3316" t="s">
        <v>28</v>
      </c>
      <c r="BQ124" s="209"/>
      <c r="BR124" s="3316" t="s">
        <v>27</v>
      </c>
      <c r="BS124" s="209"/>
      <c r="BT124" s="3316" t="s">
        <v>30</v>
      </c>
      <c r="BU124" s="209"/>
      <c r="BV124" s="3316" t="s">
        <v>31</v>
      </c>
      <c r="BW124" s="209"/>
      <c r="BX124" s="3316" t="s">
        <v>25</v>
      </c>
      <c r="BY124" s="26"/>
      <c r="BZ124" s="3317" t="s">
        <v>37</v>
      </c>
      <c r="CA124" s="26"/>
      <c r="CB124" s="186"/>
      <c r="CC124" s="61"/>
      <c r="CD124" s="100"/>
      <c r="CE124" s="43"/>
    </row>
    <row r="125" spans="2:83" ht="20.25" customHeight="1" x14ac:dyDescent="0.25">
      <c r="B125" s="44"/>
      <c r="C125" s="50"/>
      <c r="D125" s="3377"/>
      <c r="E125" s="3377"/>
      <c r="F125" s="3316"/>
      <c r="G125" s="209"/>
      <c r="H125" s="3316"/>
      <c r="I125" s="209"/>
      <c r="J125" s="3316"/>
      <c r="K125" s="209"/>
      <c r="L125" s="3316"/>
      <c r="M125" s="209"/>
      <c r="N125" s="3316"/>
      <c r="O125" s="209"/>
      <c r="P125" s="3316"/>
      <c r="Q125" s="209"/>
      <c r="R125" s="3316"/>
      <c r="S125" s="26"/>
      <c r="T125" s="3317"/>
      <c r="V125" s="3316"/>
      <c r="W125" s="209"/>
      <c r="X125" s="3316"/>
      <c r="Y125" s="209"/>
      <c r="Z125" s="3316"/>
      <c r="AA125" s="209"/>
      <c r="AB125" s="3316"/>
      <c r="AC125" s="209"/>
      <c r="AD125" s="3316"/>
      <c r="AE125" s="209"/>
      <c r="AF125" s="3316"/>
      <c r="AG125" s="209"/>
      <c r="AH125" s="3316"/>
      <c r="AI125" s="26"/>
      <c r="AJ125" s="3317"/>
      <c r="AK125" s="26"/>
      <c r="AL125" s="186"/>
      <c r="AM125" s="210"/>
      <c r="AN125" s="211"/>
      <c r="AO125" s="212"/>
      <c r="AP125" s="211"/>
      <c r="AQ125" s="213"/>
      <c r="AR125" s="3377"/>
      <c r="AS125" s="3377"/>
      <c r="AT125" s="3377"/>
      <c r="AU125" s="3377"/>
      <c r="AV125" s="3378"/>
      <c r="AW125" s="209"/>
      <c r="AX125" s="3316"/>
      <c r="AY125" s="209"/>
      <c r="AZ125" s="3316"/>
      <c r="BA125" s="209"/>
      <c r="BB125" s="3316"/>
      <c r="BC125" s="209"/>
      <c r="BD125" s="3316"/>
      <c r="BE125" s="209"/>
      <c r="BF125" s="3316"/>
      <c r="BG125" s="209"/>
      <c r="BH125" s="3316"/>
      <c r="BI125" s="26"/>
      <c r="BJ125" s="3317"/>
      <c r="BL125" s="3316"/>
      <c r="BM125" s="209"/>
      <c r="BN125" s="3316"/>
      <c r="BO125" s="209"/>
      <c r="BP125" s="3316"/>
      <c r="BQ125" s="209"/>
      <c r="BR125" s="3316"/>
      <c r="BS125" s="209"/>
      <c r="BT125" s="3316"/>
      <c r="BU125" s="209"/>
      <c r="BV125" s="3316"/>
      <c r="BW125" s="209"/>
      <c r="BX125" s="3316"/>
      <c r="BY125" s="26"/>
      <c r="BZ125" s="3317"/>
      <c r="CA125" s="26"/>
      <c r="CB125" s="186"/>
      <c r="CC125" s="61"/>
      <c r="CD125" s="100"/>
      <c r="CE125" s="43"/>
    </row>
    <row r="126" spans="2:83" ht="6.75" customHeight="1" x14ac:dyDescent="0.25">
      <c r="B126" s="44"/>
      <c r="C126" s="50"/>
      <c r="D126" s="3384"/>
      <c r="E126" s="3384"/>
      <c r="F126" s="3316"/>
      <c r="G126" s="209"/>
      <c r="H126" s="3316"/>
      <c r="I126" s="209"/>
      <c r="J126" s="3316"/>
      <c r="K126" s="209"/>
      <c r="L126" s="3316"/>
      <c r="M126" s="209"/>
      <c r="N126" s="3316"/>
      <c r="O126" s="209"/>
      <c r="P126" s="3316"/>
      <c r="Q126" s="209"/>
      <c r="R126" s="3316"/>
      <c r="S126" s="26"/>
      <c r="T126" s="3317"/>
      <c r="V126" s="3316"/>
      <c r="W126" s="209"/>
      <c r="X126" s="3316"/>
      <c r="Y126" s="209"/>
      <c r="Z126" s="3316"/>
      <c r="AA126" s="209"/>
      <c r="AB126" s="3316"/>
      <c r="AC126" s="209"/>
      <c r="AD126" s="3316"/>
      <c r="AE126" s="209"/>
      <c r="AF126" s="3316"/>
      <c r="AG126" s="209"/>
      <c r="AH126" s="3316"/>
      <c r="AI126" s="26"/>
      <c r="AJ126" s="3317"/>
      <c r="AK126" s="26"/>
      <c r="AL126" s="186"/>
      <c r="AM126" s="210"/>
      <c r="AN126" s="211"/>
      <c r="AO126" s="212"/>
      <c r="AP126" s="211"/>
      <c r="AQ126" s="213"/>
      <c r="AR126" s="3310"/>
      <c r="AS126" s="3310"/>
      <c r="AT126" s="3310"/>
      <c r="AU126" s="3310"/>
      <c r="AV126" s="3378"/>
      <c r="AW126" s="209"/>
      <c r="AX126" s="3316"/>
      <c r="AY126" s="209"/>
      <c r="AZ126" s="3316"/>
      <c r="BA126" s="209"/>
      <c r="BB126" s="3316"/>
      <c r="BC126" s="209"/>
      <c r="BD126" s="3316"/>
      <c r="BE126" s="209"/>
      <c r="BF126" s="3316"/>
      <c r="BG126" s="209"/>
      <c r="BH126" s="3316"/>
      <c r="BI126" s="26"/>
      <c r="BJ126" s="3317"/>
      <c r="BL126" s="3316"/>
      <c r="BM126" s="209"/>
      <c r="BN126" s="3316"/>
      <c r="BO126" s="209"/>
      <c r="BP126" s="3316"/>
      <c r="BQ126" s="209"/>
      <c r="BR126" s="3316"/>
      <c r="BS126" s="209"/>
      <c r="BT126" s="3316"/>
      <c r="BU126" s="209"/>
      <c r="BV126" s="3316"/>
      <c r="BW126" s="209"/>
      <c r="BX126" s="3316"/>
      <c r="BY126" s="26"/>
      <c r="BZ126" s="3317"/>
      <c r="CA126" s="26"/>
      <c r="CB126" s="186"/>
      <c r="CC126" s="61"/>
      <c r="CD126" s="100"/>
      <c r="CE126" s="43"/>
    </row>
    <row r="127" spans="2:83" ht="5.25" customHeight="1" x14ac:dyDescent="0.25">
      <c r="B127" s="44"/>
      <c r="C127" s="91"/>
      <c r="D127" s="214"/>
      <c r="E127" s="215"/>
      <c r="F127" s="216"/>
      <c r="G127" s="217"/>
      <c r="H127" s="218"/>
      <c r="I127" s="217"/>
      <c r="J127" s="218"/>
      <c r="K127" s="217"/>
      <c r="L127" s="218"/>
      <c r="M127" s="217"/>
      <c r="N127" s="218"/>
      <c r="O127" s="217"/>
      <c r="P127" s="218"/>
      <c r="Q127" s="217"/>
      <c r="R127" s="218"/>
      <c r="S127" s="214"/>
      <c r="T127" s="92"/>
      <c r="U127" s="92"/>
      <c r="V127" s="219"/>
      <c r="W127" s="163"/>
      <c r="X127" s="220"/>
      <c r="Y127" s="163"/>
      <c r="Z127" s="220"/>
      <c r="AA127" s="163"/>
      <c r="AB127" s="220"/>
      <c r="AC127" s="163"/>
      <c r="AD127" s="220"/>
      <c r="AE127" s="163"/>
      <c r="AF127" s="220"/>
      <c r="AG127" s="163"/>
      <c r="AH127" s="220"/>
      <c r="AI127" s="214"/>
      <c r="AJ127" s="92"/>
      <c r="AK127" s="214"/>
      <c r="AL127" s="92"/>
      <c r="AM127" s="93"/>
      <c r="AN127" s="99"/>
      <c r="AO127" s="183"/>
      <c r="AP127" s="99"/>
      <c r="AQ127" s="91"/>
      <c r="AR127" s="92"/>
      <c r="AS127" s="214"/>
      <c r="AT127" s="214"/>
      <c r="AU127" s="215"/>
      <c r="AV127" s="216"/>
      <c r="AW127" s="217"/>
      <c r="AX127" s="218"/>
      <c r="AY127" s="217"/>
      <c r="AZ127" s="218"/>
      <c r="BA127" s="217"/>
      <c r="BB127" s="218"/>
      <c r="BC127" s="217"/>
      <c r="BD127" s="218"/>
      <c r="BE127" s="217"/>
      <c r="BF127" s="218"/>
      <c r="BG127" s="217"/>
      <c r="BH127" s="218"/>
      <c r="BI127" s="214"/>
      <c r="BJ127" s="92"/>
      <c r="BK127" s="92"/>
      <c r="BL127" s="219"/>
      <c r="BM127" s="163"/>
      <c r="BN127" s="220"/>
      <c r="BO127" s="163"/>
      <c r="BP127" s="220"/>
      <c r="BQ127" s="163"/>
      <c r="BR127" s="220"/>
      <c r="BS127" s="163"/>
      <c r="BT127" s="220"/>
      <c r="BU127" s="163"/>
      <c r="BV127" s="220"/>
      <c r="BW127" s="163"/>
      <c r="BX127" s="220"/>
      <c r="BY127" s="214"/>
      <c r="BZ127" s="92"/>
      <c r="CA127" s="214"/>
      <c r="CB127" s="92"/>
      <c r="CC127" s="93"/>
      <c r="CD127" s="100"/>
      <c r="CE127" s="43"/>
    </row>
    <row r="128" spans="2:83" ht="12" customHeight="1" x14ac:dyDescent="0.25">
      <c r="B128" s="94"/>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183"/>
      <c r="AP128" s="95"/>
      <c r="AQ128" s="95"/>
      <c r="AR128" s="95"/>
      <c r="AS128" s="95"/>
      <c r="AT128" s="95"/>
      <c r="AU128" s="95"/>
      <c r="AV128" s="95"/>
      <c r="AW128" s="95"/>
      <c r="AX128" s="95"/>
      <c r="AY128" s="95"/>
      <c r="AZ128" s="95"/>
      <c r="BA128" s="95"/>
      <c r="BB128" s="95"/>
      <c r="BC128" s="95"/>
      <c r="BD128" s="95"/>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6"/>
      <c r="CE128" s="43"/>
    </row>
    <row r="129" spans="2:83" ht="12.75" customHeight="1" x14ac:dyDescent="0.25">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c r="CA129" s="59"/>
      <c r="CB129" s="59"/>
      <c r="CC129" s="59"/>
      <c r="CD129" s="59"/>
      <c r="CE129" s="59"/>
    </row>
    <row r="130" spans="2:83" ht="22.5" customHeight="1" x14ac:dyDescent="0.25">
      <c r="B130" s="36"/>
      <c r="C130" s="1031" t="s">
        <v>23</v>
      </c>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7"/>
      <c r="AR130" s="37"/>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6"/>
      <c r="BY130" s="36"/>
      <c r="BZ130" s="39"/>
      <c r="CA130" s="36"/>
      <c r="CB130" s="3311"/>
      <c r="CC130" s="3311"/>
      <c r="CD130" s="38"/>
    </row>
    <row r="131" spans="2:83" ht="6.75" customHeight="1" x14ac:dyDescent="0.25"/>
    <row r="132" spans="2:83" ht="12" customHeight="1" x14ac:dyDescent="0.25">
      <c r="B132" s="40"/>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2"/>
      <c r="CE132" s="43"/>
    </row>
    <row r="133" spans="2:83" ht="9.75" customHeight="1" x14ac:dyDescent="0.25">
      <c r="B133" s="44"/>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7"/>
      <c r="CD133" s="100"/>
      <c r="CE133" s="43"/>
    </row>
    <row r="134" spans="2:83" ht="15" customHeight="1" x14ac:dyDescent="0.25">
      <c r="B134" s="44"/>
      <c r="C134" s="50"/>
      <c r="D134" s="3306" t="str">
        <f>IF(ISBLANK('FORMULAIRE PGA Eau potable'!C716)=TRUE,"",'FORMULAIRE PGA Eau potable'!C716)</f>
        <v/>
      </c>
      <c r="E134" s="3306"/>
      <c r="F134" s="3306"/>
      <c r="G134" s="3306"/>
      <c r="H134" s="3306"/>
      <c r="I134" s="3306"/>
      <c r="J134" s="3306"/>
      <c r="K134" s="3306"/>
      <c r="L134" s="3306"/>
      <c r="M134" s="3306"/>
      <c r="N134" s="3306"/>
      <c r="O134" s="3306"/>
      <c r="P134" s="3306"/>
      <c r="Q134" s="3306"/>
      <c r="R134" s="3306"/>
      <c r="S134" s="3306"/>
      <c r="T134" s="3306"/>
      <c r="U134" s="3306"/>
      <c r="V134" s="3306"/>
      <c r="W134" s="3306"/>
      <c r="X134" s="3306"/>
      <c r="Y134" s="3306"/>
      <c r="Z134" s="3306"/>
      <c r="AA134" s="3306"/>
      <c r="AB134" s="3306"/>
      <c r="AC134" s="3306"/>
      <c r="AD134" s="3306"/>
      <c r="AE134" s="3306"/>
      <c r="AF134" s="3306"/>
      <c r="AG134" s="3306"/>
      <c r="AH134" s="3306"/>
      <c r="AI134" s="3306"/>
      <c r="AJ134" s="3306"/>
      <c r="AK134" s="3306"/>
      <c r="AL134" s="3306"/>
      <c r="AM134" s="3306"/>
      <c r="AN134" s="3306"/>
      <c r="AO134" s="3306"/>
      <c r="AP134" s="3306"/>
      <c r="AQ134" s="3306"/>
      <c r="AR134" s="3306"/>
      <c r="AS134" s="3306"/>
      <c r="AT134" s="3306"/>
      <c r="AU134" s="3306"/>
      <c r="AV134" s="3306"/>
      <c r="AW134" s="3306"/>
      <c r="AX134" s="3306"/>
      <c r="AY134" s="3306"/>
      <c r="AZ134" s="3306"/>
      <c r="BA134" s="3306"/>
      <c r="BB134" s="3306"/>
      <c r="BC134" s="3306"/>
      <c r="BD134" s="3306"/>
      <c r="BE134" s="3306"/>
      <c r="BF134" s="3306"/>
      <c r="BG134" s="3306"/>
      <c r="BH134" s="3306"/>
      <c r="BI134" s="3306"/>
      <c r="BJ134" s="3306"/>
      <c r="BK134" s="3306"/>
      <c r="BL134" s="3306"/>
      <c r="BM134" s="3306"/>
      <c r="BN134" s="3306"/>
      <c r="BO134" s="3306"/>
      <c r="BP134" s="3306"/>
      <c r="BQ134" s="3306"/>
      <c r="BR134" s="3306"/>
      <c r="BS134" s="3306"/>
      <c r="BT134" s="3306"/>
      <c r="BU134" s="3306"/>
      <c r="BV134" s="3306"/>
      <c r="BW134" s="3306"/>
      <c r="BX134" s="3306"/>
      <c r="BY134" s="3306"/>
      <c r="BZ134" s="3306"/>
      <c r="CA134" s="3306"/>
      <c r="CB134" s="3306"/>
      <c r="CC134" s="61"/>
      <c r="CD134" s="100"/>
      <c r="CE134" s="43"/>
    </row>
    <row r="135" spans="2:83" ht="15" customHeight="1" x14ac:dyDescent="0.25">
      <c r="B135" s="44"/>
      <c r="C135" s="50"/>
      <c r="D135" s="3306"/>
      <c r="E135" s="3306"/>
      <c r="F135" s="3306"/>
      <c r="G135" s="3306"/>
      <c r="H135" s="3306"/>
      <c r="I135" s="3306"/>
      <c r="J135" s="3306"/>
      <c r="K135" s="3306"/>
      <c r="L135" s="3306"/>
      <c r="M135" s="3306"/>
      <c r="N135" s="3306"/>
      <c r="O135" s="3306"/>
      <c r="P135" s="3306"/>
      <c r="Q135" s="3306"/>
      <c r="R135" s="3306"/>
      <c r="S135" s="3306"/>
      <c r="T135" s="3306"/>
      <c r="U135" s="3306"/>
      <c r="V135" s="3306"/>
      <c r="W135" s="3306"/>
      <c r="X135" s="3306"/>
      <c r="Y135" s="3306"/>
      <c r="Z135" s="3306"/>
      <c r="AA135" s="3306"/>
      <c r="AB135" s="3306"/>
      <c r="AC135" s="3306"/>
      <c r="AD135" s="3306"/>
      <c r="AE135" s="3306"/>
      <c r="AF135" s="3306"/>
      <c r="AG135" s="3306"/>
      <c r="AH135" s="3306"/>
      <c r="AI135" s="3306"/>
      <c r="AJ135" s="3306"/>
      <c r="AK135" s="3306"/>
      <c r="AL135" s="3306"/>
      <c r="AM135" s="3306"/>
      <c r="AN135" s="3306"/>
      <c r="AO135" s="3306"/>
      <c r="AP135" s="3306"/>
      <c r="AQ135" s="3306"/>
      <c r="AR135" s="3306"/>
      <c r="AS135" s="3306"/>
      <c r="AT135" s="3306"/>
      <c r="AU135" s="3306"/>
      <c r="AV135" s="3306"/>
      <c r="AW135" s="3306"/>
      <c r="AX135" s="3306"/>
      <c r="AY135" s="3306"/>
      <c r="AZ135" s="3306"/>
      <c r="BA135" s="3306"/>
      <c r="BB135" s="3306"/>
      <c r="BC135" s="3306"/>
      <c r="BD135" s="3306"/>
      <c r="BE135" s="3306"/>
      <c r="BF135" s="3306"/>
      <c r="BG135" s="3306"/>
      <c r="BH135" s="3306"/>
      <c r="BI135" s="3306"/>
      <c r="BJ135" s="3306"/>
      <c r="BK135" s="3306"/>
      <c r="BL135" s="3306"/>
      <c r="BM135" s="3306"/>
      <c r="BN135" s="3306"/>
      <c r="BO135" s="3306"/>
      <c r="BP135" s="3306"/>
      <c r="BQ135" s="3306"/>
      <c r="BR135" s="3306"/>
      <c r="BS135" s="3306"/>
      <c r="BT135" s="3306"/>
      <c r="BU135" s="3306"/>
      <c r="BV135" s="3306"/>
      <c r="BW135" s="3306"/>
      <c r="BX135" s="3306"/>
      <c r="BY135" s="3306"/>
      <c r="BZ135" s="3306"/>
      <c r="CA135" s="3306"/>
      <c r="CB135" s="3306"/>
      <c r="CC135" s="61"/>
      <c r="CD135" s="100"/>
      <c r="CE135" s="43"/>
    </row>
    <row r="136" spans="2:83" ht="8.25" customHeight="1" x14ac:dyDescent="0.25">
      <c r="B136" s="44"/>
      <c r="C136" s="91"/>
      <c r="D136" s="105"/>
      <c r="E136" s="92"/>
      <c r="F136" s="92"/>
      <c r="G136" s="92"/>
      <c r="H136" s="92"/>
      <c r="I136" s="92"/>
      <c r="J136" s="92"/>
      <c r="K136" s="92"/>
      <c r="L136" s="92"/>
      <c r="M136" s="92"/>
      <c r="N136" s="92"/>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c r="BM136" s="92"/>
      <c r="BN136" s="92"/>
      <c r="BO136" s="92"/>
      <c r="BP136" s="92"/>
      <c r="BQ136" s="92"/>
      <c r="BR136" s="92"/>
      <c r="BS136" s="92"/>
      <c r="BT136" s="92"/>
      <c r="BU136" s="92"/>
      <c r="BV136" s="92"/>
      <c r="BW136" s="92"/>
      <c r="BX136" s="92"/>
      <c r="BY136" s="92"/>
      <c r="BZ136" s="92"/>
      <c r="CA136" s="92"/>
      <c r="CB136" s="92"/>
      <c r="CC136" s="93"/>
      <c r="CD136" s="100"/>
      <c r="CE136" s="43"/>
    </row>
    <row r="137" spans="2:83" ht="11.25" customHeight="1" x14ac:dyDescent="0.25">
      <c r="B137" s="94"/>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c r="AP137" s="95"/>
      <c r="AQ137" s="95"/>
      <c r="AR137" s="95"/>
      <c r="AS137" s="95"/>
      <c r="AT137" s="95"/>
      <c r="AU137" s="95"/>
      <c r="AV137" s="95"/>
      <c r="AW137" s="95"/>
      <c r="AX137" s="95"/>
      <c r="AY137" s="95"/>
      <c r="AZ137" s="95"/>
      <c r="BA137" s="95"/>
      <c r="BB137" s="95"/>
      <c r="BC137" s="95"/>
      <c r="BD137" s="95"/>
      <c r="BE137" s="95"/>
      <c r="BF137" s="95"/>
      <c r="BG137" s="95"/>
      <c r="BH137" s="95"/>
      <c r="BI137" s="95"/>
      <c r="BJ137" s="95"/>
      <c r="BK137" s="95"/>
      <c r="BL137" s="95"/>
      <c r="BM137" s="95"/>
      <c r="BN137" s="95"/>
      <c r="BO137" s="95"/>
      <c r="BP137" s="95"/>
      <c r="BQ137" s="95"/>
      <c r="BR137" s="95"/>
      <c r="BS137" s="95"/>
      <c r="BT137" s="95"/>
      <c r="BU137" s="95"/>
      <c r="BV137" s="95"/>
      <c r="BW137" s="95"/>
      <c r="BX137" s="95"/>
      <c r="BY137" s="95"/>
      <c r="BZ137" s="95"/>
      <c r="CA137" s="95"/>
      <c r="CB137" s="95"/>
      <c r="CC137" s="95"/>
      <c r="CD137" s="96"/>
      <c r="CE137" s="43"/>
    </row>
    <row r="138" spans="2:83" ht="9.75" customHeight="1" x14ac:dyDescent="0.25">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59"/>
      <c r="BG138" s="59"/>
      <c r="BH138" s="59"/>
      <c r="BI138" s="59"/>
      <c r="BJ138" s="59"/>
      <c r="BK138" s="59"/>
      <c r="BL138" s="59"/>
      <c r="BM138" s="59"/>
      <c r="BN138" s="59"/>
      <c r="BO138" s="59"/>
      <c r="BP138" s="59"/>
      <c r="BQ138" s="59"/>
      <c r="BR138" s="59"/>
      <c r="BS138" s="59"/>
      <c r="BT138" s="59"/>
      <c r="BU138" s="59"/>
      <c r="BV138" s="59"/>
      <c r="BW138" s="59"/>
      <c r="BX138" s="59"/>
      <c r="BY138" s="59"/>
      <c r="BZ138" s="59"/>
      <c r="CA138" s="59"/>
      <c r="CB138" s="59"/>
      <c r="CC138" s="59"/>
      <c r="CD138" s="59"/>
      <c r="CE138" s="59"/>
    </row>
    <row r="142" spans="2:83" ht="15.75" customHeight="1" x14ac:dyDescent="0.25">
      <c r="BK142" s="59"/>
      <c r="BM142" s="377"/>
      <c r="BN142" s="377"/>
      <c r="BO142" s="377"/>
      <c r="BP142" s="377"/>
      <c r="BQ142" s="377"/>
      <c r="BR142" s="377"/>
      <c r="BS142" s="377"/>
      <c r="BT142" s="377"/>
      <c r="BU142" s="377"/>
      <c r="BV142" s="377"/>
      <c r="BW142" s="377"/>
      <c r="BX142" s="377"/>
      <c r="BY142" s="377"/>
      <c r="BZ142" s="377"/>
    </row>
    <row r="143" spans="2:83" x14ac:dyDescent="0.25">
      <c r="BM143" s="377"/>
      <c r="BN143" s="377"/>
      <c r="BO143" s="377"/>
      <c r="BP143" s="377"/>
      <c r="BQ143" s="377"/>
      <c r="BR143" s="377"/>
      <c r="BS143" s="377"/>
      <c r="BT143" s="377"/>
      <c r="BU143" s="377"/>
      <c r="BV143" s="377"/>
      <c r="BW143" s="377"/>
      <c r="BX143" s="377"/>
      <c r="BY143" s="377"/>
      <c r="BZ143" s="377"/>
    </row>
    <row r="144" spans="2:83" x14ac:dyDescent="0.25">
      <c r="BK144" s="59"/>
      <c r="BL144" s="377"/>
      <c r="BM144" s="377"/>
      <c r="BN144" s="377"/>
      <c r="BO144" s="377"/>
      <c r="BP144" s="377"/>
      <c r="BQ144" s="377"/>
      <c r="BR144" s="377"/>
      <c r="BS144" s="377"/>
      <c r="BT144" s="377"/>
      <c r="BU144" s="377"/>
      <c r="BV144" s="377"/>
      <c r="BW144" s="377"/>
      <c r="BX144" s="377"/>
      <c r="BY144" s="377"/>
      <c r="BZ144" s="377"/>
    </row>
  </sheetData>
  <sheetProtection password="C518" sheet="1" objects="1" scenarios="1"/>
  <mergeCells count="181">
    <mergeCell ref="BR6:CD6"/>
    <mergeCell ref="BY4:CC4"/>
    <mergeCell ref="CB8:CC8"/>
    <mergeCell ref="BW17:CA17"/>
    <mergeCell ref="AN31:AR31"/>
    <mergeCell ref="D15:U21"/>
    <mergeCell ref="J114:L114"/>
    <mergeCell ref="K36:U36"/>
    <mergeCell ref="K38:U38"/>
    <mergeCell ref="K37:U37"/>
    <mergeCell ref="K35:U35"/>
    <mergeCell ref="K34:U34"/>
    <mergeCell ref="D38:I38"/>
    <mergeCell ref="D37:I37"/>
    <mergeCell ref="D36:I36"/>
    <mergeCell ref="D35:I35"/>
    <mergeCell ref="D34:I34"/>
    <mergeCell ref="F78:H78"/>
    <mergeCell ref="BZ46:CB46"/>
    <mergeCell ref="BA42:BB42"/>
    <mergeCell ref="BC42:BD42"/>
    <mergeCell ref="BE42:BF42"/>
    <mergeCell ref="BB20:BD20"/>
    <mergeCell ref="BB16:BD16"/>
    <mergeCell ref="D117:E117"/>
    <mergeCell ref="D114:D116"/>
    <mergeCell ref="Z114:AB114"/>
    <mergeCell ref="E114:H114"/>
    <mergeCell ref="U114:X114"/>
    <mergeCell ref="U42:V42"/>
    <mergeCell ref="M114:O114"/>
    <mergeCell ref="AC114:AE114"/>
    <mergeCell ref="BN124:BN126"/>
    <mergeCell ref="BL124:BL126"/>
    <mergeCell ref="BJ124:BJ126"/>
    <mergeCell ref="BH124:BH126"/>
    <mergeCell ref="BF124:BF126"/>
    <mergeCell ref="BD124:BD126"/>
    <mergeCell ref="AX124:AX126"/>
    <mergeCell ref="BD57:BF57"/>
    <mergeCell ref="BL70:CA72"/>
    <mergeCell ref="BL76:CA77"/>
    <mergeCell ref="BL74:CA75"/>
    <mergeCell ref="F124:F126"/>
    <mergeCell ref="D124:E125"/>
    <mergeCell ref="D126:E126"/>
    <mergeCell ref="P124:P126"/>
    <mergeCell ref="N124:N126"/>
    <mergeCell ref="BZ124:BZ126"/>
    <mergeCell ref="BD78:BG78"/>
    <mergeCell ref="BC114:BE114"/>
    <mergeCell ref="BS114:BU114"/>
    <mergeCell ref="AD124:AD126"/>
    <mergeCell ref="Z124:Z126"/>
    <mergeCell ref="AR126:AU126"/>
    <mergeCell ref="AR124:AU125"/>
    <mergeCell ref="AV124:AV126"/>
    <mergeCell ref="BL80:CA82"/>
    <mergeCell ref="AQ78:AR78"/>
    <mergeCell ref="BV124:BV126"/>
    <mergeCell ref="BT124:BT126"/>
    <mergeCell ref="BR124:BR126"/>
    <mergeCell ref="AU97:AV97"/>
    <mergeCell ref="BK114:BN114"/>
    <mergeCell ref="BL78:CA79"/>
    <mergeCell ref="BL84:CA86"/>
    <mergeCell ref="BL87:CA88"/>
    <mergeCell ref="BP124:BP126"/>
    <mergeCell ref="BX124:BX126"/>
    <mergeCell ref="BV101:BY101"/>
    <mergeCell ref="BZ102:CB102"/>
    <mergeCell ref="BZ101:CB101"/>
    <mergeCell ref="J124:J126"/>
    <mergeCell ref="L124:L126"/>
    <mergeCell ref="H124:H126"/>
    <mergeCell ref="AB124:AB126"/>
    <mergeCell ref="X124:X126"/>
    <mergeCell ref="V124:V126"/>
    <mergeCell ref="T124:T126"/>
    <mergeCell ref="R124:R126"/>
    <mergeCell ref="Z3:AX4"/>
    <mergeCell ref="W42:X42"/>
    <mergeCell ref="U97:V97"/>
    <mergeCell ref="AH124:AH126"/>
    <mergeCell ref="AF124:AF126"/>
    <mergeCell ref="AU59:AX59"/>
    <mergeCell ref="AR122:AT122"/>
    <mergeCell ref="AR121:AT121"/>
    <mergeCell ref="AR120:AT120"/>
    <mergeCell ref="AR119:AT119"/>
    <mergeCell ref="AR118:AT118"/>
    <mergeCell ref="AR114:AT116"/>
    <mergeCell ref="AF16:AH16"/>
    <mergeCell ref="AF20:AH20"/>
    <mergeCell ref="AU38:AX38"/>
    <mergeCell ref="AU37:AX37"/>
    <mergeCell ref="Z2:AX2"/>
    <mergeCell ref="AS117:AU117"/>
    <mergeCell ref="AU42:AV42"/>
    <mergeCell ref="AW42:AX42"/>
    <mergeCell ref="AN78:AP78"/>
    <mergeCell ref="AF78:AM78"/>
    <mergeCell ref="AU114:AX114"/>
    <mergeCell ref="AH114:AJ114"/>
    <mergeCell ref="AS31:AT31"/>
    <mergeCell ref="Z56:AB56"/>
    <mergeCell ref="AH17:AL17"/>
    <mergeCell ref="X12:Z12"/>
    <mergeCell ref="AU57:AZ57"/>
    <mergeCell ref="AR70:AS70"/>
    <mergeCell ref="AR67:AS67"/>
    <mergeCell ref="AR65:AS65"/>
    <mergeCell ref="AR63:AS63"/>
    <mergeCell ref="AR61:AS61"/>
    <mergeCell ref="AR59:AS59"/>
    <mergeCell ref="AU70:AX70"/>
    <mergeCell ref="AU67:AX67"/>
    <mergeCell ref="AU65:AX65"/>
    <mergeCell ref="AU63:AX63"/>
    <mergeCell ref="AU61:AX61"/>
    <mergeCell ref="CB25:CC25"/>
    <mergeCell ref="CB52:CC52"/>
    <mergeCell ref="CB93:CC93"/>
    <mergeCell ref="CB106:CC106"/>
    <mergeCell ref="CB42:CC42"/>
    <mergeCell ref="CA29:CB29"/>
    <mergeCell ref="AU31:AY31"/>
    <mergeCell ref="CB97:CC97"/>
    <mergeCell ref="BM58:BO58"/>
    <mergeCell ref="BP58:BR58"/>
    <mergeCell ref="BM59:BO59"/>
    <mergeCell ref="BB63:BG63"/>
    <mergeCell ref="BP59:BR59"/>
    <mergeCell ref="BZ35:CB35"/>
    <mergeCell ref="BZ34:CB34"/>
    <mergeCell ref="BB61:BG61"/>
    <mergeCell ref="BB59:BG59"/>
    <mergeCell ref="BB70:BG70"/>
    <mergeCell ref="BB67:BG67"/>
    <mergeCell ref="BB65:BG65"/>
    <mergeCell ref="BX31:CB31"/>
    <mergeCell ref="BP31:BV31"/>
    <mergeCell ref="AJ46:AL46"/>
    <mergeCell ref="AX29:AZ29"/>
    <mergeCell ref="BS38:BT38"/>
    <mergeCell ref="BS37:BT37"/>
    <mergeCell ref="BS36:BT36"/>
    <mergeCell ref="BS35:BT35"/>
    <mergeCell ref="BS34:BT34"/>
    <mergeCell ref="BZ38:CB38"/>
    <mergeCell ref="BZ37:CB37"/>
    <mergeCell ref="BZ36:CB36"/>
    <mergeCell ref="AY42:AZ42"/>
    <mergeCell ref="BG42:BH42"/>
    <mergeCell ref="AU36:AX36"/>
    <mergeCell ref="AU35:AX35"/>
    <mergeCell ref="AU34:AX34"/>
    <mergeCell ref="D134:CB135"/>
    <mergeCell ref="CB74:CC74"/>
    <mergeCell ref="CB76:CC76"/>
    <mergeCell ref="CB78:CC78"/>
    <mergeCell ref="CB80:CC80"/>
    <mergeCell ref="CB85:CC85"/>
    <mergeCell ref="CB88:CC88"/>
    <mergeCell ref="D123:E123"/>
    <mergeCell ref="AR123:AU123"/>
    <mergeCell ref="CB130:CC130"/>
    <mergeCell ref="AL106:AM106"/>
    <mergeCell ref="AI110:AJ110"/>
    <mergeCell ref="AH113:AJ113"/>
    <mergeCell ref="BX113:BZ113"/>
    <mergeCell ref="BX114:BZ114"/>
    <mergeCell ref="AZ114:BB114"/>
    <mergeCell ref="BP114:BR114"/>
    <mergeCell ref="AZ124:AZ126"/>
    <mergeCell ref="BB124:BB126"/>
    <mergeCell ref="AJ124:AJ126"/>
    <mergeCell ref="Z78:AC78"/>
    <mergeCell ref="R102:T102"/>
    <mergeCell ref="R101:T101"/>
    <mergeCell ref="BV102:BY102"/>
  </mergeCells>
  <conditionalFormatting sqref="U29">
    <cfRule type="iconSet" priority="6">
      <iconSet iconSet="5Rating" showValue="0">
        <cfvo type="percent" val="0"/>
        <cfvo type="num" val="1" gte="0"/>
        <cfvo type="num" val="2" gte="0"/>
        <cfvo type="num" val="3" gte="0"/>
        <cfvo type="num" val="4" gte="0"/>
      </iconSet>
    </cfRule>
    <cfRule type="iconSet" priority="5">
      <iconSet iconSet="5Rating" showValue="0">
        <cfvo type="percent" val="0"/>
        <cfvo type="num" val="1" gte="0"/>
        <cfvo type="num" val="2" gte="0"/>
        <cfvo type="num" val="3" gte="0"/>
        <cfvo type="num" val="4" gte="0"/>
      </iconSet>
    </cfRule>
  </conditionalFormatting>
  <conditionalFormatting sqref="U101:U102">
    <cfRule type="iconSet" priority="3">
      <iconSet iconSet="5Rating" showValue="0">
        <cfvo type="percent" val="0"/>
        <cfvo type="num" val="1" gte="0"/>
        <cfvo type="num" val="2" gte="0"/>
        <cfvo type="num" val="3" gte="0"/>
        <cfvo type="num" val="4" gte="0"/>
      </iconSet>
    </cfRule>
  </conditionalFormatting>
  <conditionalFormatting sqref="AJ46">
    <cfRule type="iconSet" priority="24">
      <iconSet iconSet="5Rating" showValue="0">
        <cfvo type="percent" val="0"/>
        <cfvo type="num" val="1" gte="0"/>
        <cfvo type="num" val="2" gte="0"/>
        <cfvo type="num" val="3" gte="0"/>
        <cfvo type="num" val="4" gte="0"/>
      </iconSet>
    </cfRule>
  </conditionalFormatting>
  <conditionalFormatting sqref="AU101:AU102">
    <cfRule type="iconSet" priority="2">
      <iconSet iconSet="5Rating" showValue="0">
        <cfvo type="percent" val="0"/>
        <cfvo type="num" val="1" gte="0"/>
        <cfvo type="num" val="2" gte="0"/>
        <cfvo type="num" val="3" gte="0"/>
        <cfvo type="num" val="4" gte="0"/>
      </iconSet>
    </cfRule>
  </conditionalFormatting>
  <conditionalFormatting sqref="AX29 X12 AF20 AF16 BB20 BB16 AJ46 CA29">
    <cfRule type="iconSet" priority="48">
      <iconSet iconSet="5Rating" showValue="0">
        <cfvo type="percent" val="0"/>
        <cfvo type="num" val="1" gte="0"/>
        <cfvo type="num" val="2" gte="0"/>
        <cfvo type="num" val="3" gte="0"/>
        <cfvo type="num" val="4" gte="0"/>
      </iconSet>
    </cfRule>
  </conditionalFormatting>
  <conditionalFormatting sqref="AX29 AS30:AT30">
    <cfRule type="iconSet" priority="23">
      <iconSet iconSet="5Rating" showValue="0">
        <cfvo type="percent" val="0"/>
        <cfvo type="num" val="1" gte="0"/>
        <cfvo type="num" val="2" gte="0"/>
        <cfvo type="num" val="3" gte="0"/>
        <cfvo type="num" val="4" gte="0"/>
      </iconSet>
    </cfRule>
  </conditionalFormatting>
  <conditionalFormatting sqref="AZ59 AT59 Z78 BD78 AT61 AT63 AT65 AT67 AT70 AZ61 AZ63 AZ65 AZ67 AZ70 Z56 CB74 CB76 CB78 CB80 CB85 CB88">
    <cfRule type="iconSet" priority="50">
      <iconSet iconSet="5Rating" showValue="0">
        <cfvo type="percent" val="0"/>
        <cfvo type="num" val="1" gte="0"/>
        <cfvo type="num" val="2" gte="0"/>
        <cfvo type="num" val="3" gte="0"/>
        <cfvo type="num" val="4" gte="0"/>
      </iconSet>
    </cfRule>
  </conditionalFormatting>
  <conditionalFormatting sqref="BK59 BM58:BM59 BP58:BP59">
    <cfRule type="iconSet" priority="4">
      <iconSet iconSet="5Rating" showValue="0">
        <cfvo type="percent" val="0"/>
        <cfvo type="num" val="1" gte="0"/>
        <cfvo type="num" val="2" gte="0"/>
        <cfvo type="num" val="3" gte="0"/>
        <cfvo type="num" val="4" gte="0"/>
      </iconSet>
    </cfRule>
  </conditionalFormatting>
  <conditionalFormatting sqref="BZ46">
    <cfRule type="iconSet" priority="7">
      <iconSet iconSet="5Rating" showValue="0">
        <cfvo type="percent" val="0"/>
        <cfvo type="num" val="1" gte="0"/>
        <cfvo type="num" val="2" gte="0"/>
        <cfvo type="num" val="3" gte="0"/>
        <cfvo type="num" val="4" gte="0"/>
      </iconSet>
    </cfRule>
    <cfRule type="iconSet" priority="8">
      <iconSet iconSet="5Rating" showValue="0">
        <cfvo type="percent" val="0"/>
        <cfvo type="num" val="1" gte="0"/>
        <cfvo type="num" val="2" gte="0"/>
        <cfvo type="num" val="3" gte="0"/>
        <cfvo type="num" val="4" gte="0"/>
      </iconSet>
    </cfRule>
  </conditionalFormatting>
  <conditionalFormatting sqref="BZ101:BZ102">
    <cfRule type="iconSet" priority="1">
      <iconSet iconSet="5Rating" showValue="0">
        <cfvo type="percent" val="0"/>
        <cfvo type="num" val="1" gte="0"/>
        <cfvo type="num" val="2" gte="0"/>
        <cfvo type="num" val="3" gte="0"/>
        <cfvo type="num" val="4" gte="0"/>
      </iconSet>
    </cfRule>
  </conditionalFormatting>
  <conditionalFormatting sqref="CB30 CA29">
    <cfRule type="iconSet" priority="22">
      <iconSet iconSet="5Rating" showValue="0">
        <cfvo type="percent" val="0"/>
        <cfvo type="num" val="1" gte="0"/>
        <cfvo type="num" val="2" gte="0"/>
        <cfvo type="num" val="3" gte="0"/>
        <cfvo type="num" val="4" gte="0"/>
      </iconSet>
    </cfRule>
  </conditionalFormatting>
  <conditionalFormatting sqref="CB74">
    <cfRule type="iconSet" priority="17">
      <iconSet iconSet="5Rating" showValue="0">
        <cfvo type="percent" val="0"/>
        <cfvo type="num" val="1" gte="0"/>
        <cfvo type="num" val="2" gte="0"/>
        <cfvo type="num" val="3" gte="0"/>
        <cfvo type="num" val="4" gte="0"/>
      </iconSet>
    </cfRule>
  </conditionalFormatting>
  <conditionalFormatting sqref="CB76">
    <cfRule type="iconSet" priority="16">
      <iconSet iconSet="5Rating" showValue="0">
        <cfvo type="percent" val="0"/>
        <cfvo type="num" val="1" gte="0"/>
        <cfvo type="num" val="2" gte="0"/>
        <cfvo type="num" val="3" gte="0"/>
        <cfvo type="num" val="4" gte="0"/>
      </iconSet>
    </cfRule>
  </conditionalFormatting>
  <conditionalFormatting sqref="CB78">
    <cfRule type="iconSet" priority="15">
      <iconSet iconSet="5Rating" showValue="0">
        <cfvo type="percent" val="0"/>
        <cfvo type="num" val="1" gte="0"/>
        <cfvo type="num" val="2" gte="0"/>
        <cfvo type="num" val="3" gte="0"/>
        <cfvo type="num" val="4" gte="0"/>
      </iconSet>
    </cfRule>
  </conditionalFormatting>
  <conditionalFormatting sqref="CB80">
    <cfRule type="iconSet" priority="14">
      <iconSet iconSet="5Rating" showValue="0">
        <cfvo type="percent" val="0"/>
        <cfvo type="num" val="1" gte="0"/>
        <cfvo type="num" val="2" gte="0"/>
        <cfvo type="num" val="3" gte="0"/>
        <cfvo type="num" val="4" gte="0"/>
      </iconSet>
    </cfRule>
  </conditionalFormatting>
  <conditionalFormatting sqref="CB85">
    <cfRule type="iconSet" priority="13">
      <iconSet iconSet="5Rating" showValue="0">
        <cfvo type="percent" val="0"/>
        <cfvo type="num" val="1" gte="0"/>
        <cfvo type="num" val="2" gte="0"/>
        <cfvo type="num" val="3" gte="0"/>
        <cfvo type="num" val="4" gte="0"/>
      </iconSet>
    </cfRule>
  </conditionalFormatting>
  <conditionalFormatting sqref="CB88">
    <cfRule type="iconSet" priority="12">
      <iconSet iconSet="5Rating" showValue="0">
        <cfvo type="percent" val="0"/>
        <cfvo type="num" val="1" gte="0"/>
        <cfvo type="num" val="2" gte="0"/>
        <cfvo type="num" val="3" gte="0"/>
        <cfvo type="num" val="4" gte="0"/>
      </iconSet>
    </cfRule>
  </conditionalFormatting>
  <conditionalFormatting sqref="CB97 AU97 U97">
    <cfRule type="iconSet" priority="51">
      <iconSet iconSet="5Rating" showValue="0">
        <cfvo type="percent" val="0"/>
        <cfvo type="num" val="2"/>
        <cfvo type="num" val="3"/>
        <cfvo type="num" val="4"/>
        <cfvo type="num" val="5"/>
      </iconSet>
    </cfRule>
  </conditionalFormatting>
  <pageMargins left="1.2204724409448819" right="1.3385826771653544" top="0.82677165354330717" bottom="0.35433070866141736" header="0.31496062992125984" footer="0.23622047244094491"/>
  <pageSetup paperSize="3" scale="49" fitToHeight="0" orientation="portrait" r:id="rId1"/>
  <headerFooter>
    <oddFooter xml:space="preserve">&amp;L&amp;10Version 1.0    © CERIU, 2023&amp;R&amp;10Onglet SOMMAIRE PGA Eau potable
Page &amp;P / &amp;N
</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61" id="{76CA669C-8B99-4056-BEFF-30A9B4181DDA}">
            <xm:f>'CALCULS Eau potable'!E$390&gt;4</xm:f>
            <x14:dxf>
              <fill>
                <patternFill>
                  <bgColor theme="9"/>
                </patternFill>
              </fill>
            </x14:dxf>
          </x14:cfRule>
          <xm:sqref>F118</xm:sqref>
        </x14:conditionalFormatting>
        <x14:conditionalFormatting xmlns:xm="http://schemas.microsoft.com/office/excel/2006/main">
          <x14:cfRule type="expression" priority="454" id="{47BCC4B5-844C-483F-B4CF-74DF14A1E562}">
            <xm:f>'CALCULS Eau potable'!E$390&gt;3</xm:f>
            <x14:dxf>
              <fill>
                <patternFill>
                  <bgColor theme="9"/>
                </patternFill>
              </fill>
            </x14:dxf>
          </x14:cfRule>
          <xm:sqref>F119</xm:sqref>
        </x14:conditionalFormatting>
        <x14:conditionalFormatting xmlns:xm="http://schemas.microsoft.com/office/excel/2006/main">
          <x14:cfRule type="expression" priority="447" id="{39BE701E-FB22-4446-B1BE-AC91BDFDE4EE}">
            <xm:f>'CALCULS Eau potable'!E$390&gt;2</xm:f>
            <x14:dxf>
              <fill>
                <patternFill>
                  <bgColor theme="9"/>
                </patternFill>
              </fill>
            </x14:dxf>
          </x14:cfRule>
          <xm:sqref>F120</xm:sqref>
        </x14:conditionalFormatting>
        <x14:conditionalFormatting xmlns:xm="http://schemas.microsoft.com/office/excel/2006/main">
          <x14:cfRule type="expression" priority="440" id="{5BD4BB52-6ECF-4929-B2C8-F7C4D765D525}">
            <xm:f>'CALCULS Eau potable'!E$390&gt;1</xm:f>
            <x14:dxf>
              <fill>
                <patternFill>
                  <bgColor theme="9"/>
                </patternFill>
              </fill>
            </x14:dxf>
          </x14:cfRule>
          <xm:sqref>F121</xm:sqref>
        </x14:conditionalFormatting>
        <x14:conditionalFormatting xmlns:xm="http://schemas.microsoft.com/office/excel/2006/main">
          <x14:cfRule type="expression" priority="433" id="{5D96AE78-F673-457D-9617-3A45501C2B6D}">
            <xm:f>'CALCULS Eau potable'!E$390&gt;0</xm:f>
            <x14:dxf>
              <fill>
                <patternFill>
                  <bgColor theme="9"/>
                </patternFill>
              </fill>
            </x14:dxf>
          </x14:cfRule>
          <xm:sqref>F122</xm:sqref>
        </x14:conditionalFormatting>
        <x14:conditionalFormatting xmlns:xm="http://schemas.microsoft.com/office/excel/2006/main">
          <x14:cfRule type="expression" priority="646" id="{76CA669C-8B99-4056-BEFF-30A9B4181DDA}">
            <xm:f>'CALCULS Eau potable'!F$390&gt;4</xm:f>
            <x14:dxf>
              <fill>
                <patternFill>
                  <bgColor theme="9"/>
                </patternFill>
              </fill>
            </x14:dxf>
          </x14:cfRule>
          <xm:sqref>H118</xm:sqref>
        </x14:conditionalFormatting>
        <x14:conditionalFormatting xmlns:xm="http://schemas.microsoft.com/office/excel/2006/main">
          <x14:cfRule type="expression" priority="639" id="{47BCC4B5-844C-483F-B4CF-74DF14A1E562}">
            <xm:f>'CALCULS Eau potable'!F$390&gt;3</xm:f>
            <x14:dxf>
              <fill>
                <patternFill>
                  <bgColor theme="9"/>
                </patternFill>
              </fill>
            </x14:dxf>
          </x14:cfRule>
          <xm:sqref>H119</xm:sqref>
        </x14:conditionalFormatting>
        <x14:conditionalFormatting xmlns:xm="http://schemas.microsoft.com/office/excel/2006/main">
          <x14:cfRule type="expression" priority="632" id="{39BE701E-FB22-4446-B1BE-AC91BDFDE4EE}">
            <xm:f>'CALCULS Eau potable'!F$390&gt;2</xm:f>
            <x14:dxf>
              <fill>
                <patternFill>
                  <bgColor theme="9"/>
                </patternFill>
              </fill>
            </x14:dxf>
          </x14:cfRule>
          <xm:sqref>H120</xm:sqref>
        </x14:conditionalFormatting>
        <x14:conditionalFormatting xmlns:xm="http://schemas.microsoft.com/office/excel/2006/main">
          <x14:cfRule type="expression" priority="625" id="{5BD4BB52-6ECF-4929-B2C8-F7C4D765D525}">
            <xm:f>'CALCULS Eau potable'!F$390&gt;1</xm:f>
            <x14:dxf>
              <fill>
                <patternFill>
                  <bgColor theme="9"/>
                </patternFill>
              </fill>
            </x14:dxf>
          </x14:cfRule>
          <xm:sqref>H121</xm:sqref>
        </x14:conditionalFormatting>
        <x14:conditionalFormatting xmlns:xm="http://schemas.microsoft.com/office/excel/2006/main">
          <x14:cfRule type="expression" priority="618" id="{5D96AE78-F673-457D-9617-3A45501C2B6D}">
            <xm:f>'CALCULS Eau potable'!F$390&gt;0</xm:f>
            <x14:dxf>
              <fill>
                <patternFill>
                  <bgColor theme="9"/>
                </patternFill>
              </fill>
            </x14:dxf>
          </x14:cfRule>
          <xm:sqref>H122</xm:sqref>
        </x14:conditionalFormatting>
        <x14:conditionalFormatting xmlns:xm="http://schemas.microsoft.com/office/excel/2006/main">
          <x14:cfRule type="expression" priority="818" id="{76CA669C-8B99-4056-BEFF-30A9B4181DDA}">
            <xm:f>'CALCULS Eau potable'!G$390&gt;4</xm:f>
            <x14:dxf>
              <fill>
                <patternFill>
                  <bgColor theme="9"/>
                </patternFill>
              </fill>
            </x14:dxf>
          </x14:cfRule>
          <xm:sqref>J118</xm:sqref>
        </x14:conditionalFormatting>
        <x14:conditionalFormatting xmlns:xm="http://schemas.microsoft.com/office/excel/2006/main">
          <x14:cfRule type="expression" priority="812" id="{47BCC4B5-844C-483F-B4CF-74DF14A1E562}">
            <xm:f>'CALCULS Eau potable'!G$390&gt;3</xm:f>
            <x14:dxf>
              <fill>
                <patternFill>
                  <bgColor theme="9"/>
                </patternFill>
              </fill>
            </x14:dxf>
          </x14:cfRule>
          <xm:sqref>J119</xm:sqref>
        </x14:conditionalFormatting>
        <x14:conditionalFormatting xmlns:xm="http://schemas.microsoft.com/office/excel/2006/main">
          <x14:cfRule type="expression" priority="806" id="{39BE701E-FB22-4446-B1BE-AC91BDFDE4EE}">
            <xm:f>'CALCULS Eau potable'!G$390&gt;2</xm:f>
            <x14:dxf>
              <fill>
                <patternFill>
                  <bgColor theme="9"/>
                </patternFill>
              </fill>
            </x14:dxf>
          </x14:cfRule>
          <xm:sqref>J120</xm:sqref>
        </x14:conditionalFormatting>
        <x14:conditionalFormatting xmlns:xm="http://schemas.microsoft.com/office/excel/2006/main">
          <x14:cfRule type="expression" priority="800" id="{5BD4BB52-6ECF-4929-B2C8-F7C4D765D525}">
            <xm:f>'CALCULS Eau potable'!G$390&gt;1</xm:f>
            <x14:dxf>
              <fill>
                <patternFill>
                  <bgColor theme="9"/>
                </patternFill>
              </fill>
            </x14:dxf>
          </x14:cfRule>
          <xm:sqref>J121</xm:sqref>
        </x14:conditionalFormatting>
        <x14:conditionalFormatting xmlns:xm="http://schemas.microsoft.com/office/excel/2006/main">
          <x14:cfRule type="expression" priority="794" id="{5D96AE78-F673-457D-9617-3A45501C2B6D}">
            <xm:f>'CALCULS Eau potable'!G$390&gt;0</xm:f>
            <x14:dxf>
              <fill>
                <patternFill>
                  <bgColor theme="9"/>
                </patternFill>
              </fill>
            </x14:dxf>
          </x14:cfRule>
          <xm:sqref>J122</xm:sqref>
        </x14:conditionalFormatting>
        <x14:conditionalFormatting xmlns:xm="http://schemas.microsoft.com/office/excel/2006/main">
          <x14:cfRule type="expression" priority="989" id="{76CA669C-8B99-4056-BEFF-30A9B4181DDA}">
            <xm:f>'CALCULS Eau potable'!H$390&gt;4</xm:f>
            <x14:dxf>
              <fill>
                <patternFill>
                  <bgColor theme="9"/>
                </patternFill>
              </fill>
            </x14:dxf>
          </x14:cfRule>
          <xm:sqref>L118</xm:sqref>
        </x14:conditionalFormatting>
        <x14:conditionalFormatting xmlns:xm="http://schemas.microsoft.com/office/excel/2006/main">
          <x14:cfRule type="expression" priority="984" id="{47BCC4B5-844C-483F-B4CF-74DF14A1E562}">
            <xm:f>'CALCULS Eau potable'!H$390&gt;3</xm:f>
            <x14:dxf>
              <fill>
                <patternFill>
                  <bgColor theme="9"/>
                </patternFill>
              </fill>
            </x14:dxf>
          </x14:cfRule>
          <xm:sqref>L119</xm:sqref>
        </x14:conditionalFormatting>
        <x14:conditionalFormatting xmlns:xm="http://schemas.microsoft.com/office/excel/2006/main">
          <x14:cfRule type="expression" priority="979" id="{39BE701E-FB22-4446-B1BE-AC91BDFDE4EE}">
            <xm:f>'CALCULS Eau potable'!H$390&gt;2</xm:f>
            <x14:dxf>
              <fill>
                <patternFill>
                  <bgColor theme="9"/>
                </patternFill>
              </fill>
            </x14:dxf>
          </x14:cfRule>
          <xm:sqref>L120</xm:sqref>
        </x14:conditionalFormatting>
        <x14:conditionalFormatting xmlns:xm="http://schemas.microsoft.com/office/excel/2006/main">
          <x14:cfRule type="expression" priority="974" id="{5BD4BB52-6ECF-4929-B2C8-F7C4D765D525}">
            <xm:f>'CALCULS Eau potable'!H$390&gt;1</xm:f>
            <x14:dxf>
              <fill>
                <patternFill>
                  <bgColor theme="9"/>
                </patternFill>
              </fill>
            </x14:dxf>
          </x14:cfRule>
          <xm:sqref>L121</xm:sqref>
        </x14:conditionalFormatting>
        <x14:conditionalFormatting xmlns:xm="http://schemas.microsoft.com/office/excel/2006/main">
          <x14:cfRule type="expression" priority="969" id="{5D96AE78-F673-457D-9617-3A45501C2B6D}">
            <xm:f>'CALCULS Eau potable'!H$390&gt;0</xm:f>
            <x14:dxf>
              <fill>
                <patternFill>
                  <bgColor theme="9"/>
                </patternFill>
              </fill>
            </x14:dxf>
          </x14:cfRule>
          <xm:sqref>L122</xm:sqref>
        </x14:conditionalFormatting>
        <x14:conditionalFormatting xmlns:xm="http://schemas.microsoft.com/office/excel/2006/main">
          <x14:cfRule type="expression" priority="1161" id="{76CA669C-8B99-4056-BEFF-30A9B4181DDA}">
            <xm:f>'CALCULS Eau potable'!I$390&gt;4</xm:f>
            <x14:dxf>
              <fill>
                <patternFill>
                  <bgColor theme="9"/>
                </patternFill>
              </fill>
            </x14:dxf>
          </x14:cfRule>
          <xm:sqref>N118</xm:sqref>
        </x14:conditionalFormatting>
        <x14:conditionalFormatting xmlns:xm="http://schemas.microsoft.com/office/excel/2006/main">
          <x14:cfRule type="expression" priority="1157" id="{47BCC4B5-844C-483F-B4CF-74DF14A1E562}">
            <xm:f>'CALCULS Eau potable'!I$390&gt;3</xm:f>
            <x14:dxf>
              <fill>
                <patternFill>
                  <bgColor theme="9"/>
                </patternFill>
              </fill>
            </x14:dxf>
          </x14:cfRule>
          <xm:sqref>N119</xm:sqref>
        </x14:conditionalFormatting>
        <x14:conditionalFormatting xmlns:xm="http://schemas.microsoft.com/office/excel/2006/main">
          <x14:cfRule type="expression" priority="1153" id="{39BE701E-FB22-4446-B1BE-AC91BDFDE4EE}">
            <xm:f>'CALCULS Eau potable'!I$390&gt;2</xm:f>
            <x14:dxf>
              <fill>
                <patternFill>
                  <bgColor theme="9"/>
                </patternFill>
              </fill>
            </x14:dxf>
          </x14:cfRule>
          <xm:sqref>N120</xm:sqref>
        </x14:conditionalFormatting>
        <x14:conditionalFormatting xmlns:xm="http://schemas.microsoft.com/office/excel/2006/main">
          <x14:cfRule type="expression" priority="1149" id="{5BD4BB52-6ECF-4929-B2C8-F7C4D765D525}">
            <xm:f>'CALCULS Eau potable'!I$390&gt;1</xm:f>
            <x14:dxf>
              <fill>
                <patternFill>
                  <bgColor theme="9"/>
                </patternFill>
              </fill>
            </x14:dxf>
          </x14:cfRule>
          <xm:sqref>N121</xm:sqref>
        </x14:conditionalFormatting>
        <x14:conditionalFormatting xmlns:xm="http://schemas.microsoft.com/office/excel/2006/main">
          <x14:cfRule type="expression" priority="1145" id="{5D96AE78-F673-457D-9617-3A45501C2B6D}">
            <xm:f>'CALCULS Eau potable'!I$390&gt;0</xm:f>
            <x14:dxf>
              <fill>
                <patternFill>
                  <bgColor theme="9"/>
                </patternFill>
              </fill>
            </x14:dxf>
          </x14:cfRule>
          <xm:sqref>N122</xm:sqref>
        </x14:conditionalFormatting>
        <x14:conditionalFormatting xmlns:xm="http://schemas.microsoft.com/office/excel/2006/main">
          <x14:cfRule type="expression" priority="1334" id="{76CA669C-8B99-4056-BEFF-30A9B4181DDA}">
            <xm:f>'CALCULS Eau potable'!J$390&gt;4</xm:f>
            <x14:dxf>
              <fill>
                <patternFill>
                  <bgColor theme="9"/>
                </patternFill>
              </fill>
            </x14:dxf>
          </x14:cfRule>
          <xm:sqref>P118</xm:sqref>
        </x14:conditionalFormatting>
        <x14:conditionalFormatting xmlns:xm="http://schemas.microsoft.com/office/excel/2006/main">
          <x14:cfRule type="expression" priority="1331" id="{47BCC4B5-844C-483F-B4CF-74DF14A1E562}">
            <xm:f>'CALCULS Eau potable'!J$390&gt;3</xm:f>
            <x14:dxf>
              <fill>
                <patternFill>
                  <bgColor theme="9"/>
                </patternFill>
              </fill>
            </x14:dxf>
          </x14:cfRule>
          <xm:sqref>P119</xm:sqref>
        </x14:conditionalFormatting>
        <x14:conditionalFormatting xmlns:xm="http://schemas.microsoft.com/office/excel/2006/main">
          <x14:cfRule type="expression" priority="1328" id="{39BE701E-FB22-4446-B1BE-AC91BDFDE4EE}">
            <xm:f>'CALCULS Eau potable'!J$390&gt;2</xm:f>
            <x14:dxf>
              <fill>
                <patternFill>
                  <bgColor theme="9"/>
                </patternFill>
              </fill>
            </x14:dxf>
          </x14:cfRule>
          <xm:sqref>P120</xm:sqref>
        </x14:conditionalFormatting>
        <x14:conditionalFormatting xmlns:xm="http://schemas.microsoft.com/office/excel/2006/main">
          <x14:cfRule type="expression" priority="1325" id="{5BD4BB52-6ECF-4929-B2C8-F7C4D765D525}">
            <xm:f>'CALCULS Eau potable'!J$390&gt;1</xm:f>
            <x14:dxf>
              <fill>
                <patternFill>
                  <bgColor theme="9"/>
                </patternFill>
              </fill>
            </x14:dxf>
          </x14:cfRule>
          <xm:sqref>P121</xm:sqref>
        </x14:conditionalFormatting>
        <x14:conditionalFormatting xmlns:xm="http://schemas.microsoft.com/office/excel/2006/main">
          <x14:cfRule type="expression" priority="1322" id="{5D96AE78-F673-457D-9617-3A45501C2B6D}">
            <xm:f>'CALCULS Eau potable'!J$390&gt;0</xm:f>
            <x14:dxf>
              <fill>
                <patternFill>
                  <bgColor theme="9"/>
                </patternFill>
              </fill>
            </x14:dxf>
          </x14:cfRule>
          <xm:sqref>P122</xm:sqref>
        </x14:conditionalFormatting>
        <x14:conditionalFormatting xmlns:xm="http://schemas.microsoft.com/office/excel/2006/main">
          <x14:cfRule type="expression" priority="1506" id="{76CA669C-8B99-4056-BEFF-30A9B4181DDA}">
            <xm:f>'CALCULS Eau potable'!K$390&gt;4</xm:f>
            <x14:dxf>
              <fill>
                <patternFill>
                  <bgColor theme="9"/>
                </patternFill>
              </fill>
            </x14:dxf>
          </x14:cfRule>
          <xm:sqref>R118</xm:sqref>
        </x14:conditionalFormatting>
        <x14:conditionalFormatting xmlns:xm="http://schemas.microsoft.com/office/excel/2006/main">
          <x14:cfRule type="expression" priority="1504" id="{47BCC4B5-844C-483F-B4CF-74DF14A1E562}">
            <xm:f>'CALCULS Eau potable'!K$390&gt;3</xm:f>
            <x14:dxf>
              <fill>
                <patternFill>
                  <bgColor theme="9"/>
                </patternFill>
              </fill>
            </x14:dxf>
          </x14:cfRule>
          <xm:sqref>R119</xm:sqref>
        </x14:conditionalFormatting>
        <x14:conditionalFormatting xmlns:xm="http://schemas.microsoft.com/office/excel/2006/main">
          <x14:cfRule type="expression" priority="1502" id="{39BE701E-FB22-4446-B1BE-AC91BDFDE4EE}">
            <xm:f>'CALCULS Eau potable'!K$390&gt;2</xm:f>
            <x14:dxf>
              <fill>
                <patternFill>
                  <bgColor theme="9"/>
                </patternFill>
              </fill>
            </x14:dxf>
          </x14:cfRule>
          <xm:sqref>R120</xm:sqref>
        </x14:conditionalFormatting>
        <x14:conditionalFormatting xmlns:xm="http://schemas.microsoft.com/office/excel/2006/main">
          <x14:cfRule type="expression" priority="1500" id="{5BD4BB52-6ECF-4929-B2C8-F7C4D765D525}">
            <xm:f>'CALCULS Eau potable'!K$390&gt;1</xm:f>
            <x14:dxf>
              <fill>
                <patternFill>
                  <bgColor theme="9"/>
                </patternFill>
              </fill>
            </x14:dxf>
          </x14:cfRule>
          <xm:sqref>R121</xm:sqref>
        </x14:conditionalFormatting>
        <x14:conditionalFormatting xmlns:xm="http://schemas.microsoft.com/office/excel/2006/main">
          <x14:cfRule type="expression" priority="1498" id="{5D96AE78-F673-457D-9617-3A45501C2B6D}">
            <xm:f>'CALCULS Eau potable'!K$390&gt;0</xm:f>
            <x14:dxf>
              <fill>
                <patternFill>
                  <bgColor theme="9"/>
                </patternFill>
              </fill>
            </x14:dxf>
          </x14:cfRule>
          <xm:sqref>R122</xm:sqref>
        </x14:conditionalFormatting>
        <x14:conditionalFormatting xmlns:xm="http://schemas.microsoft.com/office/excel/2006/main">
          <x14:cfRule type="expression" priority="1682" id="{BC0D5CB0-01C2-4858-9118-BF67ACA9B3A9}">
            <xm:f>'CALCULS Eau potable'!L$390&gt;4</xm:f>
            <x14:dxf>
              <fill>
                <patternFill>
                  <bgColor theme="9" tint="-0.499984740745262"/>
                </patternFill>
              </fill>
            </x14:dxf>
          </x14:cfRule>
          <xm:sqref>T118</xm:sqref>
        </x14:conditionalFormatting>
        <x14:conditionalFormatting xmlns:xm="http://schemas.microsoft.com/office/excel/2006/main">
          <x14:cfRule type="expression" priority="1681" id="{F27D8C98-EAA6-4B20-A64B-0121AD86F2FF}">
            <xm:f>'CALCULS Eau potable'!L$390&gt;3</xm:f>
            <x14:dxf>
              <fill>
                <patternFill>
                  <bgColor theme="9" tint="-0.499984740745262"/>
                </patternFill>
              </fill>
            </x14:dxf>
          </x14:cfRule>
          <xm:sqref>T119</xm:sqref>
        </x14:conditionalFormatting>
        <x14:conditionalFormatting xmlns:xm="http://schemas.microsoft.com/office/excel/2006/main">
          <x14:cfRule type="expression" priority="1680" id="{79474BCC-D24A-429B-A193-55601396D8C2}">
            <xm:f>'CALCULS Eau potable'!L$390&gt;2</xm:f>
            <x14:dxf>
              <fill>
                <patternFill>
                  <bgColor theme="9" tint="-0.499984740745262"/>
                </patternFill>
              </fill>
            </x14:dxf>
          </x14:cfRule>
          <xm:sqref>T120</xm:sqref>
        </x14:conditionalFormatting>
        <x14:conditionalFormatting xmlns:xm="http://schemas.microsoft.com/office/excel/2006/main">
          <x14:cfRule type="expression" priority="1679" id="{37E6C966-F737-4ABE-91D6-A705ABFB4B8B}">
            <xm:f>'CALCULS Eau potable'!L$390&gt;1</xm:f>
            <x14:dxf>
              <fill>
                <patternFill>
                  <bgColor theme="9" tint="-0.499984740745262"/>
                </patternFill>
              </fill>
            </x14:dxf>
          </x14:cfRule>
          <xm:sqref>T121</xm:sqref>
        </x14:conditionalFormatting>
        <x14:conditionalFormatting xmlns:xm="http://schemas.microsoft.com/office/excel/2006/main">
          <x14:cfRule type="expression" priority="1678" id="{67479158-DB14-4868-8F78-46EB64F79E84}">
            <xm:f>'CALCULS Eau potable'!L$390&gt;0</xm:f>
            <x14:dxf>
              <fill>
                <patternFill>
                  <bgColor theme="9" tint="-0.499984740745262"/>
                </patternFill>
              </fill>
            </x14:dxf>
          </x14:cfRule>
          <xm:sqref>T122</xm:sqref>
        </x14:conditionalFormatting>
        <x14:conditionalFormatting xmlns:xm="http://schemas.microsoft.com/office/excel/2006/main">
          <x14:cfRule type="expression" priority="507" id="{76CA669C-8B99-4056-BEFF-30A9B4181DDA}">
            <xm:f>'CALCULS Eau potable'!E$392&gt;4</xm:f>
            <x14:dxf>
              <fill>
                <patternFill>
                  <bgColor theme="9"/>
                </patternFill>
              </fill>
            </x14:dxf>
          </x14:cfRule>
          <xm:sqref>V118</xm:sqref>
        </x14:conditionalFormatting>
        <x14:conditionalFormatting xmlns:xm="http://schemas.microsoft.com/office/excel/2006/main">
          <x14:cfRule type="expression" priority="500" id="{47BCC4B5-844C-483F-B4CF-74DF14A1E562}">
            <xm:f>'CALCULS Eau potable'!E$392&gt;3</xm:f>
            <x14:dxf>
              <fill>
                <patternFill>
                  <bgColor theme="9"/>
                </patternFill>
              </fill>
            </x14:dxf>
          </x14:cfRule>
          <xm:sqref>V119</xm:sqref>
        </x14:conditionalFormatting>
        <x14:conditionalFormatting xmlns:xm="http://schemas.microsoft.com/office/excel/2006/main">
          <x14:cfRule type="expression" priority="493" id="{39BE701E-FB22-4446-B1BE-AC91BDFDE4EE}">
            <xm:f>'CALCULS Eau potable'!E$392&gt;2</xm:f>
            <x14:dxf>
              <fill>
                <patternFill>
                  <bgColor theme="9"/>
                </patternFill>
              </fill>
            </x14:dxf>
          </x14:cfRule>
          <xm:sqref>V120</xm:sqref>
        </x14:conditionalFormatting>
        <x14:conditionalFormatting xmlns:xm="http://schemas.microsoft.com/office/excel/2006/main">
          <x14:cfRule type="expression" priority="486" id="{5BD4BB52-6ECF-4929-B2C8-F7C4D765D525}">
            <xm:f>'CALCULS Eau potable'!E$392&gt;1</xm:f>
            <x14:dxf>
              <fill>
                <patternFill>
                  <bgColor theme="9"/>
                </patternFill>
              </fill>
            </x14:dxf>
          </x14:cfRule>
          <xm:sqref>V121</xm:sqref>
        </x14:conditionalFormatting>
        <x14:conditionalFormatting xmlns:xm="http://schemas.microsoft.com/office/excel/2006/main">
          <x14:cfRule type="expression" priority="479" id="{5D96AE78-F673-457D-9617-3A45501C2B6D}">
            <xm:f>'CALCULS Eau potable'!E$392&gt;0</xm:f>
            <x14:dxf>
              <fill>
                <patternFill>
                  <bgColor theme="9"/>
                </patternFill>
              </fill>
            </x14:dxf>
          </x14:cfRule>
          <xm:sqref>V122</xm:sqref>
        </x14:conditionalFormatting>
        <x14:conditionalFormatting xmlns:xm="http://schemas.microsoft.com/office/excel/2006/main">
          <x14:cfRule type="expression" priority="685" id="{76CA669C-8B99-4056-BEFF-30A9B4181DDA}">
            <xm:f>'CALCULS Eau potable'!F$392&gt;4</xm:f>
            <x14:dxf>
              <fill>
                <patternFill>
                  <bgColor theme="9"/>
                </patternFill>
              </fill>
            </x14:dxf>
          </x14:cfRule>
          <xm:sqref>X118</xm:sqref>
        </x14:conditionalFormatting>
        <x14:conditionalFormatting xmlns:xm="http://schemas.microsoft.com/office/excel/2006/main">
          <x14:cfRule type="expression" priority="678" id="{47BCC4B5-844C-483F-B4CF-74DF14A1E562}">
            <xm:f>'CALCULS Eau potable'!F$392&gt;3</xm:f>
            <x14:dxf>
              <fill>
                <patternFill>
                  <bgColor theme="9"/>
                </patternFill>
              </fill>
            </x14:dxf>
          </x14:cfRule>
          <xm:sqref>X119</xm:sqref>
        </x14:conditionalFormatting>
        <x14:conditionalFormatting xmlns:xm="http://schemas.microsoft.com/office/excel/2006/main">
          <x14:cfRule type="expression" priority="671" id="{39BE701E-FB22-4446-B1BE-AC91BDFDE4EE}">
            <xm:f>'CALCULS Eau potable'!F$392&gt;2</xm:f>
            <x14:dxf>
              <fill>
                <patternFill>
                  <bgColor theme="9"/>
                </patternFill>
              </fill>
            </x14:dxf>
          </x14:cfRule>
          <xm:sqref>X120</xm:sqref>
        </x14:conditionalFormatting>
        <x14:conditionalFormatting xmlns:xm="http://schemas.microsoft.com/office/excel/2006/main">
          <x14:cfRule type="expression" priority="664" id="{5BD4BB52-6ECF-4929-B2C8-F7C4D765D525}">
            <xm:f>'CALCULS Eau potable'!F$392&gt;1</xm:f>
            <x14:dxf>
              <fill>
                <patternFill>
                  <bgColor theme="9"/>
                </patternFill>
              </fill>
            </x14:dxf>
          </x14:cfRule>
          <xm:sqref>X121</xm:sqref>
        </x14:conditionalFormatting>
        <x14:conditionalFormatting xmlns:xm="http://schemas.microsoft.com/office/excel/2006/main">
          <x14:cfRule type="expression" priority="657" id="{5D96AE78-F673-457D-9617-3A45501C2B6D}">
            <xm:f>'CALCULS Eau potable'!F$392&gt;0</xm:f>
            <x14:dxf>
              <fill>
                <patternFill>
                  <bgColor theme="9"/>
                </patternFill>
              </fill>
            </x14:dxf>
          </x14:cfRule>
          <xm:sqref>X122</xm:sqref>
        </x14:conditionalFormatting>
        <x14:conditionalFormatting xmlns:xm="http://schemas.microsoft.com/office/excel/2006/main">
          <x14:cfRule type="expression" priority="853" id="{76CA669C-8B99-4056-BEFF-30A9B4181DDA}">
            <xm:f>'CALCULS Eau potable'!G$392&gt;4</xm:f>
            <x14:dxf>
              <fill>
                <patternFill>
                  <bgColor theme="9"/>
                </patternFill>
              </fill>
            </x14:dxf>
          </x14:cfRule>
          <xm:sqref>Z118</xm:sqref>
        </x14:conditionalFormatting>
        <x14:conditionalFormatting xmlns:xm="http://schemas.microsoft.com/office/excel/2006/main">
          <x14:cfRule type="expression" priority="847" id="{47BCC4B5-844C-483F-B4CF-74DF14A1E562}">
            <xm:f>'CALCULS Eau potable'!G$392&gt;3</xm:f>
            <x14:dxf>
              <fill>
                <patternFill>
                  <bgColor theme="9"/>
                </patternFill>
              </fill>
            </x14:dxf>
          </x14:cfRule>
          <xm:sqref>Z119</xm:sqref>
        </x14:conditionalFormatting>
        <x14:conditionalFormatting xmlns:xm="http://schemas.microsoft.com/office/excel/2006/main">
          <x14:cfRule type="expression" priority="841" id="{39BE701E-FB22-4446-B1BE-AC91BDFDE4EE}">
            <xm:f>'CALCULS Eau potable'!G$392&gt;2</xm:f>
            <x14:dxf>
              <fill>
                <patternFill>
                  <bgColor theme="9"/>
                </patternFill>
              </fill>
            </x14:dxf>
          </x14:cfRule>
          <xm:sqref>Z120</xm:sqref>
        </x14:conditionalFormatting>
        <x14:conditionalFormatting xmlns:xm="http://schemas.microsoft.com/office/excel/2006/main">
          <x14:cfRule type="expression" priority="835" id="{5BD4BB52-6ECF-4929-B2C8-F7C4D765D525}">
            <xm:f>'CALCULS Eau potable'!G$392&gt;1</xm:f>
            <x14:dxf>
              <fill>
                <patternFill>
                  <bgColor theme="9"/>
                </patternFill>
              </fill>
            </x14:dxf>
          </x14:cfRule>
          <xm:sqref>Z121</xm:sqref>
        </x14:conditionalFormatting>
        <x14:conditionalFormatting xmlns:xm="http://schemas.microsoft.com/office/excel/2006/main">
          <x14:cfRule type="expression" priority="829" id="{5D96AE78-F673-457D-9617-3A45501C2B6D}">
            <xm:f>'CALCULS Eau potable'!G$392&gt;0</xm:f>
            <x14:dxf>
              <fill>
                <patternFill>
                  <bgColor theme="9"/>
                </patternFill>
              </fill>
            </x14:dxf>
          </x14:cfRule>
          <xm:sqref>Z122</xm:sqref>
        </x14:conditionalFormatting>
        <x14:conditionalFormatting xmlns:xm="http://schemas.microsoft.com/office/excel/2006/main">
          <x14:cfRule type="expression" priority="1019" id="{76CA669C-8B99-4056-BEFF-30A9B4181DDA}">
            <xm:f>'CALCULS Eau potable'!H$392&gt;4</xm:f>
            <x14:dxf>
              <fill>
                <patternFill>
                  <bgColor theme="9"/>
                </patternFill>
              </fill>
            </x14:dxf>
          </x14:cfRule>
          <xm:sqref>AB118</xm:sqref>
        </x14:conditionalFormatting>
        <x14:conditionalFormatting xmlns:xm="http://schemas.microsoft.com/office/excel/2006/main">
          <x14:cfRule type="expression" priority="1014" id="{47BCC4B5-844C-483F-B4CF-74DF14A1E562}">
            <xm:f>'CALCULS Eau potable'!H$392&gt;3</xm:f>
            <x14:dxf>
              <fill>
                <patternFill>
                  <bgColor theme="9"/>
                </patternFill>
              </fill>
            </x14:dxf>
          </x14:cfRule>
          <xm:sqref>AB119</xm:sqref>
        </x14:conditionalFormatting>
        <x14:conditionalFormatting xmlns:xm="http://schemas.microsoft.com/office/excel/2006/main">
          <x14:cfRule type="expression" priority="1009" id="{39BE701E-FB22-4446-B1BE-AC91BDFDE4EE}">
            <xm:f>'CALCULS Eau potable'!H$392&gt;2</xm:f>
            <x14:dxf>
              <fill>
                <patternFill>
                  <bgColor theme="9"/>
                </patternFill>
              </fill>
            </x14:dxf>
          </x14:cfRule>
          <xm:sqref>AB120</xm:sqref>
        </x14:conditionalFormatting>
        <x14:conditionalFormatting xmlns:xm="http://schemas.microsoft.com/office/excel/2006/main">
          <x14:cfRule type="expression" priority="1004" id="{5BD4BB52-6ECF-4929-B2C8-F7C4D765D525}">
            <xm:f>'CALCULS Eau potable'!H$392&gt;1</xm:f>
            <x14:dxf>
              <fill>
                <patternFill>
                  <bgColor theme="9"/>
                </patternFill>
              </fill>
            </x14:dxf>
          </x14:cfRule>
          <xm:sqref>AB121</xm:sqref>
        </x14:conditionalFormatting>
        <x14:conditionalFormatting xmlns:xm="http://schemas.microsoft.com/office/excel/2006/main">
          <x14:cfRule type="expression" priority="999" id="{5D96AE78-F673-457D-9617-3A45501C2B6D}">
            <xm:f>'CALCULS Eau potable'!H$392&gt;0</xm:f>
            <x14:dxf>
              <fill>
                <patternFill>
                  <bgColor theme="9"/>
                </patternFill>
              </fill>
            </x14:dxf>
          </x14:cfRule>
          <xm:sqref>AB122</xm:sqref>
        </x14:conditionalFormatting>
        <x14:conditionalFormatting xmlns:xm="http://schemas.microsoft.com/office/excel/2006/main">
          <x14:cfRule type="expression" priority="1186" id="{76CA669C-8B99-4056-BEFF-30A9B4181DDA}">
            <xm:f>'CALCULS Eau potable'!I$392&gt;4</xm:f>
            <x14:dxf>
              <fill>
                <patternFill>
                  <bgColor theme="9"/>
                </patternFill>
              </fill>
            </x14:dxf>
          </x14:cfRule>
          <xm:sqref>AD118</xm:sqref>
        </x14:conditionalFormatting>
        <x14:conditionalFormatting xmlns:xm="http://schemas.microsoft.com/office/excel/2006/main">
          <x14:cfRule type="expression" priority="1182" id="{47BCC4B5-844C-483F-B4CF-74DF14A1E562}">
            <xm:f>'CALCULS Eau potable'!I$392&gt;3</xm:f>
            <x14:dxf>
              <fill>
                <patternFill>
                  <bgColor theme="9"/>
                </patternFill>
              </fill>
            </x14:dxf>
          </x14:cfRule>
          <xm:sqref>AD119</xm:sqref>
        </x14:conditionalFormatting>
        <x14:conditionalFormatting xmlns:xm="http://schemas.microsoft.com/office/excel/2006/main">
          <x14:cfRule type="expression" priority="1178" id="{39BE701E-FB22-4446-B1BE-AC91BDFDE4EE}">
            <xm:f>'CALCULS Eau potable'!I$392&gt;2</xm:f>
            <x14:dxf>
              <fill>
                <patternFill>
                  <bgColor theme="9"/>
                </patternFill>
              </fill>
            </x14:dxf>
          </x14:cfRule>
          <xm:sqref>AD120</xm:sqref>
        </x14:conditionalFormatting>
        <x14:conditionalFormatting xmlns:xm="http://schemas.microsoft.com/office/excel/2006/main">
          <x14:cfRule type="expression" priority="1174" id="{5BD4BB52-6ECF-4929-B2C8-F7C4D765D525}">
            <xm:f>'CALCULS Eau potable'!I$392&gt;1</xm:f>
            <x14:dxf>
              <fill>
                <patternFill>
                  <bgColor theme="9"/>
                </patternFill>
              </fill>
            </x14:dxf>
          </x14:cfRule>
          <xm:sqref>AD121</xm:sqref>
        </x14:conditionalFormatting>
        <x14:conditionalFormatting xmlns:xm="http://schemas.microsoft.com/office/excel/2006/main">
          <x14:cfRule type="expression" priority="1170" id="{5D96AE78-F673-457D-9617-3A45501C2B6D}">
            <xm:f>'CALCULS Eau potable'!I$392&gt;0</xm:f>
            <x14:dxf>
              <fill>
                <patternFill>
                  <bgColor theme="9"/>
                </patternFill>
              </fill>
            </x14:dxf>
          </x14:cfRule>
          <xm:sqref>AD122</xm:sqref>
        </x14:conditionalFormatting>
        <x14:conditionalFormatting xmlns:xm="http://schemas.microsoft.com/office/excel/2006/main">
          <x14:cfRule type="expression" priority="1354" id="{76CA669C-8B99-4056-BEFF-30A9B4181DDA}">
            <xm:f>'CALCULS Eau potable'!J$392&gt;4</xm:f>
            <x14:dxf>
              <fill>
                <patternFill>
                  <bgColor theme="9"/>
                </patternFill>
              </fill>
            </x14:dxf>
          </x14:cfRule>
          <xm:sqref>AF118</xm:sqref>
        </x14:conditionalFormatting>
        <x14:conditionalFormatting xmlns:xm="http://schemas.microsoft.com/office/excel/2006/main">
          <x14:cfRule type="expression" priority="1351" id="{47BCC4B5-844C-483F-B4CF-74DF14A1E562}">
            <xm:f>'CALCULS Eau potable'!J$392&gt;3</xm:f>
            <x14:dxf>
              <fill>
                <patternFill>
                  <bgColor theme="9"/>
                </patternFill>
              </fill>
            </x14:dxf>
          </x14:cfRule>
          <xm:sqref>AF119</xm:sqref>
        </x14:conditionalFormatting>
        <x14:conditionalFormatting xmlns:xm="http://schemas.microsoft.com/office/excel/2006/main">
          <x14:cfRule type="expression" priority="1348" id="{39BE701E-FB22-4446-B1BE-AC91BDFDE4EE}">
            <xm:f>'CALCULS Eau potable'!J$392&gt;2</xm:f>
            <x14:dxf>
              <fill>
                <patternFill>
                  <bgColor theme="9"/>
                </patternFill>
              </fill>
            </x14:dxf>
          </x14:cfRule>
          <xm:sqref>AF120</xm:sqref>
        </x14:conditionalFormatting>
        <x14:conditionalFormatting xmlns:xm="http://schemas.microsoft.com/office/excel/2006/main">
          <x14:cfRule type="expression" priority="1345" id="{5BD4BB52-6ECF-4929-B2C8-F7C4D765D525}">
            <xm:f>'CALCULS Eau potable'!J$392&gt;1</xm:f>
            <x14:dxf>
              <fill>
                <patternFill>
                  <bgColor theme="9"/>
                </patternFill>
              </fill>
            </x14:dxf>
          </x14:cfRule>
          <xm:sqref>AF121</xm:sqref>
        </x14:conditionalFormatting>
        <x14:conditionalFormatting xmlns:xm="http://schemas.microsoft.com/office/excel/2006/main">
          <x14:cfRule type="expression" priority="1342" id="{5D96AE78-F673-457D-9617-3A45501C2B6D}">
            <xm:f>'CALCULS Eau potable'!J$392&gt;0</xm:f>
            <x14:dxf>
              <fill>
                <patternFill>
                  <bgColor theme="9"/>
                </patternFill>
              </fill>
            </x14:dxf>
          </x14:cfRule>
          <xm:sqref>AF122</xm:sqref>
        </x14:conditionalFormatting>
        <x14:conditionalFormatting xmlns:xm="http://schemas.microsoft.com/office/excel/2006/main">
          <x14:cfRule type="expression" priority="1521" id="{76CA669C-8B99-4056-BEFF-30A9B4181DDA}">
            <xm:f>'CALCULS Eau potable'!K$392&gt;4</xm:f>
            <x14:dxf>
              <fill>
                <patternFill>
                  <bgColor theme="9"/>
                </patternFill>
              </fill>
            </x14:dxf>
          </x14:cfRule>
          <xm:sqref>AH118</xm:sqref>
        </x14:conditionalFormatting>
        <x14:conditionalFormatting xmlns:xm="http://schemas.microsoft.com/office/excel/2006/main">
          <x14:cfRule type="expression" priority="1519" id="{47BCC4B5-844C-483F-B4CF-74DF14A1E562}">
            <xm:f>'CALCULS Eau potable'!K$392&gt;3</xm:f>
            <x14:dxf>
              <fill>
                <patternFill>
                  <bgColor theme="9"/>
                </patternFill>
              </fill>
            </x14:dxf>
          </x14:cfRule>
          <xm:sqref>AH119</xm:sqref>
        </x14:conditionalFormatting>
        <x14:conditionalFormatting xmlns:xm="http://schemas.microsoft.com/office/excel/2006/main">
          <x14:cfRule type="expression" priority="1517" id="{39BE701E-FB22-4446-B1BE-AC91BDFDE4EE}">
            <xm:f>'CALCULS Eau potable'!K$392&gt;2</xm:f>
            <x14:dxf>
              <fill>
                <patternFill>
                  <bgColor theme="9"/>
                </patternFill>
              </fill>
            </x14:dxf>
          </x14:cfRule>
          <xm:sqref>AH120</xm:sqref>
        </x14:conditionalFormatting>
        <x14:conditionalFormatting xmlns:xm="http://schemas.microsoft.com/office/excel/2006/main">
          <x14:cfRule type="expression" priority="1515" id="{5BD4BB52-6ECF-4929-B2C8-F7C4D765D525}">
            <xm:f>'CALCULS Eau potable'!K$392&gt;1</xm:f>
            <x14:dxf>
              <fill>
                <patternFill>
                  <bgColor theme="9"/>
                </patternFill>
              </fill>
            </x14:dxf>
          </x14:cfRule>
          <xm:sqref>AH121</xm:sqref>
        </x14:conditionalFormatting>
        <x14:conditionalFormatting xmlns:xm="http://schemas.microsoft.com/office/excel/2006/main">
          <x14:cfRule type="expression" priority="1513" id="{5D96AE78-F673-457D-9617-3A45501C2B6D}">
            <xm:f>'CALCULS Eau potable'!K$392&gt;0</xm:f>
            <x14:dxf>
              <fill>
                <patternFill>
                  <bgColor theme="9"/>
                </patternFill>
              </fill>
            </x14:dxf>
          </x14:cfRule>
          <xm:sqref>AH122</xm:sqref>
        </x14:conditionalFormatting>
        <x14:conditionalFormatting xmlns:xm="http://schemas.microsoft.com/office/excel/2006/main">
          <x14:cfRule type="expression" priority="1692" id="{BC0D5CB0-01C2-4858-9118-BF67ACA9B3A9}">
            <xm:f>'CALCULS Eau potable'!L$392&gt;4</xm:f>
            <x14:dxf>
              <fill>
                <patternFill>
                  <bgColor theme="9" tint="-0.499984740745262"/>
                </patternFill>
              </fill>
            </x14:dxf>
          </x14:cfRule>
          <xm:sqref>AJ118</xm:sqref>
        </x14:conditionalFormatting>
        <x14:conditionalFormatting xmlns:xm="http://schemas.microsoft.com/office/excel/2006/main">
          <x14:cfRule type="expression" priority="1691" id="{F27D8C98-EAA6-4B20-A64B-0121AD86F2FF}">
            <xm:f>'CALCULS Eau potable'!L$392&gt;3</xm:f>
            <x14:dxf>
              <fill>
                <patternFill>
                  <bgColor theme="9" tint="-0.499984740745262"/>
                </patternFill>
              </fill>
            </x14:dxf>
          </x14:cfRule>
          <xm:sqref>AJ119</xm:sqref>
        </x14:conditionalFormatting>
        <x14:conditionalFormatting xmlns:xm="http://schemas.microsoft.com/office/excel/2006/main">
          <x14:cfRule type="expression" priority="1690" id="{79474BCC-D24A-429B-A193-55601396D8C2}">
            <xm:f>'CALCULS Eau potable'!L$392&gt;2</xm:f>
            <x14:dxf>
              <fill>
                <patternFill>
                  <bgColor theme="9" tint="-0.499984740745262"/>
                </patternFill>
              </fill>
            </x14:dxf>
          </x14:cfRule>
          <xm:sqref>AJ120</xm:sqref>
        </x14:conditionalFormatting>
        <x14:conditionalFormatting xmlns:xm="http://schemas.microsoft.com/office/excel/2006/main">
          <x14:cfRule type="expression" priority="1689" id="{37E6C966-F737-4ABE-91D6-A705ABFB4B8B}">
            <xm:f>'CALCULS Eau potable'!L$392&gt;1</xm:f>
            <x14:dxf>
              <fill>
                <patternFill>
                  <bgColor theme="9" tint="-0.499984740745262"/>
                </patternFill>
              </fill>
            </x14:dxf>
          </x14:cfRule>
          <xm:sqref>AJ121</xm:sqref>
        </x14:conditionalFormatting>
        <x14:conditionalFormatting xmlns:xm="http://schemas.microsoft.com/office/excel/2006/main">
          <x14:cfRule type="expression" priority="1688" id="{67479158-DB14-4868-8F78-46EB64F79E84}">
            <xm:f>'CALCULS Eau potable'!L$392&gt;0</xm:f>
            <x14:dxf>
              <fill>
                <patternFill>
                  <bgColor theme="9" tint="-0.499984740745262"/>
                </patternFill>
              </fill>
            </x14:dxf>
          </x14:cfRule>
          <xm:sqref>AJ122</xm:sqref>
        </x14:conditionalFormatting>
        <x14:conditionalFormatting xmlns:xm="http://schemas.microsoft.com/office/excel/2006/main">
          <x14:cfRule type="expression" priority="553" id="{A877C392-F297-45EB-9576-23F1D4F4CA61}">
            <xm:f>'CALCULS Eau potable'!E$402&gt;4</xm:f>
            <x14:dxf>
              <fill>
                <patternFill>
                  <bgColor rgb="FF428BCE"/>
                </patternFill>
              </fill>
            </x14:dxf>
          </x14:cfRule>
          <xm:sqref>AV118</xm:sqref>
        </x14:conditionalFormatting>
        <x14:conditionalFormatting xmlns:xm="http://schemas.microsoft.com/office/excel/2006/main">
          <x14:cfRule type="expression" priority="546" id="{A34428B6-97DE-4A55-8353-B28C68DB7DF9}">
            <xm:f>'CALCULS Eau potable'!E$402&gt;3</xm:f>
            <x14:dxf>
              <fill>
                <patternFill>
                  <bgColor rgb="FF428BCE"/>
                </patternFill>
              </fill>
            </x14:dxf>
          </x14:cfRule>
          <xm:sqref>AV119</xm:sqref>
        </x14:conditionalFormatting>
        <x14:conditionalFormatting xmlns:xm="http://schemas.microsoft.com/office/excel/2006/main">
          <x14:cfRule type="expression" priority="539" id="{11B01EA0-815E-4EA6-9F73-646C7AACA3BC}">
            <xm:f>'CALCULS Eau potable'!E$402&gt;2</xm:f>
            <x14:dxf>
              <fill>
                <patternFill>
                  <bgColor rgb="FF428BCE"/>
                </patternFill>
              </fill>
            </x14:dxf>
          </x14:cfRule>
          <xm:sqref>AV120</xm:sqref>
        </x14:conditionalFormatting>
        <x14:conditionalFormatting xmlns:xm="http://schemas.microsoft.com/office/excel/2006/main">
          <x14:cfRule type="expression" priority="532" id="{B742C8D1-3F05-4F6D-951B-D772A1FD16C3}">
            <xm:f>'CALCULS Eau potable'!E$402&gt;1</xm:f>
            <x14:dxf>
              <fill>
                <patternFill>
                  <bgColor rgb="FF428BCE"/>
                </patternFill>
              </fill>
            </x14:dxf>
          </x14:cfRule>
          <xm:sqref>AV121</xm:sqref>
        </x14:conditionalFormatting>
        <x14:conditionalFormatting xmlns:xm="http://schemas.microsoft.com/office/excel/2006/main">
          <x14:cfRule type="expression" priority="525" id="{742434F0-FE2D-4D06-8616-CA96BAE9DA1A}">
            <xm:f>'CALCULS Eau potable'!E$402&gt;0</xm:f>
            <x14:dxf>
              <fill>
                <patternFill>
                  <bgColor rgb="FF428BCE"/>
                </patternFill>
              </fill>
            </x14:dxf>
          </x14:cfRule>
          <xm:sqref>AV122</xm:sqref>
        </x14:conditionalFormatting>
        <x14:conditionalFormatting xmlns:xm="http://schemas.microsoft.com/office/excel/2006/main">
          <x14:cfRule type="expression" priority="1738" id="{A877C392-F297-45EB-9576-23F1D4F4CA61}">
            <xm:f>'CALCULS Eau potable'!F$402&gt;4</xm:f>
            <x14:dxf>
              <fill>
                <patternFill>
                  <bgColor rgb="FF428BCE"/>
                </patternFill>
              </fill>
            </x14:dxf>
          </x14:cfRule>
          <xm:sqref>AX118</xm:sqref>
        </x14:conditionalFormatting>
        <x14:conditionalFormatting xmlns:xm="http://schemas.microsoft.com/office/excel/2006/main">
          <x14:cfRule type="expression" priority="1731" id="{A34428B6-97DE-4A55-8353-B28C68DB7DF9}">
            <xm:f>'CALCULS Eau potable'!F$402&gt;3</xm:f>
            <x14:dxf>
              <fill>
                <patternFill>
                  <bgColor rgb="FF428BCE"/>
                </patternFill>
              </fill>
            </x14:dxf>
          </x14:cfRule>
          <xm:sqref>AX119</xm:sqref>
        </x14:conditionalFormatting>
        <x14:conditionalFormatting xmlns:xm="http://schemas.microsoft.com/office/excel/2006/main">
          <x14:cfRule type="expression" priority="1724" id="{11B01EA0-815E-4EA6-9F73-646C7AACA3BC}">
            <xm:f>'CALCULS Eau potable'!F$402&gt;2</xm:f>
            <x14:dxf>
              <fill>
                <patternFill>
                  <bgColor rgb="FF428BCE"/>
                </patternFill>
              </fill>
            </x14:dxf>
          </x14:cfRule>
          <xm:sqref>AX120</xm:sqref>
        </x14:conditionalFormatting>
        <x14:conditionalFormatting xmlns:xm="http://schemas.microsoft.com/office/excel/2006/main">
          <x14:cfRule type="expression" priority="1717" id="{B742C8D1-3F05-4F6D-951B-D772A1FD16C3}">
            <xm:f>'CALCULS Eau potable'!F$402&gt;1</xm:f>
            <x14:dxf>
              <fill>
                <patternFill>
                  <bgColor rgb="FF428BCE"/>
                </patternFill>
              </fill>
            </x14:dxf>
          </x14:cfRule>
          <xm:sqref>AX121</xm:sqref>
        </x14:conditionalFormatting>
        <x14:conditionalFormatting xmlns:xm="http://schemas.microsoft.com/office/excel/2006/main">
          <x14:cfRule type="expression" priority="1710" id="{742434F0-FE2D-4D06-8616-CA96BAE9DA1A}">
            <xm:f>'CALCULS Eau potable'!F$402&gt;0</xm:f>
            <x14:dxf>
              <fill>
                <patternFill>
                  <bgColor rgb="FF428BCE"/>
                </patternFill>
              </fill>
            </x14:dxf>
          </x14:cfRule>
          <xm:sqref>AX122</xm:sqref>
        </x14:conditionalFormatting>
        <x14:conditionalFormatting xmlns:xm="http://schemas.microsoft.com/office/excel/2006/main">
          <x14:cfRule type="expression" priority="1910" id="{A877C392-F297-45EB-9576-23F1D4F4CA61}">
            <xm:f>'CALCULS Eau potable'!G$402&gt;4</xm:f>
            <x14:dxf>
              <fill>
                <patternFill>
                  <bgColor rgb="FF428BCE"/>
                </patternFill>
              </fill>
            </x14:dxf>
          </x14:cfRule>
          <xm:sqref>AZ118</xm:sqref>
        </x14:conditionalFormatting>
        <x14:conditionalFormatting xmlns:xm="http://schemas.microsoft.com/office/excel/2006/main">
          <x14:cfRule type="expression" priority="1904" id="{A34428B6-97DE-4A55-8353-B28C68DB7DF9}">
            <xm:f>'CALCULS Eau potable'!G$402&gt;3</xm:f>
            <x14:dxf>
              <fill>
                <patternFill>
                  <bgColor rgb="FF428BCE"/>
                </patternFill>
              </fill>
            </x14:dxf>
          </x14:cfRule>
          <xm:sqref>AZ119</xm:sqref>
        </x14:conditionalFormatting>
        <x14:conditionalFormatting xmlns:xm="http://schemas.microsoft.com/office/excel/2006/main">
          <x14:cfRule type="expression" priority="1898" id="{11B01EA0-815E-4EA6-9F73-646C7AACA3BC}">
            <xm:f>'CALCULS Eau potable'!G$402&gt;2</xm:f>
            <x14:dxf>
              <fill>
                <patternFill>
                  <bgColor rgb="FF428BCE"/>
                </patternFill>
              </fill>
            </x14:dxf>
          </x14:cfRule>
          <xm:sqref>AZ120</xm:sqref>
        </x14:conditionalFormatting>
        <x14:conditionalFormatting xmlns:xm="http://schemas.microsoft.com/office/excel/2006/main">
          <x14:cfRule type="expression" priority="1892" id="{B742C8D1-3F05-4F6D-951B-D772A1FD16C3}">
            <xm:f>'CALCULS Eau potable'!G$402&gt;1</xm:f>
            <x14:dxf>
              <fill>
                <patternFill>
                  <bgColor rgb="FF428BCE"/>
                </patternFill>
              </fill>
            </x14:dxf>
          </x14:cfRule>
          <xm:sqref>AZ121</xm:sqref>
        </x14:conditionalFormatting>
        <x14:conditionalFormatting xmlns:xm="http://schemas.microsoft.com/office/excel/2006/main">
          <x14:cfRule type="expression" priority="1886" id="{742434F0-FE2D-4D06-8616-CA96BAE9DA1A}">
            <xm:f>'CALCULS Eau potable'!G$402&gt;0</xm:f>
            <x14:dxf>
              <fill>
                <patternFill>
                  <bgColor rgb="FF428BCE"/>
                </patternFill>
              </fill>
            </x14:dxf>
          </x14:cfRule>
          <xm:sqref>AZ122</xm:sqref>
        </x14:conditionalFormatting>
        <x14:conditionalFormatting xmlns:xm="http://schemas.microsoft.com/office/excel/2006/main">
          <x14:cfRule type="expression" priority="2081" id="{A877C392-F297-45EB-9576-23F1D4F4CA61}">
            <xm:f>'CALCULS Eau potable'!H$402&gt;4</xm:f>
            <x14:dxf>
              <fill>
                <patternFill>
                  <bgColor rgb="FF428BCE"/>
                </patternFill>
              </fill>
            </x14:dxf>
          </x14:cfRule>
          <xm:sqref>BB118</xm:sqref>
        </x14:conditionalFormatting>
        <x14:conditionalFormatting xmlns:xm="http://schemas.microsoft.com/office/excel/2006/main">
          <x14:cfRule type="expression" priority="2076" id="{A34428B6-97DE-4A55-8353-B28C68DB7DF9}">
            <xm:f>'CALCULS Eau potable'!H$402&gt;3</xm:f>
            <x14:dxf>
              <fill>
                <patternFill>
                  <bgColor rgb="FF428BCE"/>
                </patternFill>
              </fill>
            </x14:dxf>
          </x14:cfRule>
          <xm:sqref>BB119</xm:sqref>
        </x14:conditionalFormatting>
        <x14:conditionalFormatting xmlns:xm="http://schemas.microsoft.com/office/excel/2006/main">
          <x14:cfRule type="expression" priority="2071" id="{11B01EA0-815E-4EA6-9F73-646C7AACA3BC}">
            <xm:f>'CALCULS Eau potable'!H$402&gt;2</xm:f>
            <x14:dxf>
              <fill>
                <patternFill>
                  <bgColor rgb="FF428BCE"/>
                </patternFill>
              </fill>
            </x14:dxf>
          </x14:cfRule>
          <xm:sqref>BB120</xm:sqref>
        </x14:conditionalFormatting>
        <x14:conditionalFormatting xmlns:xm="http://schemas.microsoft.com/office/excel/2006/main">
          <x14:cfRule type="expression" priority="2066" id="{B742C8D1-3F05-4F6D-951B-D772A1FD16C3}">
            <xm:f>'CALCULS Eau potable'!H$402&gt;1</xm:f>
            <x14:dxf>
              <fill>
                <patternFill>
                  <bgColor rgb="FF428BCE"/>
                </patternFill>
              </fill>
            </x14:dxf>
          </x14:cfRule>
          <xm:sqref>BB121</xm:sqref>
        </x14:conditionalFormatting>
        <x14:conditionalFormatting xmlns:xm="http://schemas.microsoft.com/office/excel/2006/main">
          <x14:cfRule type="expression" priority="2061" id="{742434F0-FE2D-4D06-8616-CA96BAE9DA1A}">
            <xm:f>'CALCULS Eau potable'!H$402&gt;0</xm:f>
            <x14:dxf>
              <fill>
                <patternFill>
                  <bgColor rgb="FF428BCE"/>
                </patternFill>
              </fill>
            </x14:dxf>
          </x14:cfRule>
          <xm:sqref>BB122</xm:sqref>
        </x14:conditionalFormatting>
        <x14:conditionalFormatting xmlns:xm="http://schemas.microsoft.com/office/excel/2006/main">
          <x14:cfRule type="expression" priority="2253" id="{A877C392-F297-45EB-9576-23F1D4F4CA61}">
            <xm:f>'CALCULS Eau potable'!I$402&gt;4</xm:f>
            <x14:dxf>
              <fill>
                <patternFill>
                  <bgColor rgb="FF428BCE"/>
                </patternFill>
              </fill>
            </x14:dxf>
          </x14:cfRule>
          <xm:sqref>BD118</xm:sqref>
        </x14:conditionalFormatting>
        <x14:conditionalFormatting xmlns:xm="http://schemas.microsoft.com/office/excel/2006/main">
          <x14:cfRule type="expression" priority="2249" id="{A34428B6-97DE-4A55-8353-B28C68DB7DF9}">
            <xm:f>'CALCULS Eau potable'!I$402&gt;3</xm:f>
            <x14:dxf>
              <fill>
                <patternFill>
                  <bgColor rgb="FF428BCE"/>
                </patternFill>
              </fill>
            </x14:dxf>
          </x14:cfRule>
          <xm:sqref>BD119</xm:sqref>
        </x14:conditionalFormatting>
        <x14:conditionalFormatting xmlns:xm="http://schemas.microsoft.com/office/excel/2006/main">
          <x14:cfRule type="expression" priority="2245" id="{11B01EA0-815E-4EA6-9F73-646C7AACA3BC}">
            <xm:f>'CALCULS Eau potable'!I$402&gt;2</xm:f>
            <x14:dxf>
              <fill>
                <patternFill>
                  <bgColor rgb="FF428BCE"/>
                </patternFill>
              </fill>
            </x14:dxf>
          </x14:cfRule>
          <xm:sqref>BD120</xm:sqref>
        </x14:conditionalFormatting>
        <x14:conditionalFormatting xmlns:xm="http://schemas.microsoft.com/office/excel/2006/main">
          <x14:cfRule type="expression" priority="2241" id="{B742C8D1-3F05-4F6D-951B-D772A1FD16C3}">
            <xm:f>'CALCULS Eau potable'!I$402&gt;1</xm:f>
            <x14:dxf>
              <fill>
                <patternFill>
                  <bgColor rgb="FF428BCE"/>
                </patternFill>
              </fill>
            </x14:dxf>
          </x14:cfRule>
          <xm:sqref>BD121</xm:sqref>
        </x14:conditionalFormatting>
        <x14:conditionalFormatting xmlns:xm="http://schemas.microsoft.com/office/excel/2006/main">
          <x14:cfRule type="expression" priority="2237" id="{742434F0-FE2D-4D06-8616-CA96BAE9DA1A}">
            <xm:f>'CALCULS Eau potable'!I$402&gt;0</xm:f>
            <x14:dxf>
              <fill>
                <patternFill>
                  <bgColor rgb="FF428BCE"/>
                </patternFill>
              </fill>
            </x14:dxf>
          </x14:cfRule>
          <xm:sqref>BD122</xm:sqref>
        </x14:conditionalFormatting>
        <x14:conditionalFormatting xmlns:xm="http://schemas.microsoft.com/office/excel/2006/main">
          <x14:cfRule type="expression" priority="2426" id="{A877C392-F297-45EB-9576-23F1D4F4CA61}">
            <xm:f>'CALCULS Eau potable'!J$402&gt;4</xm:f>
            <x14:dxf>
              <fill>
                <patternFill>
                  <bgColor rgb="FF428BCE"/>
                </patternFill>
              </fill>
            </x14:dxf>
          </x14:cfRule>
          <xm:sqref>BF118</xm:sqref>
        </x14:conditionalFormatting>
        <x14:conditionalFormatting xmlns:xm="http://schemas.microsoft.com/office/excel/2006/main">
          <x14:cfRule type="expression" priority="2423" id="{A34428B6-97DE-4A55-8353-B28C68DB7DF9}">
            <xm:f>'CALCULS Eau potable'!J$402&gt;3</xm:f>
            <x14:dxf>
              <fill>
                <patternFill>
                  <bgColor rgb="FF428BCE"/>
                </patternFill>
              </fill>
            </x14:dxf>
          </x14:cfRule>
          <xm:sqref>BF119</xm:sqref>
        </x14:conditionalFormatting>
        <x14:conditionalFormatting xmlns:xm="http://schemas.microsoft.com/office/excel/2006/main">
          <x14:cfRule type="expression" priority="2420" id="{11B01EA0-815E-4EA6-9F73-646C7AACA3BC}">
            <xm:f>'CALCULS Eau potable'!J$402&gt;2</xm:f>
            <x14:dxf>
              <fill>
                <patternFill>
                  <bgColor rgb="FF428BCE"/>
                </patternFill>
              </fill>
            </x14:dxf>
          </x14:cfRule>
          <xm:sqref>BF120</xm:sqref>
        </x14:conditionalFormatting>
        <x14:conditionalFormatting xmlns:xm="http://schemas.microsoft.com/office/excel/2006/main">
          <x14:cfRule type="expression" priority="2417" id="{B742C8D1-3F05-4F6D-951B-D772A1FD16C3}">
            <xm:f>'CALCULS Eau potable'!J$402&gt;1</xm:f>
            <x14:dxf>
              <fill>
                <patternFill>
                  <bgColor rgb="FF428BCE"/>
                </patternFill>
              </fill>
            </x14:dxf>
          </x14:cfRule>
          <xm:sqref>BF121</xm:sqref>
        </x14:conditionalFormatting>
        <x14:conditionalFormatting xmlns:xm="http://schemas.microsoft.com/office/excel/2006/main">
          <x14:cfRule type="expression" priority="2414" id="{742434F0-FE2D-4D06-8616-CA96BAE9DA1A}">
            <xm:f>'CALCULS Eau potable'!J$402&gt;0</xm:f>
            <x14:dxf>
              <fill>
                <patternFill>
                  <bgColor rgb="FF428BCE"/>
                </patternFill>
              </fill>
            </x14:dxf>
          </x14:cfRule>
          <xm:sqref>BF122</xm:sqref>
        </x14:conditionalFormatting>
        <x14:conditionalFormatting xmlns:xm="http://schemas.microsoft.com/office/excel/2006/main">
          <x14:cfRule type="expression" priority="2598" id="{A877C392-F297-45EB-9576-23F1D4F4CA61}">
            <xm:f>'CALCULS Eau potable'!K$402&gt;4</xm:f>
            <x14:dxf>
              <fill>
                <patternFill>
                  <bgColor rgb="FF428BCE"/>
                </patternFill>
              </fill>
            </x14:dxf>
          </x14:cfRule>
          <xm:sqref>BH118</xm:sqref>
        </x14:conditionalFormatting>
        <x14:conditionalFormatting xmlns:xm="http://schemas.microsoft.com/office/excel/2006/main">
          <x14:cfRule type="expression" priority="2596" id="{A34428B6-97DE-4A55-8353-B28C68DB7DF9}">
            <xm:f>'CALCULS Eau potable'!K$402&gt;3</xm:f>
            <x14:dxf>
              <fill>
                <patternFill>
                  <bgColor rgb="FF428BCE"/>
                </patternFill>
              </fill>
            </x14:dxf>
          </x14:cfRule>
          <xm:sqref>BH119</xm:sqref>
        </x14:conditionalFormatting>
        <x14:conditionalFormatting xmlns:xm="http://schemas.microsoft.com/office/excel/2006/main">
          <x14:cfRule type="expression" priority="2594" id="{11B01EA0-815E-4EA6-9F73-646C7AACA3BC}">
            <xm:f>'CALCULS Eau potable'!K$402&gt;2</xm:f>
            <x14:dxf>
              <fill>
                <patternFill>
                  <bgColor rgb="FF428BCE"/>
                </patternFill>
              </fill>
            </x14:dxf>
          </x14:cfRule>
          <xm:sqref>BH120</xm:sqref>
        </x14:conditionalFormatting>
        <x14:conditionalFormatting xmlns:xm="http://schemas.microsoft.com/office/excel/2006/main">
          <x14:cfRule type="expression" priority="2592" id="{B742C8D1-3F05-4F6D-951B-D772A1FD16C3}">
            <xm:f>'CALCULS Eau potable'!K$402&gt;1</xm:f>
            <x14:dxf>
              <fill>
                <patternFill>
                  <bgColor rgb="FF428BCE"/>
                </patternFill>
              </fill>
            </x14:dxf>
          </x14:cfRule>
          <xm:sqref>BH121</xm:sqref>
        </x14:conditionalFormatting>
        <x14:conditionalFormatting xmlns:xm="http://schemas.microsoft.com/office/excel/2006/main">
          <x14:cfRule type="expression" priority="2590" id="{742434F0-FE2D-4D06-8616-CA96BAE9DA1A}">
            <xm:f>'CALCULS Eau potable'!K$402&gt;0</xm:f>
            <x14:dxf>
              <fill>
                <patternFill>
                  <bgColor rgb="FF428BCE"/>
                </patternFill>
              </fill>
            </x14:dxf>
          </x14:cfRule>
          <xm:sqref>BH122</xm:sqref>
        </x14:conditionalFormatting>
        <x14:conditionalFormatting xmlns:xm="http://schemas.microsoft.com/office/excel/2006/main">
          <x14:cfRule type="expression" priority="2774" id="{3FE5619C-9C49-4E6D-AD50-E1EBD560616A}">
            <xm:f>'CALCULS Eau potable'!L$402&gt;4</xm:f>
            <x14:dxf>
              <fill>
                <patternFill>
                  <bgColor theme="8" tint="-0.499984740745262"/>
                </patternFill>
              </fill>
            </x14:dxf>
          </x14:cfRule>
          <xm:sqref>BJ118</xm:sqref>
        </x14:conditionalFormatting>
        <x14:conditionalFormatting xmlns:xm="http://schemas.microsoft.com/office/excel/2006/main">
          <x14:cfRule type="expression" priority="2773" id="{1340C8A2-4EB6-4611-8333-2DC89D5ADD63}">
            <xm:f>'CALCULS Eau potable'!L$402&gt;3</xm:f>
            <x14:dxf>
              <fill>
                <patternFill>
                  <bgColor theme="8" tint="-0.499984740745262"/>
                </patternFill>
              </fill>
            </x14:dxf>
          </x14:cfRule>
          <xm:sqref>BJ119</xm:sqref>
        </x14:conditionalFormatting>
        <x14:conditionalFormatting xmlns:xm="http://schemas.microsoft.com/office/excel/2006/main">
          <x14:cfRule type="expression" priority="2772" id="{880AF1F0-D73B-428D-BF3C-BED46D247C5E}">
            <xm:f>'CALCULS Eau potable'!L$402&gt;2</xm:f>
            <x14:dxf>
              <fill>
                <patternFill>
                  <bgColor theme="8" tint="-0.499984740745262"/>
                </patternFill>
              </fill>
            </x14:dxf>
          </x14:cfRule>
          <xm:sqref>BJ120</xm:sqref>
        </x14:conditionalFormatting>
        <x14:conditionalFormatting xmlns:xm="http://schemas.microsoft.com/office/excel/2006/main">
          <x14:cfRule type="expression" priority="2771" id="{AE4092EB-4842-4FD7-BAAF-A884C5DDE0EE}">
            <xm:f>'CALCULS Eau potable'!L$402&gt;1</xm:f>
            <x14:dxf>
              <fill>
                <patternFill>
                  <bgColor theme="8" tint="-0.499984740745262"/>
                </patternFill>
              </fill>
            </x14:dxf>
          </x14:cfRule>
          <xm:sqref>BJ121</xm:sqref>
        </x14:conditionalFormatting>
        <x14:conditionalFormatting xmlns:xm="http://schemas.microsoft.com/office/excel/2006/main">
          <x14:cfRule type="expression" priority="2770" id="{068C352D-F7B9-4BD1-BDD6-0B778BB05657}">
            <xm:f>'CALCULS Eau potable'!L$402&gt;0</xm:f>
            <x14:dxf>
              <fill>
                <patternFill>
                  <bgColor theme="8" tint="-0.499984740745262"/>
                </patternFill>
              </fill>
            </x14:dxf>
          </x14:cfRule>
          <xm:sqref>BJ122</xm:sqref>
        </x14:conditionalFormatting>
        <x14:conditionalFormatting xmlns:xm="http://schemas.microsoft.com/office/excel/2006/main">
          <x14:cfRule type="expression" priority="599" id="{A877C392-F297-45EB-9576-23F1D4F4CA61}">
            <xm:f>'CALCULS Eau potable'!E$404&gt;4</xm:f>
            <x14:dxf>
              <fill>
                <patternFill>
                  <bgColor rgb="FF428BCE"/>
                </patternFill>
              </fill>
            </x14:dxf>
          </x14:cfRule>
          <xm:sqref>BL118</xm:sqref>
        </x14:conditionalFormatting>
        <x14:conditionalFormatting xmlns:xm="http://schemas.microsoft.com/office/excel/2006/main">
          <x14:cfRule type="expression" priority="592" id="{A34428B6-97DE-4A55-8353-B28C68DB7DF9}">
            <xm:f>'CALCULS Eau potable'!E$404&gt;3</xm:f>
            <x14:dxf>
              <fill>
                <patternFill>
                  <bgColor rgb="FF428BCE"/>
                </patternFill>
              </fill>
            </x14:dxf>
          </x14:cfRule>
          <xm:sqref>BL119</xm:sqref>
        </x14:conditionalFormatting>
        <x14:conditionalFormatting xmlns:xm="http://schemas.microsoft.com/office/excel/2006/main">
          <x14:cfRule type="expression" priority="585" id="{11B01EA0-815E-4EA6-9F73-646C7AACA3BC}">
            <xm:f>'CALCULS Eau potable'!E$404&gt;2</xm:f>
            <x14:dxf>
              <fill>
                <patternFill>
                  <bgColor rgb="FF428BCE"/>
                </patternFill>
              </fill>
            </x14:dxf>
          </x14:cfRule>
          <xm:sqref>BL120</xm:sqref>
        </x14:conditionalFormatting>
        <x14:conditionalFormatting xmlns:xm="http://schemas.microsoft.com/office/excel/2006/main">
          <x14:cfRule type="expression" priority="578" id="{B742C8D1-3F05-4F6D-951B-D772A1FD16C3}">
            <xm:f>'CALCULS Eau potable'!E$404&gt;1</xm:f>
            <x14:dxf>
              <fill>
                <patternFill>
                  <bgColor rgb="FF428BCE"/>
                </patternFill>
              </fill>
            </x14:dxf>
          </x14:cfRule>
          <xm:sqref>BL121</xm:sqref>
        </x14:conditionalFormatting>
        <x14:conditionalFormatting xmlns:xm="http://schemas.microsoft.com/office/excel/2006/main">
          <x14:cfRule type="expression" priority="571" id="{742434F0-FE2D-4D06-8616-CA96BAE9DA1A}">
            <xm:f>'CALCULS Eau potable'!E$404&gt;0</xm:f>
            <x14:dxf>
              <fill>
                <patternFill>
                  <bgColor rgb="FF428BCE"/>
                </patternFill>
              </fill>
            </x14:dxf>
          </x14:cfRule>
          <xm:sqref>BL122</xm:sqref>
        </x14:conditionalFormatting>
        <x14:conditionalFormatting xmlns:xm="http://schemas.microsoft.com/office/excel/2006/main">
          <x14:cfRule type="expression" priority="1777" id="{A877C392-F297-45EB-9576-23F1D4F4CA61}">
            <xm:f>'CALCULS Eau potable'!F$404&gt;4</xm:f>
            <x14:dxf>
              <fill>
                <patternFill>
                  <bgColor rgb="FF428BCE"/>
                </patternFill>
              </fill>
            </x14:dxf>
          </x14:cfRule>
          <xm:sqref>BN118</xm:sqref>
        </x14:conditionalFormatting>
        <x14:conditionalFormatting xmlns:xm="http://schemas.microsoft.com/office/excel/2006/main">
          <x14:cfRule type="expression" priority="1770" id="{A34428B6-97DE-4A55-8353-B28C68DB7DF9}">
            <xm:f>'CALCULS Eau potable'!F$404&gt;3</xm:f>
            <x14:dxf>
              <fill>
                <patternFill>
                  <bgColor rgb="FF428BCE"/>
                </patternFill>
              </fill>
            </x14:dxf>
          </x14:cfRule>
          <xm:sqref>BN119</xm:sqref>
        </x14:conditionalFormatting>
        <x14:conditionalFormatting xmlns:xm="http://schemas.microsoft.com/office/excel/2006/main">
          <x14:cfRule type="expression" priority="1763" id="{11B01EA0-815E-4EA6-9F73-646C7AACA3BC}">
            <xm:f>'CALCULS Eau potable'!F$404&gt;2</xm:f>
            <x14:dxf>
              <fill>
                <patternFill>
                  <bgColor rgb="FF428BCE"/>
                </patternFill>
              </fill>
            </x14:dxf>
          </x14:cfRule>
          <xm:sqref>BN120</xm:sqref>
        </x14:conditionalFormatting>
        <x14:conditionalFormatting xmlns:xm="http://schemas.microsoft.com/office/excel/2006/main">
          <x14:cfRule type="expression" priority="1756" id="{B742C8D1-3F05-4F6D-951B-D772A1FD16C3}">
            <xm:f>'CALCULS Eau potable'!F$404&gt;1</xm:f>
            <x14:dxf>
              <fill>
                <patternFill>
                  <bgColor rgb="FF428BCE"/>
                </patternFill>
              </fill>
            </x14:dxf>
          </x14:cfRule>
          <xm:sqref>BN121</xm:sqref>
        </x14:conditionalFormatting>
        <x14:conditionalFormatting xmlns:xm="http://schemas.microsoft.com/office/excel/2006/main">
          <x14:cfRule type="expression" priority="1749" id="{742434F0-FE2D-4D06-8616-CA96BAE9DA1A}">
            <xm:f>'CALCULS Eau potable'!F$404&gt;0</xm:f>
            <x14:dxf>
              <fill>
                <patternFill>
                  <bgColor rgb="FF428BCE"/>
                </patternFill>
              </fill>
            </x14:dxf>
          </x14:cfRule>
          <xm:sqref>BN122</xm:sqref>
        </x14:conditionalFormatting>
        <x14:conditionalFormatting xmlns:xm="http://schemas.microsoft.com/office/excel/2006/main">
          <x14:cfRule type="expression" priority="1945" id="{A877C392-F297-45EB-9576-23F1D4F4CA61}">
            <xm:f>'CALCULS Eau potable'!G$404&gt;4</xm:f>
            <x14:dxf>
              <fill>
                <patternFill>
                  <bgColor rgb="FF428BCE"/>
                </patternFill>
              </fill>
            </x14:dxf>
          </x14:cfRule>
          <xm:sqref>BP118</xm:sqref>
        </x14:conditionalFormatting>
        <x14:conditionalFormatting xmlns:xm="http://schemas.microsoft.com/office/excel/2006/main">
          <x14:cfRule type="expression" priority="1939" id="{A34428B6-97DE-4A55-8353-B28C68DB7DF9}">
            <xm:f>'CALCULS Eau potable'!G$404&gt;3</xm:f>
            <x14:dxf>
              <fill>
                <patternFill>
                  <bgColor rgb="FF428BCE"/>
                </patternFill>
              </fill>
            </x14:dxf>
          </x14:cfRule>
          <xm:sqref>BP119</xm:sqref>
        </x14:conditionalFormatting>
        <x14:conditionalFormatting xmlns:xm="http://schemas.microsoft.com/office/excel/2006/main">
          <x14:cfRule type="expression" priority="1933" id="{11B01EA0-815E-4EA6-9F73-646C7AACA3BC}">
            <xm:f>'CALCULS Eau potable'!G$404&gt;2</xm:f>
            <x14:dxf>
              <fill>
                <patternFill>
                  <bgColor rgb="FF428BCE"/>
                </patternFill>
              </fill>
            </x14:dxf>
          </x14:cfRule>
          <xm:sqref>BP120</xm:sqref>
        </x14:conditionalFormatting>
        <x14:conditionalFormatting xmlns:xm="http://schemas.microsoft.com/office/excel/2006/main">
          <x14:cfRule type="expression" priority="1927" id="{B742C8D1-3F05-4F6D-951B-D772A1FD16C3}">
            <xm:f>'CALCULS Eau potable'!G$404&gt;1</xm:f>
            <x14:dxf>
              <fill>
                <patternFill>
                  <bgColor rgb="FF428BCE"/>
                </patternFill>
              </fill>
            </x14:dxf>
          </x14:cfRule>
          <xm:sqref>BP121</xm:sqref>
        </x14:conditionalFormatting>
        <x14:conditionalFormatting xmlns:xm="http://schemas.microsoft.com/office/excel/2006/main">
          <x14:cfRule type="expression" priority="1921" id="{742434F0-FE2D-4D06-8616-CA96BAE9DA1A}">
            <xm:f>'CALCULS Eau potable'!G$404&gt;0</xm:f>
            <x14:dxf>
              <fill>
                <patternFill>
                  <bgColor rgb="FF428BCE"/>
                </patternFill>
              </fill>
            </x14:dxf>
          </x14:cfRule>
          <xm:sqref>BP122</xm:sqref>
        </x14:conditionalFormatting>
        <x14:conditionalFormatting xmlns:xm="http://schemas.microsoft.com/office/excel/2006/main">
          <x14:cfRule type="expression" priority="2111" id="{A877C392-F297-45EB-9576-23F1D4F4CA61}">
            <xm:f>'CALCULS Eau potable'!H$404&gt;4</xm:f>
            <x14:dxf>
              <fill>
                <patternFill>
                  <bgColor rgb="FF428BCE"/>
                </patternFill>
              </fill>
            </x14:dxf>
          </x14:cfRule>
          <xm:sqref>BR118</xm:sqref>
        </x14:conditionalFormatting>
        <x14:conditionalFormatting xmlns:xm="http://schemas.microsoft.com/office/excel/2006/main">
          <x14:cfRule type="expression" priority="2106" id="{A34428B6-97DE-4A55-8353-B28C68DB7DF9}">
            <xm:f>'CALCULS Eau potable'!H$404&gt;3</xm:f>
            <x14:dxf>
              <fill>
                <patternFill>
                  <bgColor rgb="FF428BCE"/>
                </patternFill>
              </fill>
            </x14:dxf>
          </x14:cfRule>
          <xm:sqref>BR119</xm:sqref>
        </x14:conditionalFormatting>
        <x14:conditionalFormatting xmlns:xm="http://schemas.microsoft.com/office/excel/2006/main">
          <x14:cfRule type="expression" priority="2101" id="{11B01EA0-815E-4EA6-9F73-646C7AACA3BC}">
            <xm:f>'CALCULS Eau potable'!H$404&gt;2</xm:f>
            <x14:dxf>
              <fill>
                <patternFill>
                  <bgColor rgb="FF428BCE"/>
                </patternFill>
              </fill>
            </x14:dxf>
          </x14:cfRule>
          <xm:sqref>BR120</xm:sqref>
        </x14:conditionalFormatting>
        <x14:conditionalFormatting xmlns:xm="http://schemas.microsoft.com/office/excel/2006/main">
          <x14:cfRule type="expression" priority="2096" id="{B742C8D1-3F05-4F6D-951B-D772A1FD16C3}">
            <xm:f>'CALCULS Eau potable'!H$404&gt;1</xm:f>
            <x14:dxf>
              <fill>
                <patternFill>
                  <bgColor rgb="FF428BCE"/>
                </patternFill>
              </fill>
            </x14:dxf>
          </x14:cfRule>
          <xm:sqref>BR121</xm:sqref>
        </x14:conditionalFormatting>
        <x14:conditionalFormatting xmlns:xm="http://schemas.microsoft.com/office/excel/2006/main">
          <x14:cfRule type="expression" priority="2091" id="{742434F0-FE2D-4D06-8616-CA96BAE9DA1A}">
            <xm:f>'CALCULS Eau potable'!H$404&gt;0</xm:f>
            <x14:dxf>
              <fill>
                <patternFill>
                  <bgColor rgb="FF428BCE"/>
                </patternFill>
              </fill>
            </x14:dxf>
          </x14:cfRule>
          <xm:sqref>BR122</xm:sqref>
        </x14:conditionalFormatting>
        <x14:conditionalFormatting xmlns:xm="http://schemas.microsoft.com/office/excel/2006/main">
          <x14:cfRule type="expression" priority="2278" id="{A877C392-F297-45EB-9576-23F1D4F4CA61}">
            <xm:f>'CALCULS Eau potable'!I$404&gt;4</xm:f>
            <x14:dxf>
              <fill>
                <patternFill>
                  <bgColor rgb="FF428BCE"/>
                </patternFill>
              </fill>
            </x14:dxf>
          </x14:cfRule>
          <xm:sqref>BT118</xm:sqref>
        </x14:conditionalFormatting>
        <x14:conditionalFormatting xmlns:xm="http://schemas.microsoft.com/office/excel/2006/main">
          <x14:cfRule type="expression" priority="2274" id="{A34428B6-97DE-4A55-8353-B28C68DB7DF9}">
            <xm:f>'CALCULS Eau potable'!I$404&gt;3</xm:f>
            <x14:dxf>
              <fill>
                <patternFill>
                  <bgColor rgb="FF428BCE"/>
                </patternFill>
              </fill>
            </x14:dxf>
          </x14:cfRule>
          <xm:sqref>BT119</xm:sqref>
        </x14:conditionalFormatting>
        <x14:conditionalFormatting xmlns:xm="http://schemas.microsoft.com/office/excel/2006/main">
          <x14:cfRule type="expression" priority="2270" id="{11B01EA0-815E-4EA6-9F73-646C7AACA3BC}">
            <xm:f>'CALCULS Eau potable'!I$404&gt;2</xm:f>
            <x14:dxf>
              <fill>
                <patternFill>
                  <bgColor rgb="FF428BCE"/>
                </patternFill>
              </fill>
            </x14:dxf>
          </x14:cfRule>
          <xm:sqref>BT120</xm:sqref>
        </x14:conditionalFormatting>
        <x14:conditionalFormatting xmlns:xm="http://schemas.microsoft.com/office/excel/2006/main">
          <x14:cfRule type="expression" priority="2266" id="{B742C8D1-3F05-4F6D-951B-D772A1FD16C3}">
            <xm:f>'CALCULS Eau potable'!I$404&gt;1</xm:f>
            <x14:dxf>
              <fill>
                <patternFill>
                  <bgColor rgb="FF428BCE"/>
                </patternFill>
              </fill>
            </x14:dxf>
          </x14:cfRule>
          <xm:sqref>BT121</xm:sqref>
        </x14:conditionalFormatting>
        <x14:conditionalFormatting xmlns:xm="http://schemas.microsoft.com/office/excel/2006/main">
          <x14:cfRule type="expression" priority="2262" id="{742434F0-FE2D-4D06-8616-CA96BAE9DA1A}">
            <xm:f>'CALCULS Eau potable'!I$404&gt;0</xm:f>
            <x14:dxf>
              <fill>
                <patternFill>
                  <bgColor rgb="FF428BCE"/>
                </patternFill>
              </fill>
            </x14:dxf>
          </x14:cfRule>
          <xm:sqref>BT122</xm:sqref>
        </x14:conditionalFormatting>
        <x14:conditionalFormatting xmlns:xm="http://schemas.microsoft.com/office/excel/2006/main">
          <x14:cfRule type="expression" priority="2446" id="{A877C392-F297-45EB-9576-23F1D4F4CA61}">
            <xm:f>'CALCULS Eau potable'!J$404&gt;4</xm:f>
            <x14:dxf>
              <fill>
                <patternFill>
                  <bgColor rgb="FF428BCE"/>
                </patternFill>
              </fill>
            </x14:dxf>
          </x14:cfRule>
          <xm:sqref>BV118</xm:sqref>
        </x14:conditionalFormatting>
        <x14:conditionalFormatting xmlns:xm="http://schemas.microsoft.com/office/excel/2006/main">
          <x14:cfRule type="expression" priority="2443" id="{A34428B6-97DE-4A55-8353-B28C68DB7DF9}">
            <xm:f>'CALCULS Eau potable'!J$404&gt;3</xm:f>
            <x14:dxf>
              <fill>
                <patternFill>
                  <bgColor rgb="FF428BCE"/>
                </patternFill>
              </fill>
            </x14:dxf>
          </x14:cfRule>
          <xm:sqref>BV119</xm:sqref>
        </x14:conditionalFormatting>
        <x14:conditionalFormatting xmlns:xm="http://schemas.microsoft.com/office/excel/2006/main">
          <x14:cfRule type="expression" priority="2440" id="{11B01EA0-815E-4EA6-9F73-646C7AACA3BC}">
            <xm:f>'CALCULS Eau potable'!J$404&gt;2</xm:f>
            <x14:dxf>
              <fill>
                <patternFill>
                  <bgColor rgb="FF428BCE"/>
                </patternFill>
              </fill>
            </x14:dxf>
          </x14:cfRule>
          <xm:sqref>BV120</xm:sqref>
        </x14:conditionalFormatting>
        <x14:conditionalFormatting xmlns:xm="http://schemas.microsoft.com/office/excel/2006/main">
          <x14:cfRule type="expression" priority="2437" id="{B742C8D1-3F05-4F6D-951B-D772A1FD16C3}">
            <xm:f>'CALCULS Eau potable'!J$404&gt;1</xm:f>
            <x14:dxf>
              <fill>
                <patternFill>
                  <bgColor rgb="FF428BCE"/>
                </patternFill>
              </fill>
            </x14:dxf>
          </x14:cfRule>
          <xm:sqref>BV121</xm:sqref>
        </x14:conditionalFormatting>
        <x14:conditionalFormatting xmlns:xm="http://schemas.microsoft.com/office/excel/2006/main">
          <x14:cfRule type="expression" priority="2434" id="{742434F0-FE2D-4D06-8616-CA96BAE9DA1A}">
            <xm:f>'CALCULS Eau potable'!J$404&gt;0</xm:f>
            <x14:dxf>
              <fill>
                <patternFill>
                  <bgColor rgb="FF428BCE"/>
                </patternFill>
              </fill>
            </x14:dxf>
          </x14:cfRule>
          <xm:sqref>BV122</xm:sqref>
        </x14:conditionalFormatting>
        <x14:conditionalFormatting xmlns:xm="http://schemas.microsoft.com/office/excel/2006/main">
          <x14:cfRule type="expression" priority="2613" id="{A877C392-F297-45EB-9576-23F1D4F4CA61}">
            <xm:f>'CALCULS Eau potable'!K$404&gt;4</xm:f>
            <x14:dxf>
              <fill>
                <patternFill>
                  <bgColor rgb="FF428BCE"/>
                </patternFill>
              </fill>
            </x14:dxf>
          </x14:cfRule>
          <xm:sqref>BX118</xm:sqref>
        </x14:conditionalFormatting>
        <x14:conditionalFormatting xmlns:xm="http://schemas.microsoft.com/office/excel/2006/main">
          <x14:cfRule type="expression" priority="2611" id="{A34428B6-97DE-4A55-8353-B28C68DB7DF9}">
            <xm:f>'CALCULS Eau potable'!K$404&gt;3</xm:f>
            <x14:dxf>
              <fill>
                <patternFill>
                  <bgColor rgb="FF428BCE"/>
                </patternFill>
              </fill>
            </x14:dxf>
          </x14:cfRule>
          <xm:sqref>BX119</xm:sqref>
        </x14:conditionalFormatting>
        <x14:conditionalFormatting xmlns:xm="http://schemas.microsoft.com/office/excel/2006/main">
          <x14:cfRule type="expression" priority="2609" id="{11B01EA0-815E-4EA6-9F73-646C7AACA3BC}">
            <xm:f>'CALCULS Eau potable'!K$404&gt;2</xm:f>
            <x14:dxf>
              <fill>
                <patternFill>
                  <bgColor rgb="FF428BCE"/>
                </patternFill>
              </fill>
            </x14:dxf>
          </x14:cfRule>
          <xm:sqref>BX120</xm:sqref>
        </x14:conditionalFormatting>
        <x14:conditionalFormatting xmlns:xm="http://schemas.microsoft.com/office/excel/2006/main">
          <x14:cfRule type="expression" priority="2607" id="{B742C8D1-3F05-4F6D-951B-D772A1FD16C3}">
            <xm:f>'CALCULS Eau potable'!K$404&gt;1</xm:f>
            <x14:dxf>
              <fill>
                <patternFill>
                  <bgColor rgb="FF428BCE"/>
                </patternFill>
              </fill>
            </x14:dxf>
          </x14:cfRule>
          <xm:sqref>BX121</xm:sqref>
        </x14:conditionalFormatting>
        <x14:conditionalFormatting xmlns:xm="http://schemas.microsoft.com/office/excel/2006/main">
          <x14:cfRule type="expression" priority="2605" id="{742434F0-FE2D-4D06-8616-CA96BAE9DA1A}">
            <xm:f>'CALCULS Eau potable'!K$404&gt;0</xm:f>
            <x14:dxf>
              <fill>
                <patternFill>
                  <bgColor rgb="FF428BCE"/>
                </patternFill>
              </fill>
            </x14:dxf>
          </x14:cfRule>
          <xm:sqref>BX122</xm:sqref>
        </x14:conditionalFormatting>
        <x14:conditionalFormatting xmlns:xm="http://schemas.microsoft.com/office/excel/2006/main">
          <x14:cfRule type="expression" priority="2784" id="{3FE5619C-9C49-4E6D-AD50-E1EBD560616A}">
            <xm:f>'CALCULS Eau potable'!L$404&gt;4</xm:f>
            <x14:dxf>
              <fill>
                <patternFill>
                  <bgColor theme="8" tint="-0.499984740745262"/>
                </patternFill>
              </fill>
            </x14:dxf>
          </x14:cfRule>
          <xm:sqref>BZ118</xm:sqref>
        </x14:conditionalFormatting>
        <x14:conditionalFormatting xmlns:xm="http://schemas.microsoft.com/office/excel/2006/main">
          <x14:cfRule type="expression" priority="2783" id="{1340C8A2-4EB6-4611-8333-2DC89D5ADD63}">
            <xm:f>'CALCULS Eau potable'!L$404&gt;3</xm:f>
            <x14:dxf>
              <fill>
                <patternFill>
                  <bgColor theme="8" tint="-0.499984740745262"/>
                </patternFill>
              </fill>
            </x14:dxf>
          </x14:cfRule>
          <xm:sqref>BZ119</xm:sqref>
        </x14:conditionalFormatting>
        <x14:conditionalFormatting xmlns:xm="http://schemas.microsoft.com/office/excel/2006/main">
          <x14:cfRule type="expression" priority="2782" id="{880AF1F0-D73B-428D-BF3C-BED46D247C5E}">
            <xm:f>'CALCULS Eau potable'!L$404&gt;2</xm:f>
            <x14:dxf>
              <fill>
                <patternFill>
                  <bgColor theme="8" tint="-0.499984740745262"/>
                </patternFill>
              </fill>
            </x14:dxf>
          </x14:cfRule>
          <xm:sqref>BZ120</xm:sqref>
        </x14:conditionalFormatting>
        <x14:conditionalFormatting xmlns:xm="http://schemas.microsoft.com/office/excel/2006/main">
          <x14:cfRule type="expression" priority="2781" id="{AE4092EB-4842-4FD7-BAAF-A884C5DDE0EE}">
            <xm:f>'CALCULS Eau potable'!L$404&gt;1</xm:f>
            <x14:dxf>
              <fill>
                <patternFill>
                  <bgColor theme="8" tint="-0.499984740745262"/>
                </patternFill>
              </fill>
            </x14:dxf>
          </x14:cfRule>
          <xm:sqref>BZ121</xm:sqref>
        </x14:conditionalFormatting>
        <x14:conditionalFormatting xmlns:xm="http://schemas.microsoft.com/office/excel/2006/main">
          <x14:cfRule type="expression" priority="2780" id="{068C352D-F7B9-4BD1-BDD6-0B778BB05657}">
            <xm:f>'CALCULS Eau potable'!L$404&gt;0</xm:f>
            <x14:dxf>
              <fill>
                <patternFill>
                  <bgColor theme="8" tint="-0.499984740745262"/>
                </patternFill>
              </fill>
            </x14:dxf>
          </x14:cfRule>
          <xm:sqref>BZ122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499984740745262"/>
    <pageSetUpPr fitToPage="1"/>
  </sheetPr>
  <dimension ref="A1:AJ729"/>
  <sheetViews>
    <sheetView showGridLines="0" zoomScaleNormal="100" workbookViewId="0"/>
  </sheetViews>
  <sheetFormatPr baseColWidth="10" defaultRowHeight="15" x14ac:dyDescent="0.25"/>
  <cols>
    <col min="1" max="1" width="2" style="28" customWidth="1"/>
    <col min="2" max="2" width="3.42578125" style="28" customWidth="1"/>
    <col min="3" max="3" width="23.5703125" style="28" customWidth="1"/>
    <col min="4" max="4" width="15.42578125" style="28" customWidth="1"/>
    <col min="5" max="15" width="15" style="28" customWidth="1"/>
    <col min="16" max="16" width="2.85546875" style="28" customWidth="1"/>
    <col min="17" max="17" width="3" style="28" customWidth="1"/>
    <col min="18" max="18" width="9.140625" style="28" customWidth="1"/>
    <col min="19" max="19" width="45.28515625" style="28" customWidth="1"/>
    <col min="20" max="20" width="26.42578125" style="28" customWidth="1"/>
    <col min="21" max="21" width="17.140625" style="28" customWidth="1"/>
    <col min="22" max="30" width="11.42578125" style="28"/>
    <col min="31" max="31" width="15.42578125" style="28" customWidth="1"/>
    <col min="32" max="33" width="16.85546875" style="28" customWidth="1"/>
    <col min="34" max="34" width="16.42578125" style="28" customWidth="1"/>
    <col min="35" max="16384" width="11.42578125" style="28"/>
  </cols>
  <sheetData>
    <row r="1" spans="2:19" ht="9" customHeight="1" thickBot="1" x14ac:dyDescent="0.3">
      <c r="S1" s="627"/>
    </row>
    <row r="2" spans="2:19" ht="31.5" customHeight="1" x14ac:dyDescent="0.3">
      <c r="B2" s="1910" t="s">
        <v>1684</v>
      </c>
      <c r="C2" s="1911"/>
      <c r="D2" s="1911"/>
      <c r="E2" s="1911"/>
      <c r="F2" s="1911"/>
      <c r="G2" s="1911"/>
      <c r="H2" s="2722"/>
      <c r="I2" s="1911"/>
      <c r="J2" s="1911"/>
      <c r="K2" s="1911"/>
      <c r="L2" s="1903"/>
      <c r="M2" s="1903"/>
      <c r="N2" s="1903"/>
      <c r="O2" s="1912"/>
      <c r="P2" s="1912"/>
      <c r="Q2" s="1912"/>
      <c r="S2" s="2994" t="s">
        <v>1552</v>
      </c>
    </row>
    <row r="3" spans="2:19" ht="29.25" customHeight="1" thickBot="1" x14ac:dyDescent="0.3">
      <c r="B3" s="2533" t="str">
        <f>IF((IDENTIFICATION!G93='MENU DÉROULANT'!C10),"Note: La municipalité a fait le choix d'intégrer sa gestion des infrastructures d'eaux pluviales avec celles des eaux usées. Le présent formulaire doit donc inclure aussi les eaux pluviales.","")</f>
        <v/>
      </c>
      <c r="C3" s="599"/>
      <c r="N3" s="2814" t="s">
        <v>2149</v>
      </c>
      <c r="O3" s="2814"/>
      <c r="P3" s="2814"/>
      <c r="Q3" s="2814"/>
      <c r="S3" s="2995"/>
    </row>
    <row r="4" spans="2:19" ht="9.75" customHeight="1" thickBot="1" x14ac:dyDescent="0.35">
      <c r="B4" s="483"/>
      <c r="C4" s="484"/>
      <c r="D4" s="484"/>
      <c r="E4" s="484"/>
      <c r="F4" s="484"/>
      <c r="G4" s="484"/>
      <c r="H4" s="484"/>
      <c r="I4" s="484"/>
      <c r="J4" s="484"/>
      <c r="K4" s="484"/>
      <c r="L4" s="35"/>
      <c r="M4" s="35"/>
      <c r="N4" s="35"/>
      <c r="O4" s="58"/>
      <c r="P4" s="58"/>
      <c r="Q4" s="58"/>
      <c r="S4" s="627"/>
    </row>
    <row r="5" spans="2:19" ht="9" customHeight="1" x14ac:dyDescent="0.25">
      <c r="B5" s="1944"/>
      <c r="C5" s="1945"/>
      <c r="D5" s="1945"/>
      <c r="E5" s="1945"/>
      <c r="F5" s="1945"/>
      <c r="G5" s="1945"/>
      <c r="H5" s="1945"/>
      <c r="I5" s="1945"/>
      <c r="J5" s="1945"/>
      <c r="K5" s="1945"/>
      <c r="L5" s="1945"/>
      <c r="M5" s="1945"/>
      <c r="N5" s="1945"/>
      <c r="O5" s="1945"/>
      <c r="P5" s="1946"/>
      <c r="Q5" s="1947"/>
      <c r="S5" s="2900"/>
    </row>
    <row r="6" spans="2:19" ht="18.75" customHeight="1" x14ac:dyDescent="0.25">
      <c r="B6" s="1948" t="s">
        <v>1654</v>
      </c>
      <c r="C6" s="1949"/>
      <c r="D6" s="1950"/>
      <c r="E6" s="1950"/>
      <c r="F6" s="1950"/>
      <c r="G6" s="1949"/>
      <c r="H6" s="3402"/>
      <c r="I6" s="3402"/>
      <c r="J6" s="3402"/>
      <c r="K6" s="3402"/>
      <c r="L6" s="3402"/>
      <c r="M6" s="3402"/>
      <c r="N6" s="3402"/>
      <c r="O6" s="3402"/>
      <c r="P6" s="1951"/>
      <c r="Q6" s="1952"/>
      <c r="S6" s="2899"/>
    </row>
    <row r="7" spans="2:19" ht="18" customHeight="1" x14ac:dyDescent="0.25">
      <c r="B7" s="1953"/>
      <c r="C7" s="1954"/>
      <c r="D7" s="1950"/>
      <c r="E7" s="1950"/>
      <c r="F7" s="1950"/>
      <c r="G7" s="1949"/>
      <c r="H7" s="1955"/>
      <c r="I7" s="1956" t="s">
        <v>1650</v>
      </c>
      <c r="J7" s="1949"/>
      <c r="K7" s="1957" t="s">
        <v>1483</v>
      </c>
      <c r="L7" s="1949"/>
      <c r="M7" s="1958"/>
      <c r="N7" s="1957" t="s">
        <v>1505</v>
      </c>
      <c r="O7" s="1959"/>
      <c r="P7" s="1951"/>
      <c r="Q7" s="1952"/>
      <c r="S7" s="2899"/>
    </row>
    <row r="8" spans="2:19" s="72" customFormat="1" ht="18" customHeight="1" x14ac:dyDescent="0.25">
      <c r="B8" s="1960"/>
      <c r="C8" s="1961" t="s">
        <v>1484</v>
      </c>
      <c r="D8" s="1962" t="s">
        <v>1482</v>
      </c>
      <c r="E8" s="1963"/>
      <c r="F8" s="1963"/>
      <c r="G8" s="1963"/>
      <c r="H8" s="1964"/>
      <c r="I8" s="1965" t="str">
        <f>IF(OR(O24="À compléter",O45="À compléter"),"À compléter","Complété")</f>
        <v>À compléter</v>
      </c>
      <c r="J8" s="1965"/>
      <c r="K8" s="1965" t="str">
        <f>"----"</f>
        <v>----</v>
      </c>
      <c r="L8" s="1965"/>
      <c r="M8" s="1965"/>
      <c r="N8" s="1965" t="str">
        <f>"----"</f>
        <v>----</v>
      </c>
      <c r="O8" s="1966"/>
      <c r="P8" s="1951"/>
      <c r="Q8" s="1952"/>
      <c r="S8" s="2899"/>
    </row>
    <row r="9" spans="2:19" s="72" customFormat="1" ht="18" customHeight="1" x14ac:dyDescent="0.25">
      <c r="B9" s="1960"/>
      <c r="C9" s="1967" t="s">
        <v>1479</v>
      </c>
      <c r="D9" s="1968" t="s">
        <v>24</v>
      </c>
      <c r="E9" s="1969"/>
      <c r="F9" s="1969"/>
      <c r="G9" s="1970"/>
      <c r="H9" s="1971"/>
      <c r="I9" s="1972" t="str">
        <f>O67</f>
        <v>À compléter</v>
      </c>
      <c r="J9" s="1973"/>
      <c r="K9" s="1973" t="str">
        <f>I169</f>
        <v>À compléter</v>
      </c>
      <c r="L9" s="1973"/>
      <c r="M9" s="1973"/>
      <c r="N9" s="1973" t="str">
        <f>I171</f>
        <v>À compléter</v>
      </c>
      <c r="O9" s="1970"/>
      <c r="P9" s="1951"/>
      <c r="Q9" s="1952"/>
      <c r="S9" s="2899"/>
    </row>
    <row r="10" spans="2:19" s="72" customFormat="1" ht="18" customHeight="1" x14ac:dyDescent="0.25">
      <c r="B10" s="1960"/>
      <c r="C10" s="1967" t="s">
        <v>1480</v>
      </c>
      <c r="D10" s="1968" t="s">
        <v>165</v>
      </c>
      <c r="E10" s="1969"/>
      <c r="F10" s="1969"/>
      <c r="G10" s="1974"/>
      <c r="H10" s="1971"/>
      <c r="I10" s="1972" t="str">
        <f>O179</f>
        <v>À compléter</v>
      </c>
      <c r="J10" s="1973"/>
      <c r="K10" s="1973" t="str">
        <f>I241</f>
        <v>À compléter</v>
      </c>
      <c r="L10" s="1973"/>
      <c r="M10" s="1973"/>
      <c r="N10" s="1973" t="str">
        <f>I243</f>
        <v>À compléter</v>
      </c>
      <c r="O10" s="1970"/>
      <c r="P10" s="1951"/>
      <c r="Q10" s="1952"/>
      <c r="S10" s="2899"/>
    </row>
    <row r="11" spans="2:19" s="72" customFormat="1" ht="18" customHeight="1" x14ac:dyDescent="0.25">
      <c r="B11" s="1960"/>
      <c r="C11" s="1967" t="s">
        <v>1488</v>
      </c>
      <c r="D11" s="1968" t="s">
        <v>28</v>
      </c>
      <c r="E11" s="1969"/>
      <c r="F11" s="1969"/>
      <c r="G11" s="1974"/>
      <c r="H11" s="1971"/>
      <c r="I11" s="1972" t="str">
        <f>O251</f>
        <v>À compléter</v>
      </c>
      <c r="J11" s="1973"/>
      <c r="K11" s="1973" t="str">
        <f>I285</f>
        <v>À compléter</v>
      </c>
      <c r="L11" s="1973"/>
      <c r="M11" s="1973"/>
      <c r="N11" s="1973" t="str">
        <f>I287</f>
        <v>À compléter</v>
      </c>
      <c r="O11" s="1970"/>
      <c r="P11" s="1951"/>
      <c r="Q11" s="1952"/>
      <c r="S11" s="2899"/>
    </row>
    <row r="12" spans="2:19" s="72" customFormat="1" ht="18" customHeight="1" x14ac:dyDescent="0.25">
      <c r="B12" s="1960"/>
      <c r="C12" s="1967" t="s">
        <v>1489</v>
      </c>
      <c r="D12" s="1968" t="s">
        <v>52</v>
      </c>
      <c r="E12" s="1969"/>
      <c r="F12" s="1969"/>
      <c r="G12" s="1974"/>
      <c r="H12" s="1975"/>
      <c r="I12" s="1972" t="str">
        <f>O295</f>
        <v>À compléter</v>
      </c>
      <c r="J12" s="1973"/>
      <c r="K12" s="1973" t="str">
        <f>I328</f>
        <v>À compléter</v>
      </c>
      <c r="L12" s="1973"/>
      <c r="M12" s="1973"/>
      <c r="N12" s="1973" t="str">
        <f>I330</f>
        <v>À compléter</v>
      </c>
      <c r="O12" s="1970"/>
      <c r="P12" s="1951"/>
      <c r="Q12" s="1952"/>
      <c r="S12" s="2899"/>
    </row>
    <row r="13" spans="2:19" s="72" customFormat="1" ht="18" customHeight="1" x14ac:dyDescent="0.25">
      <c r="B13" s="1960"/>
      <c r="C13" s="1967" t="s">
        <v>1490</v>
      </c>
      <c r="D13" s="1968" t="s">
        <v>1491</v>
      </c>
      <c r="E13" s="1969"/>
      <c r="F13" s="1969"/>
      <c r="G13" s="1969"/>
      <c r="H13" s="1970"/>
      <c r="I13" s="1976" t="str">
        <f>O338</f>
        <v>À compléter</v>
      </c>
      <c r="J13" s="1973"/>
      <c r="K13" s="1973" t="str">
        <f>I369</f>
        <v>À compléter</v>
      </c>
      <c r="L13" s="1973"/>
      <c r="M13" s="1973"/>
      <c r="N13" s="1973" t="str">
        <f>I371</f>
        <v>À compléter</v>
      </c>
      <c r="O13" s="1970"/>
      <c r="P13" s="1951"/>
      <c r="Q13" s="1952"/>
      <c r="S13" s="2899"/>
    </row>
    <row r="14" spans="2:19" s="72" customFormat="1" ht="18" customHeight="1" x14ac:dyDescent="0.25">
      <c r="B14" s="1960"/>
      <c r="C14" s="1967" t="s">
        <v>1584</v>
      </c>
      <c r="D14" s="1968" t="s">
        <v>1492</v>
      </c>
      <c r="E14" s="1969"/>
      <c r="F14" s="1969"/>
      <c r="G14" s="1969"/>
      <c r="H14" s="1970"/>
      <c r="I14" s="1976" t="str">
        <f>O375</f>
        <v>À compléter</v>
      </c>
      <c r="J14" s="1973"/>
      <c r="K14" s="1973" t="str">
        <f>I497</f>
        <v>À compléter</v>
      </c>
      <c r="L14" s="1973"/>
      <c r="M14" s="1973"/>
      <c r="N14" s="1973" t="str">
        <f>I499</f>
        <v>À compléter</v>
      </c>
      <c r="O14" s="1970"/>
      <c r="P14" s="1951"/>
      <c r="Q14" s="1952"/>
      <c r="S14" s="2899"/>
    </row>
    <row r="15" spans="2:19" s="72" customFormat="1" ht="18" customHeight="1" x14ac:dyDescent="0.25">
      <c r="B15" s="1960"/>
      <c r="C15" s="1967" t="s">
        <v>1481</v>
      </c>
      <c r="D15" s="1968" t="s">
        <v>1840</v>
      </c>
      <c r="E15" s="1969"/>
      <c r="F15" s="1969"/>
      <c r="G15" s="1969"/>
      <c r="H15" s="1970"/>
      <c r="I15" s="1976" t="str">
        <f>O507</f>
        <v>À compléter</v>
      </c>
      <c r="J15" s="1973"/>
      <c r="K15" s="1973" t="str">
        <f>I570</f>
        <v>À compléter</v>
      </c>
      <c r="L15" s="1973"/>
      <c r="M15" s="1973"/>
      <c r="N15" s="1973" t="str">
        <f>I572</f>
        <v>À compléter</v>
      </c>
      <c r="O15" s="1970"/>
      <c r="P15" s="1951"/>
      <c r="Q15" s="1952"/>
      <c r="S15" s="2899"/>
    </row>
    <row r="16" spans="2:19" s="72" customFormat="1" ht="18" customHeight="1" x14ac:dyDescent="0.25">
      <c r="B16" s="1960"/>
      <c r="C16" s="1967" t="s">
        <v>1496</v>
      </c>
      <c r="D16" s="1968" t="s">
        <v>1493</v>
      </c>
      <c r="E16" s="1969"/>
      <c r="F16" s="1969"/>
      <c r="G16" s="1969"/>
      <c r="H16" s="1970"/>
      <c r="I16" s="1976" t="str">
        <f>O580</f>
        <v>À compléter</v>
      </c>
      <c r="J16" s="1973"/>
      <c r="K16" s="1973" t="str">
        <f>"----"</f>
        <v>----</v>
      </c>
      <c r="L16" s="1973"/>
      <c r="M16" s="1973"/>
      <c r="N16" s="1973" t="str">
        <f>"----"</f>
        <v>----</v>
      </c>
      <c r="O16" s="1970"/>
      <c r="P16" s="1951"/>
      <c r="Q16" s="1952"/>
      <c r="S16" s="2899"/>
    </row>
    <row r="17" spans="1:36" s="72" customFormat="1" ht="18" customHeight="1" x14ac:dyDescent="0.25">
      <c r="B17" s="1960"/>
      <c r="C17" s="1967" t="s">
        <v>1585</v>
      </c>
      <c r="D17" s="1968" t="s">
        <v>1495</v>
      </c>
      <c r="E17" s="1969"/>
      <c r="F17" s="1969"/>
      <c r="G17" s="1969"/>
      <c r="H17" s="1970"/>
      <c r="I17" s="1976" t="str">
        <f>O646</f>
        <v>À compléter</v>
      </c>
      <c r="J17" s="1973"/>
      <c r="K17" s="1973" t="str">
        <f>"----"</f>
        <v>----</v>
      </c>
      <c r="L17" s="1973"/>
      <c r="M17" s="1973"/>
      <c r="N17" s="1973" t="str">
        <f>"----"</f>
        <v>----</v>
      </c>
      <c r="O17" s="1970"/>
      <c r="P17" s="1951"/>
      <c r="Q17" s="1952"/>
      <c r="S17" s="2899"/>
    </row>
    <row r="18" spans="1:36" s="72" customFormat="1" ht="18" customHeight="1" x14ac:dyDescent="0.25">
      <c r="B18" s="1960"/>
      <c r="C18" s="1977" t="s">
        <v>1485</v>
      </c>
      <c r="D18" s="1978" t="s">
        <v>1494</v>
      </c>
      <c r="E18" s="1979"/>
      <c r="F18" s="1979"/>
      <c r="G18" s="1979"/>
      <c r="H18" s="1980"/>
      <c r="I18" s="1981" t="str">
        <f>"----"</f>
        <v>----</v>
      </c>
      <c r="J18" s="1981"/>
      <c r="K18" s="1981" t="str">
        <f>"----"</f>
        <v>----</v>
      </c>
      <c r="L18" s="1981"/>
      <c r="M18" s="1981"/>
      <c r="N18" s="1981" t="str">
        <f>"----"</f>
        <v>----</v>
      </c>
      <c r="O18" s="1981"/>
      <c r="P18" s="1951"/>
      <c r="Q18" s="1952"/>
      <c r="S18" s="2899"/>
    </row>
    <row r="19" spans="1:36" ht="14.25" customHeight="1" thickBot="1" x14ac:dyDescent="0.3">
      <c r="B19" s="1982"/>
      <c r="C19" s="1983"/>
      <c r="D19" s="1983"/>
      <c r="E19" s="1983"/>
      <c r="F19" s="1984"/>
      <c r="G19" s="1984"/>
      <c r="H19" s="1984"/>
      <c r="I19" s="1984"/>
      <c r="J19" s="1985"/>
      <c r="K19" s="1985"/>
      <c r="L19" s="1985"/>
      <c r="M19" s="1986"/>
      <c r="N19" s="1986"/>
      <c r="O19" s="1986"/>
      <c r="P19" s="1987"/>
      <c r="Q19" s="1988"/>
      <c r="S19" s="2904"/>
    </row>
    <row r="20" spans="1:36" ht="14.25" customHeight="1" thickBot="1" x14ac:dyDescent="0.35">
      <c r="B20" s="483"/>
      <c r="C20" s="484"/>
      <c r="D20" s="484"/>
      <c r="E20" s="484"/>
      <c r="F20" s="484"/>
      <c r="G20" s="484"/>
      <c r="H20" s="484"/>
      <c r="I20" s="484"/>
      <c r="J20" s="484"/>
      <c r="K20" s="484"/>
      <c r="L20" s="35"/>
      <c r="M20" s="35"/>
      <c r="N20" s="35"/>
      <c r="O20" s="58"/>
      <c r="P20" s="58"/>
      <c r="Q20" s="58"/>
      <c r="S20" s="627"/>
    </row>
    <row r="21" spans="1:36" ht="22.5" customHeight="1" thickBot="1" x14ac:dyDescent="0.3">
      <c r="A21" s="1225"/>
      <c r="B21" s="1908" t="s">
        <v>57</v>
      </c>
      <c r="C21" s="1908"/>
      <c r="D21" s="1908"/>
      <c r="E21" s="1908"/>
      <c r="F21" s="1908"/>
      <c r="G21" s="1908"/>
      <c r="H21" s="1908"/>
      <c r="I21" s="1908"/>
      <c r="J21" s="1908"/>
      <c r="K21" s="1908"/>
      <c r="L21" s="1913"/>
      <c r="M21" s="1913"/>
      <c r="N21" s="1913"/>
      <c r="O21" s="3398" t="s">
        <v>1641</v>
      </c>
      <c r="P21" s="3398"/>
      <c r="Q21" s="3398"/>
      <c r="S21" s="628" t="s">
        <v>1537</v>
      </c>
      <c r="AD21" s="245"/>
      <c r="AE21" s="246"/>
      <c r="AF21" s="246"/>
      <c r="AG21" s="246"/>
      <c r="AH21" s="55"/>
      <c r="AI21" s="55"/>
      <c r="AJ21" s="55"/>
    </row>
    <row r="22" spans="1:36" ht="9.75" customHeight="1" thickBot="1" x14ac:dyDescent="0.3">
      <c r="S22" s="629"/>
    </row>
    <row r="23" spans="1:36" ht="12" customHeight="1" x14ac:dyDescent="0.25">
      <c r="B23" s="1989"/>
      <c r="C23" s="1990"/>
      <c r="D23" s="1990"/>
      <c r="E23" s="1991"/>
      <c r="F23" s="1992"/>
      <c r="G23" s="1992"/>
      <c r="H23" s="1992"/>
      <c r="I23" s="1992"/>
      <c r="J23" s="1992"/>
      <c r="K23" s="1992"/>
      <c r="L23" s="1992"/>
      <c r="M23" s="1992"/>
      <c r="N23" s="1992"/>
      <c r="O23" s="1992"/>
      <c r="P23" s="1992"/>
      <c r="Q23" s="1993"/>
      <c r="S23" s="2900"/>
    </row>
    <row r="24" spans="1:36" ht="18" customHeight="1" x14ac:dyDescent="0.25">
      <c r="B24" s="2050"/>
      <c r="C24" s="1995" t="s">
        <v>58</v>
      </c>
      <c r="D24" s="1995"/>
      <c r="E24" s="2051"/>
      <c r="F24" s="1949"/>
      <c r="G24" s="1949"/>
      <c r="H24" s="1949"/>
      <c r="I24" s="1949"/>
      <c r="J24" s="1949"/>
      <c r="K24" s="1949"/>
      <c r="L24" s="1949"/>
      <c r="M24" s="1949"/>
      <c r="N24" s="2052" t="s">
        <v>59</v>
      </c>
      <c r="O24" s="359" t="str">
        <f>IF(AND(IDENTIFICATION!O56="Complété",IDENTIFICATION!O102="Complété"),"Complété","À compléter")</f>
        <v>À compléter</v>
      </c>
      <c r="P24" s="1949"/>
      <c r="Q24" s="2057"/>
      <c r="S24" s="2899"/>
    </row>
    <row r="25" spans="1:36" ht="6.75" customHeight="1" x14ac:dyDescent="0.25">
      <c r="B25" s="2053"/>
      <c r="C25" s="2054"/>
      <c r="D25" s="2054"/>
      <c r="E25" s="2054"/>
      <c r="F25" s="1949"/>
      <c r="G25" s="1949"/>
      <c r="H25" s="1949"/>
      <c r="I25" s="1949"/>
      <c r="J25" s="1949"/>
      <c r="K25" s="1949"/>
      <c r="L25" s="1949"/>
      <c r="M25" s="1949"/>
      <c r="N25" s="1949"/>
      <c r="O25" s="1949"/>
      <c r="P25" s="1949"/>
      <c r="Q25" s="2057"/>
      <c r="S25" s="2899"/>
    </row>
    <row r="26" spans="1:36" x14ac:dyDescent="0.25">
      <c r="B26" s="1960"/>
      <c r="C26" s="2055" t="s">
        <v>1765</v>
      </c>
      <c r="D26" s="2000"/>
      <c r="E26" s="1951"/>
      <c r="F26" s="1951"/>
      <c r="G26" s="1951"/>
      <c r="H26" s="1951"/>
      <c r="I26" s="1951"/>
      <c r="J26" s="1951"/>
      <c r="K26" s="1951"/>
      <c r="L26" s="1951"/>
      <c r="M26" s="1951"/>
      <c r="N26" s="1951"/>
      <c r="O26" s="1951"/>
      <c r="P26" s="1951"/>
      <c r="Q26" s="1952"/>
      <c r="S26" s="2899"/>
    </row>
    <row r="27" spans="1:36" ht="19.5" customHeight="1" x14ac:dyDescent="0.25">
      <c r="B27" s="1960"/>
      <c r="C27" s="2056" t="s">
        <v>1774</v>
      </c>
      <c r="D27" s="2001"/>
      <c r="E27" s="1951"/>
      <c r="F27" s="1951"/>
      <c r="G27" s="1951"/>
      <c r="H27" s="1951"/>
      <c r="I27" s="1951"/>
      <c r="J27" s="1951"/>
      <c r="K27" s="1951"/>
      <c r="L27" s="1951"/>
      <c r="M27" s="1951"/>
      <c r="N27" s="1951"/>
      <c r="O27" s="1951"/>
      <c r="P27" s="1951"/>
      <c r="Q27" s="1952"/>
      <c r="S27" s="2899"/>
    </row>
    <row r="28" spans="1:36" ht="12.75" customHeight="1" x14ac:dyDescent="0.25">
      <c r="B28" s="1960"/>
      <c r="C28" s="2000"/>
      <c r="D28" s="2000"/>
      <c r="E28" s="1951"/>
      <c r="F28" s="1951"/>
      <c r="G28" s="1951"/>
      <c r="H28" s="1951"/>
      <c r="I28" s="1951"/>
      <c r="J28" s="1951"/>
      <c r="K28" s="1951"/>
      <c r="L28" s="1951"/>
      <c r="M28" s="1951"/>
      <c r="N28" s="1951"/>
      <c r="O28" s="1951"/>
      <c r="P28" s="1951"/>
      <c r="Q28" s="1952"/>
      <c r="S28" s="2899"/>
    </row>
    <row r="29" spans="1:36" ht="18" customHeight="1" x14ac:dyDescent="0.25">
      <c r="B29" s="1960"/>
      <c r="C29" s="264"/>
      <c r="D29" s="482" t="str">
        <f>IF(ISNA(#REF!)=TRUE,"Attention vérifier code géographique","")</f>
        <v/>
      </c>
      <c r="E29" s="266"/>
      <c r="F29" s="266"/>
      <c r="G29" s="266"/>
      <c r="H29" s="266"/>
      <c r="I29" s="266"/>
      <c r="J29" s="266"/>
      <c r="K29" s="266"/>
      <c r="L29" s="266"/>
      <c r="M29" s="266"/>
      <c r="N29" s="266"/>
      <c r="O29" s="266"/>
      <c r="P29" s="267"/>
      <c r="Q29" s="1952"/>
      <c r="S29" s="2899"/>
    </row>
    <row r="30" spans="1:36" ht="25.5" customHeight="1" x14ac:dyDescent="0.25">
      <c r="B30" s="2058"/>
      <c r="C30" s="973" t="s">
        <v>1766</v>
      </c>
      <c r="D30" s="2872" t="str">
        <f>IF(ISBLANK(IDENTIFICATION!D62),"",IDENTIFICATION!D62)</f>
        <v/>
      </c>
      <c r="E30" s="2873"/>
      <c r="F30" s="2874"/>
      <c r="G30" s="918" t="s">
        <v>274</v>
      </c>
      <c r="H30" s="2872" t="str">
        <f>IF(ISBLANK(IDENTIFICATION!H62),"",IDENTIFICATION!H62)</f>
        <v/>
      </c>
      <c r="I30" s="2873"/>
      <c r="J30" s="2873"/>
      <c r="K30" s="2874"/>
      <c r="L30" s="917" t="s">
        <v>1672</v>
      </c>
      <c r="M30" s="2872" t="str">
        <f>IF(ISBLANK(IDENTIFICATION!M62),"",IDENTIFICATION!M62)</f>
        <v/>
      </c>
      <c r="N30" s="2873"/>
      <c r="O30" s="2874"/>
      <c r="P30" s="617"/>
      <c r="Q30" s="1952"/>
      <c r="S30" s="2899"/>
    </row>
    <row r="31" spans="1:36" ht="8.25" customHeight="1" x14ac:dyDescent="0.25">
      <c r="B31" s="1960"/>
      <c r="C31" s="980"/>
      <c r="D31" s="270"/>
      <c r="F31" s="270"/>
      <c r="H31" s="270"/>
      <c r="I31" s="270"/>
      <c r="J31" s="270"/>
      <c r="K31" s="270"/>
      <c r="L31" s="271"/>
      <c r="P31" s="272"/>
      <c r="Q31" s="1952"/>
      <c r="S31" s="2899"/>
    </row>
    <row r="32" spans="1:36" ht="8.25" customHeight="1" x14ac:dyDescent="0.25">
      <c r="B32" s="1960"/>
      <c r="C32" s="980"/>
      <c r="D32" s="270"/>
      <c r="F32" s="270"/>
      <c r="H32" s="270"/>
      <c r="I32" s="270"/>
      <c r="J32" s="270"/>
      <c r="K32" s="270"/>
      <c r="L32" s="271"/>
      <c r="P32" s="272"/>
      <c r="Q32" s="1952"/>
      <c r="S32" s="2899"/>
    </row>
    <row r="33" spans="2:19" ht="14.25" customHeight="1" x14ac:dyDescent="0.25">
      <c r="B33" s="2058"/>
      <c r="C33" s="104"/>
      <c r="D33" s="922" t="s">
        <v>62</v>
      </c>
      <c r="E33" s="921"/>
      <c r="F33" s="922" t="s">
        <v>61</v>
      </c>
      <c r="G33" s="921"/>
      <c r="H33" s="922" t="s">
        <v>126</v>
      </c>
      <c r="I33" s="922"/>
      <c r="J33" s="922" t="s">
        <v>63</v>
      </c>
      <c r="K33" s="922"/>
      <c r="L33" s="923" t="s">
        <v>64</v>
      </c>
      <c r="M33" s="923" t="s">
        <v>65</v>
      </c>
      <c r="N33" s="919" t="s">
        <v>1763</v>
      </c>
      <c r="P33" s="617"/>
      <c r="Q33" s="1952"/>
      <c r="S33" s="2899"/>
    </row>
    <row r="34" spans="2:19" ht="4.5" customHeight="1" x14ac:dyDescent="0.25">
      <c r="B34" s="1960"/>
      <c r="C34" s="3021" t="s">
        <v>1762</v>
      </c>
      <c r="D34" s="270"/>
      <c r="F34" s="270"/>
      <c r="H34" s="270"/>
      <c r="I34" s="270"/>
      <c r="J34" s="270"/>
      <c r="K34" s="270"/>
      <c r="L34" s="271"/>
      <c r="P34" s="272"/>
      <c r="Q34" s="1952"/>
      <c r="S34" s="2899"/>
    </row>
    <row r="35" spans="2:19" ht="19.5" customHeight="1" x14ac:dyDescent="0.35">
      <c r="B35" s="2058"/>
      <c r="C35" s="3021"/>
      <c r="D35" s="2895" t="str">
        <f>IF(ISBLANK(IDENTIFICATION!D109),"",IDENTIFICATION!D109)</f>
        <v/>
      </c>
      <c r="E35" s="2896"/>
      <c r="F35" s="2897" t="str">
        <f>IF(ISBLANK(IDENTIFICATION!F109),"",IDENTIFICATION!F109)</f>
        <v/>
      </c>
      <c r="G35" s="2898"/>
      <c r="H35" s="2897" t="str">
        <f>IF(ISBLANK(IDENTIFICATION!H109),"",IDENTIFICATION!H109)</f>
        <v/>
      </c>
      <c r="I35" s="2898"/>
      <c r="J35" s="2897" t="str">
        <f>IF(ISBLANK(IDENTIFICATION!J109),"",IDENTIFICATION!J109)</f>
        <v/>
      </c>
      <c r="K35" s="2898"/>
      <c r="L35" s="982" t="str">
        <f>IF(ISBLANK(IDENTIFICATION!L109),"",IDENTIFICATION!L109)</f>
        <v/>
      </c>
      <c r="M35" s="982" t="str">
        <f>IF(ISBLANK(IDENTIFICATION!M109),"",IDENTIFICATION!M109)</f>
        <v/>
      </c>
      <c r="N35" s="2897" t="str">
        <f>IF(ISBLANK(IDENTIFICATION!N109),"",IDENTIFICATION!N109)</f>
        <v/>
      </c>
      <c r="O35" s="2898"/>
      <c r="P35" s="947">
        <v>6</v>
      </c>
      <c r="Q35" s="1952"/>
      <c r="S35" s="2899"/>
    </row>
    <row r="36" spans="2:19" ht="14.25" customHeight="1" x14ac:dyDescent="0.25">
      <c r="B36" s="1960"/>
      <c r="C36" s="3021"/>
      <c r="D36" s="2893"/>
      <c r="E36" s="2893"/>
      <c r="F36" s="2894"/>
      <c r="G36" s="2894"/>
      <c r="H36" s="2894"/>
      <c r="I36" s="2894"/>
      <c r="J36" s="2894"/>
      <c r="K36" s="2894"/>
      <c r="L36" s="981"/>
      <c r="M36" s="981"/>
      <c r="N36" s="2894"/>
      <c r="O36" s="2894"/>
      <c r="P36" s="946"/>
      <c r="Q36" s="1952"/>
      <c r="S36" s="2899"/>
    </row>
    <row r="37" spans="2:19" ht="19.5" customHeight="1" x14ac:dyDescent="0.35">
      <c r="B37" s="1960"/>
      <c r="C37" s="918" t="s">
        <v>1768</v>
      </c>
      <c r="D37" s="2895" t="str">
        <f>IF(OR(IDENTIFICATION!N111='MENU DÉROULANT'!$E$12,IDENTIFICATION!N111='MENU DÉROULANT'!$E$14,IDENTIFICATION!N111='MENU DÉROULANT'!$E$16),IF(ISBLANK(IDENTIFICATION!D111),"",IDENTIFICATION!D111),"")</f>
        <v/>
      </c>
      <c r="E37" s="2896"/>
      <c r="F37" s="2897" t="str">
        <f>IF(($D37=""),"",IDENTIFICATION!F111)</f>
        <v/>
      </c>
      <c r="G37" s="2898"/>
      <c r="H37" s="2897" t="str">
        <f>IF(($D37=""),"",IDENTIFICATION!H111)</f>
        <v/>
      </c>
      <c r="I37" s="2898"/>
      <c r="J37" s="2897" t="str">
        <f>IF(($D37=""),"",IDENTIFICATION!J111)</f>
        <v/>
      </c>
      <c r="K37" s="2898"/>
      <c r="L37" s="982" t="str">
        <f>IF(($D37=""),"",IDENTIFICATION!L111)</f>
        <v/>
      </c>
      <c r="M37" s="982" t="str">
        <f>IF(($D37=""),"",IDENTIFICATION!M111)</f>
        <v/>
      </c>
      <c r="N37" s="2897" t="str">
        <f>IF(($D37=""),"",IDENTIFICATION!N111)</f>
        <v/>
      </c>
      <c r="O37" s="2898"/>
      <c r="P37" s="947">
        <v>6</v>
      </c>
      <c r="Q37" s="1952"/>
      <c r="S37" s="2899"/>
    </row>
    <row r="38" spans="2:19" ht="19.5" customHeight="1" x14ac:dyDescent="0.25">
      <c r="B38" s="1960"/>
      <c r="C38" s="924"/>
      <c r="D38" s="2895" t="str">
        <f>IF(OR(IDENTIFICATION!N113='MENU DÉROULANT'!$E$12,IDENTIFICATION!N113='MENU DÉROULANT'!$E$14,IDENTIFICATION!N113='MENU DÉROULANT'!$E$16),IF(ISBLANK(IDENTIFICATION!D113),"",IDENTIFICATION!D113),"")</f>
        <v/>
      </c>
      <c r="E38" s="2896"/>
      <c r="F38" s="2897" t="str">
        <f>IF(($D38=""),"",IDENTIFICATION!F113)</f>
        <v/>
      </c>
      <c r="G38" s="2898"/>
      <c r="H38" s="2897" t="str">
        <f>IF(($D38=""),"",IDENTIFICATION!H113)</f>
        <v/>
      </c>
      <c r="I38" s="2898"/>
      <c r="J38" s="2897" t="str">
        <f>IF(($D38=""),"",IDENTIFICATION!J113)</f>
        <v/>
      </c>
      <c r="K38" s="2898"/>
      <c r="L38" s="982" t="str">
        <f>IF(($D38=""),"",IDENTIFICATION!L113)</f>
        <v/>
      </c>
      <c r="M38" s="982" t="str">
        <f>IF(($D38=""),"",IDENTIFICATION!M113)</f>
        <v/>
      </c>
      <c r="N38" s="2897" t="str">
        <f>IF(($D38=""),"",IDENTIFICATION!N113)</f>
        <v/>
      </c>
      <c r="O38" s="2898"/>
      <c r="P38" s="946"/>
      <c r="Q38" s="1952"/>
      <c r="S38" s="2899"/>
    </row>
    <row r="39" spans="2:19" ht="19.5" customHeight="1" x14ac:dyDescent="0.35">
      <c r="B39" s="1960"/>
      <c r="C39" s="918"/>
      <c r="D39" s="2895" t="str">
        <f>IF(OR(IDENTIFICATION!N115='MENU DÉROULANT'!$E$12,IDENTIFICATION!N115='MENU DÉROULANT'!$E$14,IDENTIFICATION!N115='MENU DÉROULANT'!$E$16),IF(ISBLANK(IDENTIFICATION!D115),"",IDENTIFICATION!D115),"")</f>
        <v/>
      </c>
      <c r="E39" s="2896"/>
      <c r="F39" s="2897" t="str">
        <f>IF(($D39=""),"",IDENTIFICATION!F115)</f>
        <v/>
      </c>
      <c r="G39" s="2898"/>
      <c r="H39" s="2897" t="str">
        <f>IF(($D39=""),"",IDENTIFICATION!H115)</f>
        <v/>
      </c>
      <c r="I39" s="2898"/>
      <c r="J39" s="2897" t="str">
        <f>IF(($D39=""),"",IDENTIFICATION!J115)</f>
        <v/>
      </c>
      <c r="K39" s="2898"/>
      <c r="L39" s="982" t="str">
        <f>IF(($D39=""),"",IDENTIFICATION!L115)</f>
        <v/>
      </c>
      <c r="M39" s="982" t="str">
        <f>IF(($D39=""),"",IDENTIFICATION!M115)</f>
        <v/>
      </c>
      <c r="N39" s="2897" t="str">
        <f>IF(($D39=""),"",IDENTIFICATION!N115)</f>
        <v/>
      </c>
      <c r="O39" s="2898"/>
      <c r="P39" s="947">
        <v>6</v>
      </c>
      <c r="Q39" s="1952"/>
      <c r="S39" s="2899"/>
    </row>
    <row r="40" spans="2:19" ht="19.5" customHeight="1" x14ac:dyDescent="0.25">
      <c r="B40" s="1960"/>
      <c r="C40" s="924"/>
      <c r="D40" s="2895" t="str">
        <f>IF(OR(IDENTIFICATION!N117='MENU DÉROULANT'!$E$12,IDENTIFICATION!N117='MENU DÉROULANT'!$E$14,IDENTIFICATION!N117='MENU DÉROULANT'!$E$16),IF(ISBLANK(IDENTIFICATION!D117),"",IDENTIFICATION!D117),"")</f>
        <v/>
      </c>
      <c r="E40" s="2896"/>
      <c r="F40" s="2897" t="str">
        <f>IF(($D40=""),"",IDENTIFICATION!F117)</f>
        <v/>
      </c>
      <c r="G40" s="2898"/>
      <c r="H40" s="2897" t="str">
        <f>IF(($D40=""),"",IDENTIFICATION!H117)</f>
        <v/>
      </c>
      <c r="I40" s="2898"/>
      <c r="J40" s="2897" t="str">
        <f>IF(($D40=""),"",IDENTIFICATION!J117)</f>
        <v/>
      </c>
      <c r="K40" s="2898"/>
      <c r="L40" s="982" t="str">
        <f>IF(($D40=""),"",IDENTIFICATION!L117)</f>
        <v/>
      </c>
      <c r="M40" s="982" t="str">
        <f>IF(($D40=""),"",IDENTIFICATION!M117)</f>
        <v/>
      </c>
      <c r="N40" s="2897" t="str">
        <f>IF(($D40=""),"",IDENTIFICATION!N117)</f>
        <v/>
      </c>
      <c r="O40" s="2898"/>
      <c r="P40" s="946"/>
      <c r="Q40" s="1952"/>
      <c r="S40" s="2899"/>
    </row>
    <row r="41" spans="2:19" ht="16.5" customHeight="1" x14ac:dyDescent="0.25">
      <c r="B41" s="1960"/>
      <c r="C41" s="274"/>
      <c r="D41" s="275"/>
      <c r="E41" s="276"/>
      <c r="F41" s="276"/>
      <c r="G41" s="276"/>
      <c r="H41" s="276"/>
      <c r="I41" s="277"/>
      <c r="J41" s="278"/>
      <c r="K41" s="278"/>
      <c r="L41" s="278"/>
      <c r="M41" s="278"/>
      <c r="N41" s="278"/>
      <c r="O41" s="278"/>
      <c r="P41" s="279"/>
      <c r="Q41" s="1952"/>
      <c r="S41" s="2899"/>
    </row>
    <row r="42" spans="2:19" ht="13.5" customHeight="1" thickBot="1" x14ac:dyDescent="0.3">
      <c r="B42" s="2059"/>
      <c r="C42" s="1985"/>
      <c r="D42" s="1985"/>
      <c r="E42" s="1985"/>
      <c r="F42" s="1985"/>
      <c r="G42" s="1985"/>
      <c r="H42" s="1985"/>
      <c r="I42" s="1985"/>
      <c r="J42" s="1985"/>
      <c r="K42" s="1985"/>
      <c r="L42" s="1985"/>
      <c r="M42" s="1985"/>
      <c r="N42" s="1985"/>
      <c r="O42" s="1985"/>
      <c r="P42" s="1985"/>
      <c r="Q42" s="2060"/>
      <c r="S42" s="2899"/>
    </row>
    <row r="43" spans="2:19" ht="10.5" customHeight="1" thickBot="1" x14ac:dyDescent="0.3">
      <c r="S43" s="2899"/>
    </row>
    <row r="44" spans="2:19" ht="12" customHeight="1" x14ac:dyDescent="0.25">
      <c r="B44" s="1989"/>
      <c r="C44" s="1990"/>
      <c r="D44" s="1990"/>
      <c r="E44" s="1991"/>
      <c r="F44" s="1992"/>
      <c r="G44" s="1992"/>
      <c r="H44" s="1992"/>
      <c r="I44" s="1992"/>
      <c r="J44" s="1992"/>
      <c r="K44" s="1992"/>
      <c r="L44" s="1992"/>
      <c r="M44" s="1992"/>
      <c r="N44" s="1992"/>
      <c r="O44" s="1992"/>
      <c r="P44" s="1992"/>
      <c r="Q44" s="1993"/>
      <c r="S44" s="2899"/>
    </row>
    <row r="45" spans="2:19" ht="18" customHeight="1" x14ac:dyDescent="0.25">
      <c r="B45" s="2050"/>
      <c r="C45" s="1995" t="s">
        <v>1744</v>
      </c>
      <c r="D45" s="1995"/>
      <c r="E45" s="2051"/>
      <c r="F45" s="1949"/>
      <c r="G45" s="1949"/>
      <c r="H45" s="1949"/>
      <c r="I45" s="1949"/>
      <c r="J45" s="1949"/>
      <c r="K45" s="1949"/>
      <c r="L45" s="1949"/>
      <c r="M45" s="1949"/>
      <c r="N45" s="2052" t="s">
        <v>59</v>
      </c>
      <c r="O45" s="359" t="str">
        <f>IF(AND(IDENTIFICATION!O70="Complété",IDENTIFICATION!O124="Complété"),"Complété","À compléter")</f>
        <v>À compléter</v>
      </c>
      <c r="P45" s="1949"/>
      <c r="Q45" s="2057"/>
      <c r="S45" s="2899"/>
    </row>
    <row r="46" spans="2:19" ht="7.5" customHeight="1" x14ac:dyDescent="0.25">
      <c r="B46" s="2053"/>
      <c r="C46" s="2054"/>
      <c r="D46" s="2054"/>
      <c r="E46" s="2054"/>
      <c r="F46" s="1949"/>
      <c r="G46" s="1949"/>
      <c r="H46" s="1949"/>
      <c r="I46" s="1949"/>
      <c r="J46" s="1949"/>
      <c r="K46" s="1949"/>
      <c r="L46" s="1949"/>
      <c r="M46" s="1949"/>
      <c r="N46" s="1949"/>
      <c r="O46" s="1949"/>
      <c r="P46" s="1949"/>
      <c r="Q46" s="2057"/>
      <c r="S46" s="2899"/>
    </row>
    <row r="47" spans="2:19" x14ac:dyDescent="0.25">
      <c r="B47" s="1960"/>
      <c r="C47" s="2055" t="s">
        <v>1765</v>
      </c>
      <c r="D47" s="2000"/>
      <c r="E47" s="1951"/>
      <c r="F47" s="1951"/>
      <c r="G47" s="1951"/>
      <c r="H47" s="1951"/>
      <c r="I47" s="1951"/>
      <c r="J47" s="1951"/>
      <c r="K47" s="1951"/>
      <c r="L47" s="1951"/>
      <c r="M47" s="1951"/>
      <c r="N47" s="1951"/>
      <c r="O47" s="1951"/>
      <c r="P47" s="1951"/>
      <c r="Q47" s="1952"/>
      <c r="S47" s="2899"/>
    </row>
    <row r="48" spans="2:19" ht="19.5" customHeight="1" x14ac:dyDescent="0.25">
      <c r="B48" s="1960"/>
      <c r="C48" s="2056" t="s">
        <v>1774</v>
      </c>
      <c r="D48" s="2001"/>
      <c r="E48" s="1951"/>
      <c r="F48" s="1951"/>
      <c r="G48" s="1951"/>
      <c r="H48" s="1951"/>
      <c r="I48" s="1951"/>
      <c r="J48" s="1951"/>
      <c r="K48" s="1951"/>
      <c r="L48" s="1951"/>
      <c r="M48" s="1951"/>
      <c r="N48" s="1951"/>
      <c r="O48" s="1951"/>
      <c r="P48" s="1951"/>
      <c r="Q48" s="1952"/>
      <c r="S48" s="2899"/>
    </row>
    <row r="49" spans="1:19" ht="12" customHeight="1" x14ac:dyDescent="0.25">
      <c r="B49" s="1960"/>
      <c r="C49" s="2000"/>
      <c r="D49" s="2000"/>
      <c r="E49" s="2061"/>
      <c r="F49" s="2061"/>
      <c r="G49" s="2061"/>
      <c r="H49" s="2061"/>
      <c r="I49" s="2061"/>
      <c r="J49" s="2061"/>
      <c r="K49" s="2061"/>
      <c r="L49" s="2061"/>
      <c r="M49" s="2061"/>
      <c r="N49" s="2061"/>
      <c r="O49" s="2061"/>
      <c r="P49" s="1951"/>
      <c r="Q49" s="1952"/>
      <c r="S49" s="2899"/>
    </row>
    <row r="50" spans="1:19" ht="15" customHeight="1" x14ac:dyDescent="0.25">
      <c r="B50" s="1960"/>
      <c r="C50" s="264"/>
      <c r="D50" s="265"/>
      <c r="E50" s="281"/>
      <c r="F50" s="281"/>
      <c r="G50" s="281"/>
      <c r="H50" s="281"/>
      <c r="I50" s="281"/>
      <c r="J50" s="281"/>
      <c r="K50" s="281"/>
      <c r="L50" s="281"/>
      <c r="M50" s="281"/>
      <c r="N50" s="281"/>
      <c r="O50" s="281"/>
      <c r="P50" s="267"/>
      <c r="Q50" s="1952"/>
      <c r="S50" s="2899"/>
    </row>
    <row r="51" spans="1:19" ht="18" customHeight="1" x14ac:dyDescent="0.25">
      <c r="B51" s="2058"/>
      <c r="C51" s="104"/>
      <c r="D51" s="941" t="s">
        <v>1758</v>
      </c>
      <c r="E51" s="983" t="str">
        <f>IF(ISBLANK(IDENTIFICATION!E75),"",IDENTIFICATION!E75)</f>
        <v/>
      </c>
      <c r="F51" s="944" t="s">
        <v>1772</v>
      </c>
      <c r="G51" s="945"/>
      <c r="H51" s="945"/>
      <c r="I51" s="945"/>
      <c r="J51" s="945"/>
      <c r="K51" s="945"/>
      <c r="L51" s="271"/>
      <c r="M51" s="271"/>
      <c r="N51" s="271"/>
      <c r="O51" s="271"/>
      <c r="P51" s="272"/>
      <c r="Q51" s="1952"/>
      <c r="S51" s="2899"/>
    </row>
    <row r="52" spans="1:19" ht="10.5" customHeight="1" x14ac:dyDescent="0.25">
      <c r="B52" s="1960"/>
      <c r="C52" s="104"/>
      <c r="D52" s="309"/>
      <c r="E52" s="309"/>
      <c r="F52" s="271"/>
      <c r="G52" s="271"/>
      <c r="H52" s="271"/>
      <c r="I52" s="271"/>
      <c r="J52" s="271"/>
      <c r="K52" s="271"/>
      <c r="L52" s="271"/>
      <c r="M52" s="271"/>
      <c r="N52" s="271"/>
      <c r="O52" s="271"/>
      <c r="P52" s="272"/>
      <c r="Q52" s="1952"/>
      <c r="S52" s="2899"/>
    </row>
    <row r="53" spans="1:19" ht="18" customHeight="1" x14ac:dyDescent="0.25">
      <c r="B53" s="2058"/>
      <c r="C53" s="104"/>
      <c r="D53" s="943" t="s">
        <v>1759</v>
      </c>
      <c r="E53" s="983" t="str">
        <f>IF(ISBLANK(IDENTIFICATION!E77),"",IDENTIFICATION!E77)</f>
        <v/>
      </c>
      <c r="F53" s="942" t="s">
        <v>1771</v>
      </c>
      <c r="H53" s="271"/>
      <c r="I53" s="271"/>
      <c r="J53" s="271"/>
      <c r="K53" s="271"/>
      <c r="L53" s="271"/>
      <c r="M53" s="271"/>
      <c r="N53" s="271"/>
      <c r="O53" s="271"/>
      <c r="P53" s="272"/>
      <c r="Q53" s="1952"/>
      <c r="S53" s="2899"/>
    </row>
    <row r="54" spans="1:19" ht="15.75" customHeight="1" x14ac:dyDescent="0.25">
      <c r="B54" s="1960"/>
      <c r="C54" s="308"/>
      <c r="D54" s="309"/>
      <c r="E54" s="271"/>
      <c r="F54" s="271"/>
      <c r="G54" s="271"/>
      <c r="H54" s="271"/>
      <c r="I54" s="271"/>
      <c r="J54" s="271"/>
      <c r="K54" s="271"/>
      <c r="L54" s="271"/>
      <c r="M54" s="271"/>
      <c r="N54" s="271"/>
      <c r="O54" s="271"/>
      <c r="P54" s="272"/>
      <c r="Q54" s="1952"/>
      <c r="S54" s="2899"/>
    </row>
    <row r="55" spans="1:19" ht="19.5" customHeight="1" x14ac:dyDescent="0.25">
      <c r="B55" s="2058"/>
      <c r="C55" s="2876" t="s">
        <v>1769</v>
      </c>
      <c r="D55" s="2877"/>
      <c r="E55" s="3231" t="str">
        <f>IF(ISBLANK(IDENTIFICATION!H131),"",IDENTIFICATION!H131)</f>
        <v/>
      </c>
      <c r="F55" s="3232"/>
      <c r="G55" s="2862" t="s">
        <v>2012</v>
      </c>
      <c r="H55" s="2862"/>
      <c r="I55" s="3222"/>
      <c r="J55" s="3223"/>
      <c r="K55" s="3223"/>
      <c r="L55" s="3223"/>
      <c r="M55" s="3223"/>
      <c r="N55" s="3223"/>
      <c r="O55" s="3224"/>
      <c r="P55" s="617"/>
      <c r="Q55" s="1952"/>
      <c r="S55" s="2899"/>
    </row>
    <row r="56" spans="1:19" ht="14.25" customHeight="1" x14ac:dyDescent="0.25">
      <c r="B56" s="1960"/>
      <c r="C56" s="935"/>
      <c r="D56" s="936"/>
      <c r="E56" s="273"/>
      <c r="F56" s="273"/>
      <c r="G56" s="2862"/>
      <c r="H56" s="2862"/>
      <c r="I56" s="3225"/>
      <c r="J56" s="3226"/>
      <c r="K56" s="3226"/>
      <c r="L56" s="3226"/>
      <c r="M56" s="3226"/>
      <c r="N56" s="3226"/>
      <c r="O56" s="3227"/>
      <c r="P56" s="272"/>
      <c r="Q56" s="1952"/>
      <c r="S56" s="2899"/>
    </row>
    <row r="57" spans="1:19" ht="19.5" customHeight="1" x14ac:dyDescent="0.25">
      <c r="B57" s="1960"/>
      <c r="C57" s="2876" t="s">
        <v>1770</v>
      </c>
      <c r="D57" s="2877"/>
      <c r="E57" s="3231" t="str">
        <f>IF(ISBLANK(IDENTIFICATION!H133),"",IDENTIFICATION!H133)</f>
        <v/>
      </c>
      <c r="F57" s="3232"/>
      <c r="G57" s="2862"/>
      <c r="H57" s="2862"/>
      <c r="I57" s="3225"/>
      <c r="J57" s="3226"/>
      <c r="K57" s="3226"/>
      <c r="L57" s="3226"/>
      <c r="M57" s="3226"/>
      <c r="N57" s="3226"/>
      <c r="O57" s="3227"/>
      <c r="P57" s="272"/>
      <c r="Q57" s="1952"/>
      <c r="S57" s="2899"/>
    </row>
    <row r="58" spans="1:19" ht="19.5" customHeight="1" x14ac:dyDescent="0.25">
      <c r="B58" s="1960"/>
      <c r="C58" s="938"/>
      <c r="D58" s="936"/>
      <c r="E58" s="3231" t="str">
        <f>IF(ISBLANK(IDENTIFICATION!H134),"",IDENTIFICATION!H134)</f>
        <v/>
      </c>
      <c r="F58" s="3232"/>
      <c r="G58" s="288"/>
      <c r="H58" s="984"/>
      <c r="I58" s="3225"/>
      <c r="J58" s="3226"/>
      <c r="K58" s="3226"/>
      <c r="L58" s="3226"/>
      <c r="M58" s="3226"/>
      <c r="N58" s="3226"/>
      <c r="O58" s="3227"/>
      <c r="P58" s="272"/>
      <c r="Q58" s="1952"/>
      <c r="S58" s="2899"/>
    </row>
    <row r="59" spans="1:19" ht="19.5" customHeight="1" x14ac:dyDescent="0.25">
      <c r="B59" s="1960"/>
      <c r="C59" s="918"/>
      <c r="D59" s="974"/>
      <c r="E59" s="3231" t="str">
        <f>IF(ISBLANK(IDENTIFICATION!H135),"",IDENTIFICATION!H135)</f>
        <v/>
      </c>
      <c r="F59" s="3232"/>
      <c r="G59" s="288"/>
      <c r="H59" s="984"/>
      <c r="I59" s="3225"/>
      <c r="J59" s="3226"/>
      <c r="K59" s="3226"/>
      <c r="L59" s="3226"/>
      <c r="M59" s="3226"/>
      <c r="N59" s="3226"/>
      <c r="O59" s="3227"/>
      <c r="P59" s="617"/>
      <c r="Q59" s="1952"/>
      <c r="S59" s="2899"/>
    </row>
    <row r="60" spans="1:19" ht="17.25" customHeight="1" x14ac:dyDescent="0.25">
      <c r="B60" s="1960"/>
      <c r="C60" s="918"/>
      <c r="D60" s="939"/>
      <c r="E60" s="3231" t="str">
        <f>IF(ISBLANK(IDENTIFICATION!H136),"",IDENTIFICATION!H136)</f>
        <v/>
      </c>
      <c r="F60" s="3232"/>
      <c r="G60" s="288"/>
      <c r="H60" s="984"/>
      <c r="I60" s="3228"/>
      <c r="J60" s="3229"/>
      <c r="K60" s="3229"/>
      <c r="L60" s="3229"/>
      <c r="M60" s="3229"/>
      <c r="N60" s="3229"/>
      <c r="O60" s="3230"/>
      <c r="P60" s="617"/>
      <c r="Q60" s="1952"/>
      <c r="S60" s="2899"/>
    </row>
    <row r="61" spans="1:19" ht="17.25" customHeight="1" x14ac:dyDescent="0.25">
      <c r="B61" s="1960"/>
      <c r="C61" s="282"/>
      <c r="D61" s="283"/>
      <c r="E61" s="278"/>
      <c r="F61" s="289"/>
      <c r="G61" s="278"/>
      <c r="H61" s="289"/>
      <c r="I61" s="277"/>
      <c r="J61" s="278"/>
      <c r="K61" s="289"/>
      <c r="L61" s="278"/>
      <c r="M61" s="289"/>
      <c r="N61" s="278"/>
      <c r="O61" s="289"/>
      <c r="P61" s="279"/>
      <c r="Q61" s="1952"/>
      <c r="S61" s="2899"/>
    </row>
    <row r="62" spans="1:19" ht="13.5" customHeight="1" thickBot="1" x14ac:dyDescent="0.3">
      <c r="B62" s="2059"/>
      <c r="C62" s="1985"/>
      <c r="D62" s="1985"/>
      <c r="E62" s="1985"/>
      <c r="F62" s="1985"/>
      <c r="G62" s="1985"/>
      <c r="H62" s="1985"/>
      <c r="I62" s="1985"/>
      <c r="J62" s="1985"/>
      <c r="K62" s="1985"/>
      <c r="L62" s="1985"/>
      <c r="M62" s="1985"/>
      <c r="N62" s="1985"/>
      <c r="O62" s="1985"/>
      <c r="P62" s="1985"/>
      <c r="Q62" s="2060"/>
      <c r="S62" s="2904"/>
    </row>
    <row r="63" spans="1:19" ht="10.5" customHeight="1" thickBot="1" x14ac:dyDescent="0.3">
      <c r="B63" s="699"/>
      <c r="S63" s="627"/>
    </row>
    <row r="64" spans="1:19" ht="22.5" customHeight="1" thickBot="1" x14ac:dyDescent="0.3">
      <c r="A64" s="1225"/>
      <c r="B64" s="1908" t="s">
        <v>66</v>
      </c>
      <c r="C64" s="1908"/>
      <c r="D64" s="1908"/>
      <c r="E64" s="1908"/>
      <c r="F64" s="1908"/>
      <c r="G64" s="1908"/>
      <c r="H64" s="1908"/>
      <c r="I64" s="1908"/>
      <c r="J64" s="1908"/>
      <c r="K64" s="1908"/>
      <c r="L64" s="1913"/>
      <c r="M64" s="1913"/>
      <c r="N64" s="1913"/>
      <c r="O64" s="3398" t="s">
        <v>1641</v>
      </c>
      <c r="P64" s="3398"/>
      <c r="Q64" s="3398"/>
      <c r="S64" s="628" t="s">
        <v>1537</v>
      </c>
    </row>
    <row r="65" spans="2:19" ht="9.75" customHeight="1" thickBot="1" x14ac:dyDescent="0.3">
      <c r="S65" s="629"/>
    </row>
    <row r="66" spans="2:19" ht="8.25" customHeight="1" x14ac:dyDescent="0.25">
      <c r="B66" s="1989"/>
      <c r="C66" s="1990"/>
      <c r="D66" s="1990"/>
      <c r="E66" s="1991"/>
      <c r="F66" s="1992"/>
      <c r="G66" s="1992"/>
      <c r="H66" s="1992"/>
      <c r="I66" s="1992"/>
      <c r="J66" s="1992"/>
      <c r="K66" s="1992"/>
      <c r="L66" s="1992"/>
      <c r="M66" s="1992"/>
      <c r="N66" s="1992"/>
      <c r="O66" s="1992"/>
      <c r="P66" s="1992"/>
      <c r="Q66" s="1993"/>
      <c r="S66" s="2900"/>
    </row>
    <row r="67" spans="2:19" ht="18" customHeight="1" x14ac:dyDescent="0.25">
      <c r="B67" s="1994"/>
      <c r="C67" s="1995" t="s">
        <v>67</v>
      </c>
      <c r="D67" s="1995"/>
      <c r="E67" s="2062"/>
      <c r="F67" s="1996"/>
      <c r="G67" s="1997"/>
      <c r="H67" s="1997"/>
      <c r="I67" s="1997"/>
      <c r="J67" s="1997"/>
      <c r="K67" s="1997"/>
      <c r="L67" s="1997"/>
      <c r="M67" s="1997"/>
      <c r="N67" s="2052" t="s">
        <v>59</v>
      </c>
      <c r="O67" s="359" t="str">
        <f>IF((COUNTBLANK(B78:B166)=ROWS(B78:B166)),"Complété","À compléter")</f>
        <v>À compléter</v>
      </c>
      <c r="P67" s="1997"/>
      <c r="Q67" s="1998"/>
      <c r="S67" s="2899"/>
    </row>
    <row r="68" spans="2:19" ht="6.75" customHeight="1" x14ac:dyDescent="0.25">
      <c r="B68" s="1994"/>
      <c r="C68" s="1996"/>
      <c r="D68" s="1996"/>
      <c r="E68" s="1996"/>
      <c r="F68" s="1997"/>
      <c r="G68" s="1997"/>
      <c r="H68" s="1997"/>
      <c r="I68" s="1997"/>
      <c r="J68" s="1997"/>
      <c r="K68" s="1997"/>
      <c r="L68" s="1997"/>
      <c r="M68" s="1997"/>
      <c r="N68" s="1997"/>
      <c r="O68" s="1997"/>
      <c r="P68" s="1997"/>
      <c r="Q68" s="1998"/>
      <c r="S68" s="2899"/>
    </row>
    <row r="69" spans="2:19" ht="17.25" customHeight="1" x14ac:dyDescent="0.25">
      <c r="B69" s="2053"/>
      <c r="C69" s="3392" t="s">
        <v>1590</v>
      </c>
      <c r="D69" s="3392"/>
      <c r="E69" s="3392"/>
      <c r="F69" s="3392"/>
      <c r="G69" s="3392"/>
      <c r="H69" s="3392"/>
      <c r="I69" s="3392"/>
      <c r="J69" s="3392"/>
      <c r="K69" s="3392"/>
      <c r="L69" s="3392"/>
      <c r="M69" s="3392"/>
      <c r="N69" s="1949"/>
      <c r="O69" s="1949"/>
      <c r="P69" s="1949"/>
      <c r="Q69" s="2057"/>
      <c r="S69" s="2899"/>
    </row>
    <row r="70" spans="2:19" ht="9.75" customHeight="1" x14ac:dyDescent="0.25">
      <c r="B70" s="2053"/>
      <c r="C70" s="2054"/>
      <c r="D70" s="2054"/>
      <c r="E70" s="2054"/>
      <c r="F70" s="1949"/>
      <c r="G70" s="1949"/>
      <c r="H70" s="1949"/>
      <c r="I70" s="1949"/>
      <c r="J70" s="1949"/>
      <c r="K70" s="1949"/>
      <c r="L70" s="1949"/>
      <c r="M70" s="1949"/>
      <c r="N70" s="1949"/>
      <c r="O70" s="1949"/>
      <c r="P70" s="1949"/>
      <c r="Q70" s="2057"/>
      <c r="S70" s="2899"/>
    </row>
    <row r="71" spans="2:19" ht="18.75" customHeight="1" x14ac:dyDescent="0.25">
      <c r="B71" s="1960"/>
      <c r="C71" s="2063" t="s">
        <v>2014</v>
      </c>
      <c r="D71" s="2000"/>
      <c r="E71" s="1951"/>
      <c r="F71" s="1951"/>
      <c r="G71" s="1951"/>
      <c r="H71" s="1951"/>
      <c r="I71" s="1951"/>
      <c r="J71" s="1951"/>
      <c r="K71" s="1951"/>
      <c r="L71" s="1951"/>
      <c r="M71" s="1951"/>
      <c r="N71" s="1951"/>
      <c r="O71" s="1951"/>
      <c r="P71" s="1951"/>
      <c r="Q71" s="1952"/>
      <c r="S71" s="2899"/>
    </row>
    <row r="72" spans="2:19" ht="42" customHeight="1" x14ac:dyDescent="0.25">
      <c r="B72" s="1960"/>
      <c r="C72" s="3399" t="s">
        <v>1592</v>
      </c>
      <c r="D72" s="3399"/>
      <c r="E72" s="3399"/>
      <c r="F72" s="3399"/>
      <c r="G72" s="3399"/>
      <c r="H72" s="3399"/>
      <c r="I72" s="3399"/>
      <c r="J72" s="3399"/>
      <c r="K72" s="3399"/>
      <c r="L72" s="3399"/>
      <c r="M72" s="3399"/>
      <c r="N72" s="3399"/>
      <c r="O72" s="3399"/>
      <c r="P72" s="3399"/>
      <c r="Q72" s="1952"/>
      <c r="S72" s="2899"/>
    </row>
    <row r="73" spans="2:19" ht="21.75" customHeight="1" x14ac:dyDescent="0.25">
      <c r="B73" s="1960"/>
      <c r="C73" s="3400" t="s">
        <v>1591</v>
      </c>
      <c r="D73" s="3400"/>
      <c r="E73" s="3400"/>
      <c r="F73" s="3400"/>
      <c r="G73" s="3400"/>
      <c r="H73" s="3400"/>
      <c r="I73" s="3400"/>
      <c r="J73" s="3400"/>
      <c r="K73" s="3400"/>
      <c r="L73" s="3400"/>
      <c r="M73" s="3400"/>
      <c r="N73" s="3400"/>
      <c r="O73" s="3400"/>
      <c r="P73" s="2545"/>
      <c r="Q73" s="1952"/>
      <c r="S73" s="2899"/>
    </row>
    <row r="74" spans="2:19" ht="12" customHeight="1" x14ac:dyDescent="0.25">
      <c r="B74" s="1960"/>
      <c r="C74" s="3401" t="s">
        <v>1593</v>
      </c>
      <c r="D74" s="3401"/>
      <c r="E74" s="2546" t="s">
        <v>278</v>
      </c>
      <c r="F74" s="2547"/>
      <c r="G74" s="2547"/>
      <c r="H74" s="2547"/>
      <c r="I74" s="2547"/>
      <c r="J74" s="2547"/>
      <c r="K74" s="2547"/>
      <c r="L74" s="2547"/>
      <c r="M74" s="2547"/>
      <c r="N74" s="2547"/>
      <c r="O74" s="2547"/>
      <c r="P74" s="2547"/>
      <c r="Q74" s="1952"/>
      <c r="S74" s="2899"/>
    </row>
    <row r="75" spans="2:19" ht="12" customHeight="1" x14ac:dyDescent="0.25">
      <c r="B75" s="1960"/>
      <c r="C75" s="2548"/>
      <c r="D75" s="2549"/>
      <c r="E75" s="2546" t="s">
        <v>279</v>
      </c>
      <c r="F75" s="2547"/>
      <c r="G75" s="2547"/>
      <c r="H75" s="2547"/>
      <c r="I75" s="2547"/>
      <c r="J75" s="2547"/>
      <c r="K75" s="2547"/>
      <c r="L75" s="2547"/>
      <c r="M75" s="2547"/>
      <c r="N75" s="2547"/>
      <c r="O75" s="2547"/>
      <c r="P75" s="2547"/>
      <c r="Q75" s="1952"/>
      <c r="S75" s="2899"/>
    </row>
    <row r="76" spans="2:19" ht="12" customHeight="1" x14ac:dyDescent="0.25">
      <c r="B76" s="1960"/>
      <c r="C76" s="2548"/>
      <c r="D76" s="2549"/>
      <c r="E76" s="2546" t="s">
        <v>277</v>
      </c>
      <c r="F76" s="2547"/>
      <c r="G76" s="2547"/>
      <c r="H76" s="2547"/>
      <c r="I76" s="2547"/>
      <c r="J76" s="2547"/>
      <c r="K76" s="2547"/>
      <c r="L76" s="2547"/>
      <c r="M76" s="2547"/>
      <c r="N76" s="2547"/>
      <c r="O76" s="2547"/>
      <c r="P76" s="2547"/>
      <c r="Q76" s="1952"/>
      <c r="S76" s="2899"/>
    </row>
    <row r="77" spans="2:19" ht="12.75" customHeight="1" x14ac:dyDescent="0.25">
      <c r="B77" s="1960"/>
      <c r="C77" s="2064"/>
      <c r="D77" s="2000"/>
      <c r="E77" s="1951"/>
      <c r="F77" s="1951"/>
      <c r="G77" s="1951"/>
      <c r="H77" s="1951"/>
      <c r="I77" s="1951"/>
      <c r="J77" s="1951"/>
      <c r="K77" s="1951"/>
      <c r="L77" s="1951"/>
      <c r="M77" s="1951"/>
      <c r="N77" s="1951"/>
      <c r="O77" s="1951"/>
      <c r="P77" s="1951"/>
      <c r="Q77" s="1952"/>
      <c r="S77" s="2899"/>
    </row>
    <row r="78" spans="2:19" ht="12.75" customHeight="1" x14ac:dyDescent="0.25">
      <c r="B78" s="1960"/>
      <c r="C78" s="264"/>
      <c r="D78" s="265"/>
      <c r="E78" s="266"/>
      <c r="F78" s="266"/>
      <c r="G78" s="266"/>
      <c r="H78" s="266"/>
      <c r="I78" s="266"/>
      <c r="J78" s="266"/>
      <c r="K78" s="266"/>
      <c r="L78" s="266"/>
      <c r="M78" s="266"/>
      <c r="N78" s="266"/>
      <c r="O78" s="266"/>
      <c r="P78" s="267"/>
      <c r="Q78" s="1952"/>
      <c r="S78" s="2899"/>
    </row>
    <row r="79" spans="2:19" ht="3.75" customHeight="1" x14ac:dyDescent="0.25">
      <c r="B79" s="1960"/>
      <c r="C79" s="2984" t="s">
        <v>2016</v>
      </c>
      <c r="P79" s="272"/>
      <c r="Q79" s="1952"/>
      <c r="S79" s="2899"/>
    </row>
    <row r="80" spans="2:19" ht="9" customHeight="1" x14ac:dyDescent="0.25">
      <c r="B80" s="1960"/>
      <c r="C80" s="2984"/>
      <c r="D80" s="2987" t="s">
        <v>2017</v>
      </c>
      <c r="E80" s="2987"/>
      <c r="F80" s="2987"/>
      <c r="G80" s="2987"/>
      <c r="P80" s="272"/>
      <c r="Q80" s="1952"/>
      <c r="S80" s="2899"/>
    </row>
    <row r="81" spans="2:20" ht="18" customHeight="1" x14ac:dyDescent="0.25">
      <c r="B81" s="2058" t="str">
        <f>IF(ISBLANK(H81)=FALSE,"","u")</f>
        <v>u</v>
      </c>
      <c r="C81" s="2984"/>
      <c r="D81" s="2987"/>
      <c r="E81" s="2987"/>
      <c r="F81" s="2987"/>
      <c r="G81" s="2987"/>
      <c r="H81" s="2988"/>
      <c r="I81" s="2989"/>
      <c r="J81" s="2989"/>
      <c r="K81" s="2989"/>
      <c r="L81" s="2989"/>
      <c r="M81" s="2990"/>
      <c r="O81" s="1048" t="str">
        <f>IF(ISNA(VLOOKUP(H81,'MENU DÉROULANT'!C28:H32,6,FALSE)),"",VLOOKUP(H81,'MENU DÉROULANT'!C28:H32,6,FALSE))</f>
        <v/>
      </c>
      <c r="P81" s="272"/>
      <c r="Q81" s="1952"/>
      <c r="S81" s="2899"/>
    </row>
    <row r="82" spans="2:20" ht="30.75" customHeight="1" x14ac:dyDescent="0.25">
      <c r="B82" s="1960"/>
      <c r="C82" s="2984"/>
      <c r="D82" s="659"/>
      <c r="E82" s="659"/>
      <c r="F82" s="659"/>
      <c r="G82" s="659"/>
      <c r="H82" s="2991" t="str">
        <f>IF(H81='MENU DÉROULANT'!C28,"Notez que toutes les sections concernant ce sous-service ne seront donc pas remplies et qu'il n'y aura donc pas de visuel dans le sommaire pour ce sous-service. Une note apparaitra toutefois à ce sujet sur le sommaire.","")</f>
        <v/>
      </c>
      <c r="I82" s="2991"/>
      <c r="J82" s="2991"/>
      <c r="K82" s="2991"/>
      <c r="L82" s="2991"/>
      <c r="M82" s="2991"/>
      <c r="P82" s="272"/>
      <c r="Q82" s="1952"/>
      <c r="S82" s="2899"/>
    </row>
    <row r="83" spans="2:20" ht="9.75" customHeight="1" x14ac:dyDescent="0.25">
      <c r="B83" s="1960"/>
      <c r="C83" s="2984"/>
      <c r="P83" s="272"/>
      <c r="Q83" s="1952"/>
      <c r="S83" s="2899"/>
    </row>
    <row r="84" spans="2:20" ht="27" customHeight="1" x14ac:dyDescent="0.25">
      <c r="B84" s="1960"/>
      <c r="C84" s="2984"/>
      <c r="F84" s="2939" t="s">
        <v>130</v>
      </c>
      <c r="G84" s="2939"/>
      <c r="H84" s="2828"/>
      <c r="I84" s="2860"/>
      <c r="J84" s="2860"/>
      <c r="K84" s="2860"/>
      <c r="L84" s="2860"/>
      <c r="M84" s="2829"/>
      <c r="P84" s="272"/>
      <c r="Q84" s="1952"/>
      <c r="S84" s="2899"/>
    </row>
    <row r="85" spans="2:20" ht="15" customHeight="1" x14ac:dyDescent="0.25">
      <c r="B85" s="1960"/>
      <c r="C85" s="2984"/>
      <c r="D85" s="517"/>
      <c r="E85" s="517"/>
      <c r="F85" s="517"/>
      <c r="G85" s="517"/>
      <c r="H85" s="517"/>
      <c r="I85" s="517"/>
      <c r="J85" s="517"/>
      <c r="K85" s="517"/>
      <c r="L85" s="517"/>
      <c r="M85" s="517"/>
      <c r="N85" s="517"/>
      <c r="O85" s="517"/>
      <c r="P85" s="272"/>
      <c r="Q85" s="1952"/>
      <c r="S85" s="2899"/>
    </row>
    <row r="86" spans="2:20" ht="12.75" customHeight="1" x14ac:dyDescent="0.25">
      <c r="B86" s="1960"/>
      <c r="C86" s="385"/>
      <c r="P86" s="272"/>
      <c r="Q86" s="1952"/>
      <c r="S86" s="2899"/>
    </row>
    <row r="87" spans="2:20" ht="27" customHeight="1" x14ac:dyDescent="0.25">
      <c r="B87" s="1960"/>
      <c r="C87" s="385"/>
      <c r="D87" s="675" t="s">
        <v>69</v>
      </c>
      <c r="E87" s="457" t="s">
        <v>2028</v>
      </c>
      <c r="F87" s="85"/>
      <c r="G87" s="85"/>
      <c r="H87" s="85"/>
      <c r="I87" s="85"/>
      <c r="J87" s="2939" t="s">
        <v>1468</v>
      </c>
      <c r="K87" s="2939"/>
      <c r="L87" s="2985"/>
      <c r="M87" s="2828"/>
      <c r="N87" s="2860"/>
      <c r="O87" s="2829"/>
      <c r="P87" s="272"/>
      <c r="Q87" s="1952"/>
      <c r="S87" s="2899"/>
    </row>
    <row r="88" spans="2:20" ht="17.25" customHeight="1" x14ac:dyDescent="0.25">
      <c r="B88" s="1960"/>
      <c r="C88" s="385"/>
      <c r="D88" s="382"/>
      <c r="E88" s="456"/>
      <c r="F88" s="85"/>
      <c r="G88" s="85"/>
      <c r="H88" s="85"/>
      <c r="I88" s="85"/>
      <c r="J88" s="85"/>
      <c r="K88" s="85"/>
      <c r="L88" s="85"/>
      <c r="M88" s="85"/>
      <c r="N88" s="85"/>
      <c r="O88" s="451"/>
      <c r="P88" s="272"/>
      <c r="Q88" s="1952"/>
      <c r="S88" s="2899"/>
    </row>
    <row r="89" spans="2:20" ht="18" customHeight="1" x14ac:dyDescent="0.25">
      <c r="B89" s="2058" t="str">
        <f>IF(OR(O81=1,O81=3),"",IF(OR(ISBLANK(G89),ISBLANK(J89),ISBLANK(K89),ISBLANK(L89),ISBLANK(M89),ISBLANK(N89))=FALSE,"","u"))</f>
        <v>u</v>
      </c>
      <c r="C89" s="385"/>
      <c r="D89" s="297"/>
      <c r="F89" s="298" t="s">
        <v>70</v>
      </c>
      <c r="G89" s="574"/>
      <c r="H89" s="2939" t="s">
        <v>282</v>
      </c>
      <c r="I89" s="2939"/>
      <c r="J89" s="578"/>
      <c r="K89" s="578"/>
      <c r="L89" s="578"/>
      <c r="M89" s="578"/>
      <c r="N89" s="578"/>
      <c r="O89" s="730">
        <f>1-J89-K89-L89-M89-N89</f>
        <v>1</v>
      </c>
      <c r="P89" s="617"/>
      <c r="Q89" s="1952"/>
      <c r="S89" s="2899"/>
    </row>
    <row r="90" spans="2:20" ht="6.75" customHeight="1" x14ac:dyDescent="0.25">
      <c r="B90" s="1960"/>
      <c r="C90" s="385"/>
      <c r="D90" s="297"/>
      <c r="E90" s="85"/>
      <c r="F90" s="85"/>
      <c r="G90" s="85"/>
      <c r="H90" s="2939"/>
      <c r="I90" s="2939"/>
      <c r="J90" s="85"/>
      <c r="K90" s="85"/>
      <c r="L90" s="85"/>
      <c r="M90" s="85"/>
      <c r="N90" s="85"/>
      <c r="O90" s="85"/>
      <c r="P90" s="272"/>
      <c r="Q90" s="1952"/>
      <c r="S90" s="2899"/>
    </row>
    <row r="91" spans="2:20" ht="17.25" customHeight="1" x14ac:dyDescent="0.25">
      <c r="B91" s="2058" t="str">
        <f>IF(OR(O81=1,O81=3),"",IF(ISBLANK(G91)=FALSE,"","u"))</f>
        <v>u</v>
      </c>
      <c r="C91" s="385"/>
      <c r="D91" s="297"/>
      <c r="E91" s="658"/>
      <c r="F91" s="299" t="s">
        <v>71</v>
      </c>
      <c r="G91" s="575"/>
      <c r="H91" s="271"/>
      <c r="I91" s="271"/>
      <c r="J91" s="300" t="s">
        <v>72</v>
      </c>
      <c r="K91" s="300" t="s">
        <v>73</v>
      </c>
      <c r="L91" s="300" t="s">
        <v>74</v>
      </c>
      <c r="M91" s="300" t="s">
        <v>75</v>
      </c>
      <c r="N91" s="87" t="s">
        <v>76</v>
      </c>
      <c r="O91" s="87" t="s">
        <v>35</v>
      </c>
      <c r="P91" s="617"/>
      <c r="Q91" s="1952"/>
      <c r="S91" s="2899"/>
    </row>
    <row r="92" spans="2:20" ht="9" customHeight="1" x14ac:dyDescent="0.25">
      <c r="B92" s="2058"/>
      <c r="C92" s="385"/>
      <c r="D92" s="297"/>
      <c r="E92" s="658"/>
      <c r="F92" s="299"/>
      <c r="G92" s="685"/>
      <c r="H92" s="271"/>
      <c r="I92" s="271"/>
      <c r="J92" s="300"/>
      <c r="K92" s="300"/>
      <c r="L92" s="300"/>
      <c r="M92" s="300"/>
      <c r="N92" s="87"/>
      <c r="O92" s="87"/>
      <c r="P92" s="617"/>
      <c r="Q92" s="1952"/>
      <c r="S92" s="2899"/>
    </row>
    <row r="93" spans="2:20" ht="27" customHeight="1" x14ac:dyDescent="0.25">
      <c r="B93" s="2058"/>
      <c r="C93" s="385"/>
      <c r="D93" s="297"/>
      <c r="E93" s="658"/>
      <c r="F93" s="299"/>
      <c r="G93" s="501"/>
      <c r="H93" s="2939" t="s">
        <v>130</v>
      </c>
      <c r="I93" s="2939"/>
      <c r="J93" s="2828"/>
      <c r="K93" s="2860"/>
      <c r="L93" s="2860"/>
      <c r="M93" s="2860"/>
      <c r="N93" s="2860"/>
      <c r="O93" s="2829"/>
      <c r="P93" s="617"/>
      <c r="Q93" s="1952"/>
      <c r="S93" s="2899"/>
    </row>
    <row r="94" spans="2:20" ht="15" customHeight="1" x14ac:dyDescent="0.25">
      <c r="B94" s="1960"/>
      <c r="C94" s="385"/>
      <c r="D94" s="301"/>
      <c r="E94" s="278"/>
      <c r="F94" s="289"/>
      <c r="G94" s="278"/>
      <c r="H94" s="289"/>
      <c r="I94" s="277"/>
      <c r="J94" s="278"/>
      <c r="K94" s="289"/>
      <c r="L94" s="278"/>
      <c r="M94" s="289"/>
      <c r="N94" s="278"/>
      <c r="O94" s="289"/>
      <c r="P94" s="617"/>
      <c r="Q94" s="1952"/>
      <c r="S94" s="2899"/>
    </row>
    <row r="95" spans="2:20" ht="12.75" customHeight="1" x14ac:dyDescent="0.25">
      <c r="B95" s="1960"/>
      <c r="C95" s="639"/>
      <c r="D95" s="297"/>
      <c r="E95" s="658"/>
      <c r="F95" s="615"/>
      <c r="G95" s="658"/>
      <c r="H95" s="615"/>
      <c r="I95" s="55"/>
      <c r="J95" s="658"/>
      <c r="K95" s="615"/>
      <c r="L95" s="658"/>
      <c r="M95" s="615"/>
      <c r="N95" s="658"/>
      <c r="O95" s="615"/>
      <c r="P95" s="617"/>
      <c r="Q95" s="1952"/>
      <c r="S95" s="2899"/>
    </row>
    <row r="96" spans="2:20" ht="27" customHeight="1" x14ac:dyDescent="0.25">
      <c r="B96" s="1960"/>
      <c r="C96" s="385"/>
      <c r="D96" s="675" t="s">
        <v>77</v>
      </c>
      <c r="E96" s="457" t="s">
        <v>2032</v>
      </c>
      <c r="F96" s="85"/>
      <c r="G96" s="85"/>
      <c r="H96" s="85"/>
      <c r="I96" s="85"/>
      <c r="J96" s="2939" t="s">
        <v>1468</v>
      </c>
      <c r="K96" s="2939"/>
      <c r="L96" s="2985"/>
      <c r="M96" s="2828"/>
      <c r="N96" s="2860"/>
      <c r="O96" s="2829"/>
      <c r="P96" s="272"/>
      <c r="Q96" s="1952"/>
      <c r="S96" s="2899"/>
      <c r="T96" s="302"/>
    </row>
    <row r="97" spans="2:21" ht="17.25" customHeight="1" x14ac:dyDescent="0.25">
      <c r="B97" s="1960"/>
      <c r="C97" s="385"/>
      <c r="D97" s="381"/>
      <c r="E97" s="384"/>
      <c r="F97" s="85"/>
      <c r="G97" s="85"/>
      <c r="H97" s="85"/>
      <c r="I97" s="85"/>
      <c r="J97" s="85"/>
      <c r="K97" s="85"/>
      <c r="L97" s="85"/>
      <c r="M97" s="85"/>
      <c r="N97" s="85"/>
      <c r="O97" s="451"/>
      <c r="P97" s="272"/>
      <c r="Q97" s="1952"/>
      <c r="S97" s="2899"/>
      <c r="T97" s="302"/>
    </row>
    <row r="98" spans="2:21" ht="18" customHeight="1" x14ac:dyDescent="0.25">
      <c r="B98" s="2058" t="str">
        <f>IF(OR(O81=1,O81=2),"",IF(OR(ISBLANK(G98),ISBLANK(J98),ISBLANK(K98),ISBLANK(L98),ISBLANK(M98),ISBLANK(N98))=FALSE,"","u"))</f>
        <v>u</v>
      </c>
      <c r="C98" s="385"/>
      <c r="D98" s="297"/>
      <c r="F98" s="298" t="s">
        <v>283</v>
      </c>
      <c r="G98" s="574"/>
      <c r="H98" s="2939" t="s">
        <v>282</v>
      </c>
      <c r="I98" s="2939"/>
      <c r="J98" s="578"/>
      <c r="K98" s="578"/>
      <c r="L98" s="578"/>
      <c r="M98" s="578"/>
      <c r="N98" s="578"/>
      <c r="O98" s="730">
        <f>1-J98-K98-L98-M98-N98</f>
        <v>1</v>
      </c>
      <c r="P98" s="617"/>
      <c r="Q98" s="1952"/>
      <c r="S98" s="2899"/>
    </row>
    <row r="99" spans="2:21" ht="6.75" customHeight="1" x14ac:dyDescent="0.25">
      <c r="B99" s="1960"/>
      <c r="C99" s="385"/>
      <c r="D99" s="297"/>
      <c r="E99" s="85"/>
      <c r="F99" s="85"/>
      <c r="G99" s="85"/>
      <c r="H99" s="2939"/>
      <c r="I99" s="2939"/>
      <c r="J99" s="85"/>
      <c r="K99" s="85"/>
      <c r="L99" s="85"/>
      <c r="M99" s="85"/>
      <c r="N99" s="85"/>
      <c r="O99" s="85"/>
      <c r="P99" s="272"/>
      <c r="Q99" s="1952"/>
      <c r="S99" s="2899"/>
    </row>
    <row r="100" spans="2:21" ht="17.25" customHeight="1" x14ac:dyDescent="0.25">
      <c r="B100" s="2058" t="str">
        <f>IF(OR(O81=1,O81=2),"",IF(ISBLANK(G100)=FALSE,"","u"))</f>
        <v>u</v>
      </c>
      <c r="C100" s="385"/>
      <c r="D100" s="297"/>
      <c r="E100" s="658"/>
      <c r="F100" s="299" t="s">
        <v>71</v>
      </c>
      <c r="G100" s="575"/>
      <c r="H100" s="271"/>
      <c r="I100" s="271"/>
      <c r="J100" s="300" t="s">
        <v>72</v>
      </c>
      <c r="K100" s="300" t="s">
        <v>73</v>
      </c>
      <c r="L100" s="300" t="s">
        <v>74</v>
      </c>
      <c r="M100" s="300" t="s">
        <v>75</v>
      </c>
      <c r="N100" s="87" t="s">
        <v>76</v>
      </c>
      <c r="O100" s="300" t="s">
        <v>35</v>
      </c>
      <c r="P100" s="617"/>
      <c r="Q100" s="1952"/>
      <c r="S100" s="2899"/>
    </row>
    <row r="101" spans="2:21" ht="9" customHeight="1" x14ac:dyDescent="0.25">
      <c r="B101" s="2058"/>
      <c r="C101" s="385"/>
      <c r="D101" s="297"/>
      <c r="E101" s="658"/>
      <c r="F101" s="299"/>
      <c r="G101" s="685"/>
      <c r="H101" s="271"/>
      <c r="I101" s="271"/>
      <c r="J101" s="300"/>
      <c r="K101" s="300"/>
      <c r="L101" s="300"/>
      <c r="M101" s="300"/>
      <c r="N101" s="87"/>
      <c r="O101" s="87"/>
      <c r="P101" s="617"/>
      <c r="Q101" s="1952"/>
      <c r="S101" s="2899"/>
    </row>
    <row r="102" spans="2:21" ht="27" customHeight="1" x14ac:dyDescent="0.25">
      <c r="B102" s="2058"/>
      <c r="C102" s="385"/>
      <c r="D102" s="297"/>
      <c r="E102" s="658"/>
      <c r="F102" s="299"/>
      <c r="G102" s="501"/>
      <c r="H102" s="2939" t="s">
        <v>130</v>
      </c>
      <c r="I102" s="2939"/>
      <c r="J102" s="2828"/>
      <c r="K102" s="2860"/>
      <c r="L102" s="2860"/>
      <c r="M102" s="2860"/>
      <c r="N102" s="2860"/>
      <c r="O102" s="2829"/>
      <c r="P102" s="617"/>
      <c r="Q102" s="1952"/>
      <c r="S102" s="2899"/>
    </row>
    <row r="103" spans="2:21" ht="15" customHeight="1" x14ac:dyDescent="0.25">
      <c r="B103" s="1960"/>
      <c r="C103" s="677"/>
      <c r="D103" s="297"/>
      <c r="E103" s="658"/>
      <c r="F103" s="615"/>
      <c r="G103" s="658"/>
      <c r="H103" s="615"/>
      <c r="I103" s="55"/>
      <c r="J103" s="658"/>
      <c r="K103" s="615"/>
      <c r="L103" s="658"/>
      <c r="M103" s="615"/>
      <c r="N103" s="658"/>
      <c r="O103" s="615"/>
      <c r="P103" s="617"/>
      <c r="Q103" s="1952"/>
      <c r="S103" s="2899"/>
    </row>
    <row r="104" spans="2:21" ht="12.75" customHeight="1" x14ac:dyDescent="0.25">
      <c r="B104" s="1960"/>
      <c r="C104" s="677"/>
      <c r="D104" s="387"/>
      <c r="E104" s="366"/>
      <c r="F104" s="367"/>
      <c r="G104" s="366"/>
      <c r="H104" s="367"/>
      <c r="I104" s="374"/>
      <c r="J104" s="366"/>
      <c r="K104" s="367"/>
      <c r="L104" s="366"/>
      <c r="M104" s="367"/>
      <c r="N104" s="366"/>
      <c r="O104" s="367"/>
      <c r="P104" s="617"/>
      <c r="Q104" s="1952"/>
      <c r="S104" s="2899"/>
    </row>
    <row r="105" spans="2:21" ht="27" customHeight="1" x14ac:dyDescent="0.25">
      <c r="B105" s="1960"/>
      <c r="C105" s="452"/>
      <c r="D105" s="645" t="s">
        <v>284</v>
      </c>
      <c r="E105" s="646" t="s">
        <v>1858</v>
      </c>
      <c r="F105" s="510"/>
      <c r="G105" s="510"/>
      <c r="H105" s="510"/>
      <c r="I105" s="510"/>
      <c r="J105" s="2939" t="s">
        <v>1468</v>
      </c>
      <c r="K105" s="2939"/>
      <c r="L105" s="2985"/>
      <c r="M105" s="2828"/>
      <c r="N105" s="2860"/>
      <c r="O105" s="2829"/>
      <c r="P105" s="617"/>
      <c r="Q105" s="1952"/>
      <c r="S105" s="2899"/>
      <c r="U105" s="28" t="s">
        <v>124</v>
      </c>
    </row>
    <row r="106" spans="2:21" ht="27" customHeight="1" x14ac:dyDescent="0.25">
      <c r="B106" s="1960"/>
      <c r="C106" s="452"/>
      <c r="D106" s="463"/>
      <c r="E106" s="2986" t="s">
        <v>1620</v>
      </c>
      <c r="F106" s="2986"/>
      <c r="G106" s="2986"/>
      <c r="H106" s="2986"/>
      <c r="I106" s="2986"/>
      <c r="J106" s="2986"/>
      <c r="K106" s="2986"/>
      <c r="L106" s="2986"/>
      <c r="M106" s="2986"/>
      <c r="N106" s="2986"/>
      <c r="O106" s="2986"/>
      <c r="P106" s="617"/>
      <c r="Q106" s="1952"/>
      <c r="S106" s="2899"/>
    </row>
    <row r="107" spans="2:21" ht="13.5" customHeight="1" x14ac:dyDescent="0.25">
      <c r="B107" s="1960"/>
      <c r="C107" s="452"/>
      <c r="D107" s="459"/>
      <c r="E107" s="461"/>
      <c r="F107" s="461"/>
      <c r="G107" s="461"/>
      <c r="H107" s="461"/>
      <c r="I107" s="461"/>
      <c r="J107" s="461"/>
      <c r="K107" s="461"/>
      <c r="L107" s="461"/>
      <c r="M107" s="461"/>
      <c r="N107" s="461"/>
      <c r="O107" s="461"/>
      <c r="P107" s="617"/>
      <c r="Q107" s="1952"/>
      <c r="S107" s="2899"/>
    </row>
    <row r="108" spans="2:21" ht="18" customHeight="1" x14ac:dyDescent="0.25">
      <c r="B108" s="1960"/>
      <c r="C108" s="452"/>
      <c r="D108" s="459"/>
      <c r="E108" s="460"/>
      <c r="F108" s="298" t="s">
        <v>70</v>
      </c>
      <c r="G108" s="576"/>
      <c r="H108" s="3017" t="s">
        <v>287</v>
      </c>
      <c r="I108" s="3018"/>
      <c r="J108" s="2863"/>
      <c r="K108" s="2864"/>
      <c r="L108" s="2864"/>
      <c r="M108" s="2864"/>
      <c r="N108" s="2864"/>
      <c r="O108" s="2865"/>
      <c r="P108" s="617"/>
      <c r="Q108" s="1952"/>
      <c r="S108" s="2899"/>
    </row>
    <row r="109" spans="2:21" ht="9.75" customHeight="1" x14ac:dyDescent="0.25">
      <c r="B109" s="1960"/>
      <c r="C109" s="677"/>
      <c r="D109" s="296"/>
      <c r="E109" s="386"/>
      <c r="F109" s="386"/>
      <c r="G109" s="386"/>
      <c r="H109" s="464"/>
      <c r="I109" s="464"/>
      <c r="J109" s="386"/>
      <c r="K109" s="386"/>
      <c r="L109" s="386"/>
      <c r="M109" s="386"/>
      <c r="N109" s="386"/>
      <c r="O109" s="386"/>
      <c r="P109" s="617"/>
      <c r="Q109" s="1952"/>
      <c r="S109" s="2899"/>
    </row>
    <row r="110" spans="2:21" ht="18" customHeight="1" x14ac:dyDescent="0.25">
      <c r="B110" s="1960"/>
      <c r="C110" s="452"/>
      <c r="D110" s="459"/>
      <c r="E110" s="460"/>
      <c r="F110" s="298" t="s">
        <v>283</v>
      </c>
      <c r="G110" s="576"/>
      <c r="H110" s="3017" t="s">
        <v>287</v>
      </c>
      <c r="I110" s="3018"/>
      <c r="J110" s="2863"/>
      <c r="K110" s="2864"/>
      <c r="L110" s="2864"/>
      <c r="M110" s="2864"/>
      <c r="N110" s="2864"/>
      <c r="O110" s="2865"/>
      <c r="P110" s="617"/>
      <c r="Q110" s="1952"/>
      <c r="S110" s="2899"/>
    </row>
    <row r="111" spans="2:21" ht="9.75" customHeight="1" x14ac:dyDescent="0.25">
      <c r="B111" s="1960"/>
      <c r="C111" s="677"/>
      <c r="D111" s="296"/>
      <c r="E111" s="386"/>
      <c r="F111" s="386"/>
      <c r="G111" s="386"/>
      <c r="H111" s="386"/>
      <c r="I111" s="386"/>
      <c r="J111" s="386"/>
      <c r="K111" s="386"/>
      <c r="L111" s="386"/>
      <c r="M111" s="386"/>
      <c r="N111" s="386"/>
      <c r="O111" s="386"/>
      <c r="P111" s="617"/>
      <c r="Q111" s="1952"/>
      <c r="S111" s="2899"/>
    </row>
    <row r="112" spans="2:21" ht="17.25" customHeight="1" x14ac:dyDescent="0.25">
      <c r="B112" s="1960"/>
      <c r="C112" s="677"/>
      <c r="D112" s="296"/>
      <c r="E112" s="658"/>
      <c r="F112" s="462" t="s">
        <v>71</v>
      </c>
      <c r="G112" s="577"/>
      <c r="H112" s="615"/>
      <c r="I112" s="389"/>
      <c r="P112" s="617"/>
      <c r="Q112" s="1952"/>
      <c r="S112" s="2899"/>
    </row>
    <row r="113" spans="2:19" ht="9" customHeight="1" x14ac:dyDescent="0.25">
      <c r="B113" s="2058"/>
      <c r="C113" s="385"/>
      <c r="D113" s="297"/>
      <c r="E113" s="658"/>
      <c r="F113" s="299"/>
      <c r="G113" s="685"/>
      <c r="H113" s="271"/>
      <c r="I113" s="271"/>
      <c r="J113" s="300"/>
      <c r="K113" s="300"/>
      <c r="L113" s="300"/>
      <c r="M113" s="300"/>
      <c r="N113" s="87"/>
      <c r="O113" s="87"/>
      <c r="P113" s="617"/>
      <c r="Q113" s="1952"/>
      <c r="S113" s="2899"/>
    </row>
    <row r="114" spans="2:19" ht="27" customHeight="1" x14ac:dyDescent="0.25">
      <c r="B114" s="2058"/>
      <c r="C114" s="385"/>
      <c r="D114" s="297"/>
      <c r="E114" s="658"/>
      <c r="F114" s="299"/>
      <c r="G114" s="501"/>
      <c r="H114" s="2939" t="s">
        <v>130</v>
      </c>
      <c r="I114" s="2939"/>
      <c r="J114" s="2828"/>
      <c r="K114" s="2860"/>
      <c r="L114" s="2860"/>
      <c r="M114" s="2860"/>
      <c r="N114" s="2860"/>
      <c r="O114" s="2829"/>
      <c r="P114" s="617"/>
      <c r="Q114" s="1952"/>
      <c r="S114" s="2899"/>
    </row>
    <row r="115" spans="2:19" ht="15" customHeight="1" x14ac:dyDescent="0.25">
      <c r="B115" s="1960"/>
      <c r="C115" s="677"/>
      <c r="D115" s="297"/>
      <c r="E115" s="658"/>
      <c r="F115" s="615"/>
      <c r="G115" s="658"/>
      <c r="H115" s="615"/>
      <c r="I115" s="55"/>
      <c r="J115" s="658"/>
      <c r="K115" s="615"/>
      <c r="L115" s="658"/>
      <c r="M115" s="615"/>
      <c r="N115" s="658"/>
      <c r="O115" s="615"/>
      <c r="P115" s="617"/>
      <c r="Q115" s="1952"/>
      <c r="S115" s="2899"/>
    </row>
    <row r="116" spans="2:19" ht="14.25" customHeight="1" x14ac:dyDescent="0.25">
      <c r="B116" s="1960"/>
      <c r="C116" s="2073"/>
      <c r="D116" s="2074"/>
      <c r="E116" s="2073"/>
      <c r="F116" s="2073"/>
      <c r="G116" s="2073"/>
      <c r="H116" s="2073"/>
      <c r="I116" s="2073"/>
      <c r="J116" s="2073"/>
      <c r="K116" s="2073"/>
      <c r="L116" s="2073"/>
      <c r="M116" s="2073"/>
      <c r="N116" s="2073"/>
      <c r="O116" s="2073"/>
      <c r="P116" s="2073"/>
      <c r="Q116" s="1952"/>
      <c r="S116" s="2899"/>
    </row>
    <row r="117" spans="2:19" ht="13.5" customHeight="1" x14ac:dyDescent="0.25">
      <c r="B117" s="1960"/>
      <c r="C117" s="264"/>
      <c r="D117" s="303"/>
      <c r="E117" s="266"/>
      <c r="F117" s="266"/>
      <c r="G117" s="266"/>
      <c r="H117" s="266"/>
      <c r="I117" s="266"/>
      <c r="J117" s="266"/>
      <c r="K117" s="266"/>
      <c r="L117" s="266"/>
      <c r="M117" s="266"/>
      <c r="N117" s="266"/>
      <c r="O117" s="266"/>
      <c r="P117" s="267"/>
      <c r="Q117" s="1952"/>
      <c r="S117" s="2899"/>
    </row>
    <row r="118" spans="2:19" ht="3.75" customHeight="1" x14ac:dyDescent="0.25">
      <c r="B118" s="1960"/>
      <c r="C118" s="2984" t="s">
        <v>2025</v>
      </c>
      <c r="P118" s="272"/>
      <c r="Q118" s="1952"/>
      <c r="S118" s="2899"/>
    </row>
    <row r="119" spans="2:19" ht="9" customHeight="1" x14ac:dyDescent="0.25">
      <c r="B119" s="1960"/>
      <c r="C119" s="2984"/>
      <c r="D119" s="2987" t="s">
        <v>2024</v>
      </c>
      <c r="E119" s="2987"/>
      <c r="F119" s="2987"/>
      <c r="G119" s="2987"/>
      <c r="P119" s="272"/>
      <c r="Q119" s="1952"/>
      <c r="S119" s="2899"/>
    </row>
    <row r="120" spans="2:19" ht="18" customHeight="1" x14ac:dyDescent="0.25">
      <c r="B120" s="2058" t="str">
        <f>IF(ISBLANK(H120)=FALSE,"","u")</f>
        <v>u</v>
      </c>
      <c r="C120" s="2984"/>
      <c r="D120" s="2987"/>
      <c r="E120" s="2987"/>
      <c r="F120" s="2987"/>
      <c r="G120" s="2987"/>
      <c r="H120" s="2988"/>
      <c r="I120" s="2989"/>
      <c r="J120" s="2989"/>
      <c r="K120" s="2989"/>
      <c r="L120" s="2989"/>
      <c r="M120" s="2990"/>
      <c r="O120" s="1048" t="str">
        <f>IF(ISNA(VLOOKUP('FORMULAIRE PGA Eaux usées'!H120,'MENU DÉROULANT'!F28:H32,3,FALSE)),"",VLOOKUP('FORMULAIRE PGA Eaux usées'!H120,'MENU DÉROULANT'!F28:H32,3,FALSE))</f>
        <v/>
      </c>
      <c r="P120" s="272"/>
      <c r="Q120" s="1952"/>
      <c r="S120" s="2899"/>
    </row>
    <row r="121" spans="2:19" ht="30.75" customHeight="1" x14ac:dyDescent="0.25">
      <c r="B121" s="1960"/>
      <c r="C121" s="2984"/>
      <c r="D121" s="659"/>
      <c r="E121" s="659"/>
      <c r="F121" s="659"/>
      <c r="G121" s="659"/>
      <c r="H121" s="2991" t="str">
        <f>IF(H120='MENU DÉROULANT'!F28,"Notez que toutes les sections concernant ce sous-service ne seront donc pas remplies et qu'il n'y aura donc pas de visuel dans le sommaire pour ce sous-service. Une note apparaitra toutefois à ce sujet sur le sommaire.","")</f>
        <v/>
      </c>
      <c r="I121" s="2991"/>
      <c r="J121" s="2991"/>
      <c r="K121" s="2991"/>
      <c r="L121" s="2991"/>
      <c r="M121" s="2991"/>
      <c r="P121" s="272"/>
      <c r="Q121" s="1952"/>
      <c r="S121" s="2899"/>
    </row>
    <row r="122" spans="2:19" ht="9.75" customHeight="1" x14ac:dyDescent="0.25">
      <c r="B122" s="1960"/>
      <c r="C122" s="2984"/>
      <c r="P122" s="272"/>
      <c r="Q122" s="1952"/>
      <c r="S122" s="2899"/>
    </row>
    <row r="123" spans="2:19" ht="27" customHeight="1" x14ac:dyDescent="0.25">
      <c r="B123" s="1960"/>
      <c r="C123" s="2984"/>
      <c r="F123" s="2939" t="s">
        <v>130</v>
      </c>
      <c r="G123" s="2939"/>
      <c r="H123" s="2828"/>
      <c r="I123" s="2860"/>
      <c r="J123" s="2860"/>
      <c r="K123" s="2860"/>
      <c r="L123" s="2860"/>
      <c r="M123" s="2829"/>
      <c r="P123" s="272"/>
      <c r="Q123" s="1952"/>
      <c r="S123" s="2899"/>
    </row>
    <row r="124" spans="2:19" ht="15" customHeight="1" x14ac:dyDescent="0.25">
      <c r="B124" s="1960"/>
      <c r="C124" s="2984"/>
      <c r="D124" s="517"/>
      <c r="E124" s="517"/>
      <c r="F124" s="517"/>
      <c r="G124" s="517"/>
      <c r="H124" s="517"/>
      <c r="I124" s="517"/>
      <c r="J124" s="517"/>
      <c r="K124" s="517"/>
      <c r="L124" s="517"/>
      <c r="M124" s="517"/>
      <c r="N124" s="517"/>
      <c r="O124" s="517"/>
      <c r="P124" s="272"/>
      <c r="Q124" s="1952"/>
      <c r="S124" s="2899"/>
    </row>
    <row r="125" spans="2:19" ht="12.75" customHeight="1" x14ac:dyDescent="0.25">
      <c r="B125" s="1960"/>
      <c r="C125" s="385"/>
      <c r="P125" s="272"/>
      <c r="Q125" s="1952"/>
      <c r="S125" s="2899"/>
    </row>
    <row r="126" spans="2:19" ht="27" customHeight="1" x14ac:dyDescent="0.25">
      <c r="B126" s="1960"/>
      <c r="C126" s="385"/>
      <c r="D126" s="675" t="s">
        <v>69</v>
      </c>
      <c r="E126" s="457" t="s">
        <v>2030</v>
      </c>
      <c r="F126" s="85"/>
      <c r="G126" s="85"/>
      <c r="H126" s="85"/>
      <c r="I126" s="85"/>
      <c r="J126" s="2939" t="s">
        <v>1468</v>
      </c>
      <c r="K126" s="2939"/>
      <c r="L126" s="2985"/>
      <c r="M126" s="2828"/>
      <c r="N126" s="2860"/>
      <c r="O126" s="2829"/>
      <c r="P126" s="272"/>
      <c r="Q126" s="1952"/>
      <c r="R126" s="422"/>
      <c r="S126" s="2899"/>
    </row>
    <row r="127" spans="2:19" ht="17.25" customHeight="1" x14ac:dyDescent="0.25">
      <c r="B127" s="1960"/>
      <c r="C127" s="385"/>
      <c r="D127" s="382"/>
      <c r="E127" s="383"/>
      <c r="F127" s="85"/>
      <c r="G127" s="85"/>
      <c r="H127" s="85"/>
      <c r="I127" s="85"/>
      <c r="J127" s="85"/>
      <c r="K127" s="85"/>
      <c r="L127" s="85"/>
      <c r="M127" s="85"/>
      <c r="N127" s="85"/>
      <c r="O127" s="451"/>
      <c r="P127" s="272"/>
      <c r="Q127" s="1952"/>
      <c r="S127" s="2899"/>
    </row>
    <row r="128" spans="2:19" ht="18" customHeight="1" x14ac:dyDescent="0.25">
      <c r="B128" s="2058" t="str">
        <f>IF(OR(O120=1,O120=3),"",IF(OR(ISBLANK(G128),ISBLANK(J128),ISBLANK(K128),ISBLANK(L128),ISBLANK(M128),ISBLANK(N128))=FALSE,"","u"))</f>
        <v>u</v>
      </c>
      <c r="C128" s="385"/>
      <c r="D128" s="297"/>
      <c r="F128" s="298" t="s">
        <v>70</v>
      </c>
      <c r="G128" s="574"/>
      <c r="H128" s="2939" t="s">
        <v>282</v>
      </c>
      <c r="I128" s="2939"/>
      <c r="J128" s="578"/>
      <c r="K128" s="578"/>
      <c r="L128" s="578"/>
      <c r="M128" s="578"/>
      <c r="N128" s="578"/>
      <c r="O128" s="730">
        <f>1-J128-K128-L128-M128-N128</f>
        <v>1</v>
      </c>
      <c r="P128" s="617"/>
      <c r="Q128" s="1952"/>
      <c r="S128" s="2899"/>
    </row>
    <row r="129" spans="2:20" ht="6.75" customHeight="1" x14ac:dyDescent="0.25">
      <c r="B129" s="1960"/>
      <c r="C129" s="385"/>
      <c r="D129" s="297"/>
      <c r="E129" s="85"/>
      <c r="F129" s="85"/>
      <c r="G129" s="85"/>
      <c r="H129" s="2939"/>
      <c r="I129" s="2939"/>
      <c r="J129" s="85"/>
      <c r="K129" s="85"/>
      <c r="L129" s="85"/>
      <c r="M129" s="85"/>
      <c r="N129" s="85"/>
      <c r="O129" s="85"/>
      <c r="P129" s="272"/>
      <c r="Q129" s="1952"/>
      <c r="S129" s="2899"/>
    </row>
    <row r="130" spans="2:20" ht="17.25" customHeight="1" x14ac:dyDescent="0.25">
      <c r="B130" s="2058" t="str">
        <f>IF(OR(O120=1,O120=3),"",IF(ISBLANK(G130)=FALSE,"","u"))</f>
        <v>u</v>
      </c>
      <c r="C130" s="385"/>
      <c r="D130" s="297"/>
      <c r="E130" s="658"/>
      <c r="F130" s="299" t="s">
        <v>71</v>
      </c>
      <c r="G130" s="575"/>
      <c r="H130" s="271"/>
      <c r="I130" s="271"/>
      <c r="J130" s="300" t="s">
        <v>72</v>
      </c>
      <c r="K130" s="300" t="s">
        <v>73</v>
      </c>
      <c r="L130" s="300" t="s">
        <v>74</v>
      </c>
      <c r="M130" s="300" t="s">
        <v>75</v>
      </c>
      <c r="N130" s="87" t="s">
        <v>76</v>
      </c>
      <c r="O130" s="300" t="s">
        <v>35</v>
      </c>
      <c r="P130" s="617"/>
      <c r="Q130" s="1952"/>
      <c r="S130" s="2899"/>
    </row>
    <row r="131" spans="2:20" ht="9" customHeight="1" x14ac:dyDescent="0.25">
      <c r="B131" s="2058"/>
      <c r="C131" s="385"/>
      <c r="D131" s="297"/>
      <c r="E131" s="658"/>
      <c r="F131" s="299"/>
      <c r="G131" s="685"/>
      <c r="H131" s="271"/>
      <c r="I131" s="271"/>
      <c r="J131" s="300"/>
      <c r="K131" s="300"/>
      <c r="L131" s="300"/>
      <c r="M131" s="300"/>
      <c r="N131" s="87"/>
      <c r="O131" s="87"/>
      <c r="P131" s="617"/>
      <c r="Q131" s="1952"/>
      <c r="S131" s="2899"/>
    </row>
    <row r="132" spans="2:20" ht="27" customHeight="1" x14ac:dyDescent="0.25">
      <c r="B132" s="2058"/>
      <c r="C132" s="385"/>
      <c r="D132" s="297"/>
      <c r="E132" s="658"/>
      <c r="F132" s="299"/>
      <c r="G132" s="501"/>
      <c r="H132" s="2939" t="s">
        <v>130</v>
      </c>
      <c r="I132" s="2939"/>
      <c r="J132" s="2828"/>
      <c r="K132" s="2860"/>
      <c r="L132" s="2860"/>
      <c r="M132" s="2860"/>
      <c r="N132" s="2860"/>
      <c r="O132" s="2829"/>
      <c r="P132" s="617"/>
      <c r="Q132" s="1952"/>
      <c r="S132" s="2899"/>
    </row>
    <row r="133" spans="2:20" ht="15" customHeight="1" x14ac:dyDescent="0.25">
      <c r="B133" s="1960"/>
      <c r="C133" s="385"/>
      <c r="D133" s="301"/>
      <c r="E133" s="278"/>
      <c r="F133" s="289"/>
      <c r="G133" s="278"/>
      <c r="H133" s="289"/>
      <c r="I133" s="277"/>
      <c r="J133" s="278"/>
      <c r="K133" s="289"/>
      <c r="L133" s="278"/>
      <c r="M133" s="289"/>
      <c r="N133" s="278"/>
      <c r="O133" s="289"/>
      <c r="P133" s="617"/>
      <c r="Q133" s="1952"/>
      <c r="S133" s="2899"/>
    </row>
    <row r="134" spans="2:20" ht="12.75" customHeight="1" x14ac:dyDescent="0.25">
      <c r="B134" s="1960"/>
      <c r="C134" s="639"/>
      <c r="D134" s="297"/>
      <c r="E134" s="658"/>
      <c r="F134" s="615"/>
      <c r="G134" s="658"/>
      <c r="H134" s="615"/>
      <c r="I134" s="55"/>
      <c r="J134" s="658"/>
      <c r="K134" s="615"/>
      <c r="L134" s="658"/>
      <c r="M134" s="615"/>
      <c r="N134" s="658"/>
      <c r="O134" s="615"/>
      <c r="P134" s="617"/>
      <c r="Q134" s="1952"/>
      <c r="S134" s="2899"/>
    </row>
    <row r="135" spans="2:20" ht="27" customHeight="1" x14ac:dyDescent="0.25">
      <c r="B135" s="1960"/>
      <c r="C135" s="104"/>
      <c r="D135" s="675" t="s">
        <v>77</v>
      </c>
      <c r="E135" s="457" t="s">
        <v>2033</v>
      </c>
      <c r="F135" s="85"/>
      <c r="G135" s="85"/>
      <c r="H135" s="85"/>
      <c r="I135" s="85"/>
      <c r="J135" s="2939" t="s">
        <v>1468</v>
      </c>
      <c r="K135" s="2939"/>
      <c r="L135" s="2985"/>
      <c r="M135" s="2828"/>
      <c r="N135" s="2860"/>
      <c r="O135" s="2829"/>
      <c r="P135" s="272"/>
      <c r="Q135" s="1952"/>
      <c r="S135" s="2899"/>
      <c r="T135" s="302"/>
    </row>
    <row r="136" spans="2:20" ht="17.25" customHeight="1" x14ac:dyDescent="0.25">
      <c r="B136" s="1960"/>
      <c r="C136" s="104"/>
      <c r="D136" s="381"/>
      <c r="E136" s="384"/>
      <c r="F136" s="85"/>
      <c r="G136" s="85"/>
      <c r="H136" s="85"/>
      <c r="I136" s="85"/>
      <c r="J136" s="85"/>
      <c r="K136" s="85"/>
      <c r="L136" s="85"/>
      <c r="M136" s="85"/>
      <c r="N136" s="85"/>
      <c r="O136" s="451"/>
      <c r="P136" s="272"/>
      <c r="Q136" s="1952"/>
      <c r="S136" s="2899"/>
      <c r="T136" s="302"/>
    </row>
    <row r="137" spans="2:20" ht="18" customHeight="1" x14ac:dyDescent="0.25">
      <c r="B137" s="2058" t="str">
        <f>IF(OR(O120=1,O120=2),"",IF(OR(ISBLANK(G137),ISBLANK(J137),ISBLANK(K137),ISBLANK(L137),ISBLANK(M137),ISBLANK(N137))=FALSE,"","u"))</f>
        <v>u</v>
      </c>
      <c r="C137" s="104"/>
      <c r="D137" s="297"/>
      <c r="F137" s="298" t="s">
        <v>283</v>
      </c>
      <c r="G137" s="574"/>
      <c r="H137" s="2939" t="s">
        <v>282</v>
      </c>
      <c r="I137" s="2939"/>
      <c r="J137" s="578"/>
      <c r="K137" s="578"/>
      <c r="L137" s="578"/>
      <c r="M137" s="578"/>
      <c r="N137" s="578"/>
      <c r="O137" s="730">
        <f>1-J137-K137-L137-M137-N137</f>
        <v>1</v>
      </c>
      <c r="P137" s="617"/>
      <c r="Q137" s="1952"/>
      <c r="S137" s="2899"/>
    </row>
    <row r="138" spans="2:20" ht="6.75" customHeight="1" x14ac:dyDescent="0.25">
      <c r="B138" s="1960"/>
      <c r="C138" s="104"/>
      <c r="D138" s="297"/>
      <c r="E138" s="85"/>
      <c r="F138" s="85"/>
      <c r="G138" s="85"/>
      <c r="H138" s="2939"/>
      <c r="I138" s="2939"/>
      <c r="J138" s="85"/>
      <c r="K138" s="85"/>
      <c r="L138" s="85"/>
      <c r="M138" s="85"/>
      <c r="N138" s="85"/>
      <c r="O138" s="85"/>
      <c r="P138" s="272"/>
      <c r="Q138" s="1952"/>
      <c r="S138" s="2899"/>
    </row>
    <row r="139" spans="2:20" ht="17.25" customHeight="1" x14ac:dyDescent="0.25">
      <c r="B139" s="2058" t="str">
        <f>IF(OR(O120=1,O120=2),"",IF(ISBLANK(G139)=FALSE,"","u"))</f>
        <v>u</v>
      </c>
      <c r="C139" s="104"/>
      <c r="D139" s="297"/>
      <c r="E139" s="658"/>
      <c r="F139" s="299" t="s">
        <v>71</v>
      </c>
      <c r="G139" s="575"/>
      <c r="H139" s="271"/>
      <c r="I139" s="271"/>
      <c r="J139" s="300" t="s">
        <v>72</v>
      </c>
      <c r="K139" s="300" t="s">
        <v>73</v>
      </c>
      <c r="L139" s="300" t="s">
        <v>74</v>
      </c>
      <c r="M139" s="300" t="s">
        <v>75</v>
      </c>
      <c r="N139" s="87" t="s">
        <v>76</v>
      </c>
      <c r="O139" s="300" t="s">
        <v>35</v>
      </c>
      <c r="P139" s="617"/>
      <c r="Q139" s="1952"/>
      <c r="S139" s="2899"/>
    </row>
    <row r="140" spans="2:20" ht="9" customHeight="1" x14ac:dyDescent="0.25">
      <c r="B140" s="2058"/>
      <c r="C140" s="385"/>
      <c r="D140" s="297"/>
      <c r="E140" s="658"/>
      <c r="F140" s="299"/>
      <c r="G140" s="685"/>
      <c r="H140" s="271"/>
      <c r="I140" s="271"/>
      <c r="J140" s="300"/>
      <c r="K140" s="300"/>
      <c r="L140" s="300"/>
      <c r="M140" s="300"/>
      <c r="N140" s="87"/>
      <c r="O140" s="87"/>
      <c r="P140" s="617"/>
      <c r="Q140" s="1952"/>
      <c r="S140" s="2899"/>
    </row>
    <row r="141" spans="2:20" ht="27" customHeight="1" x14ac:dyDescent="0.25">
      <c r="B141" s="2058"/>
      <c r="C141" s="385"/>
      <c r="D141" s="297"/>
      <c r="E141" s="658"/>
      <c r="F141" s="299"/>
      <c r="G141" s="501"/>
      <c r="H141" s="2939" t="s">
        <v>130</v>
      </c>
      <c r="I141" s="2939"/>
      <c r="J141" s="2828"/>
      <c r="K141" s="2860"/>
      <c r="L141" s="2860"/>
      <c r="M141" s="2860"/>
      <c r="N141" s="2860"/>
      <c r="O141" s="2829"/>
      <c r="P141" s="617"/>
      <c r="Q141" s="1952"/>
      <c r="S141" s="2899"/>
    </row>
    <row r="142" spans="2:20" ht="15" customHeight="1" x14ac:dyDescent="0.25">
      <c r="B142" s="1960"/>
      <c r="C142" s="385"/>
      <c r="D142" s="301"/>
      <c r="E142" s="278"/>
      <c r="F142" s="289"/>
      <c r="G142" s="278"/>
      <c r="H142" s="289"/>
      <c r="I142" s="277"/>
      <c r="J142" s="278"/>
      <c r="K142" s="289"/>
      <c r="L142" s="278"/>
      <c r="M142" s="289"/>
      <c r="N142" s="278"/>
      <c r="O142" s="289"/>
      <c r="P142" s="617"/>
      <c r="Q142" s="1952"/>
      <c r="S142" s="2899"/>
    </row>
    <row r="143" spans="2:20" ht="12.75" customHeight="1" x14ac:dyDescent="0.25">
      <c r="B143" s="1960"/>
      <c r="C143" s="639"/>
      <c r="D143" s="297"/>
      <c r="E143" s="658"/>
      <c r="F143" s="615"/>
      <c r="G143" s="658"/>
      <c r="H143" s="615"/>
      <c r="I143" s="55"/>
      <c r="J143" s="658"/>
      <c r="K143" s="615"/>
      <c r="L143" s="658"/>
      <c r="M143" s="615"/>
      <c r="N143" s="658"/>
      <c r="O143" s="615"/>
      <c r="P143" s="617"/>
      <c r="Q143" s="1952"/>
      <c r="S143" s="2899"/>
    </row>
    <row r="144" spans="2:20" ht="27" customHeight="1" x14ac:dyDescent="0.25">
      <c r="B144" s="1960"/>
      <c r="C144" s="104"/>
      <c r="D144" s="645" t="s">
        <v>284</v>
      </c>
      <c r="E144" s="646" t="s">
        <v>1858</v>
      </c>
      <c r="F144" s="510"/>
      <c r="G144" s="510"/>
      <c r="H144" s="510"/>
      <c r="I144" s="510"/>
      <c r="J144" s="2939" t="s">
        <v>1468</v>
      </c>
      <c r="K144" s="2939"/>
      <c r="L144" s="2985"/>
      <c r="M144" s="2828"/>
      <c r="N144" s="2860"/>
      <c r="O144" s="2829"/>
      <c r="P144" s="617"/>
      <c r="Q144" s="1952"/>
      <c r="S144" s="2899"/>
    </row>
    <row r="145" spans="2:19" ht="27" customHeight="1" x14ac:dyDescent="0.25">
      <c r="B145" s="1960"/>
      <c r="C145" s="104"/>
      <c r="D145" s="463"/>
      <c r="E145" s="2986" t="s">
        <v>1619</v>
      </c>
      <c r="F145" s="2986"/>
      <c r="G145" s="2986"/>
      <c r="H145" s="2986"/>
      <c r="I145" s="2986"/>
      <c r="J145" s="2986"/>
      <c r="K145" s="2986"/>
      <c r="L145" s="2986"/>
      <c r="M145" s="2986"/>
      <c r="N145" s="2986"/>
      <c r="O145" s="2986"/>
      <c r="P145" s="617"/>
      <c r="Q145" s="1952"/>
      <c r="S145" s="2899"/>
    </row>
    <row r="146" spans="2:19" ht="13.5" customHeight="1" x14ac:dyDescent="0.25">
      <c r="B146" s="1960"/>
      <c r="C146" s="104"/>
      <c r="D146" s="459"/>
      <c r="E146" s="461"/>
      <c r="F146" s="461"/>
      <c r="G146" s="461"/>
      <c r="H146" s="461"/>
      <c r="I146" s="461"/>
      <c r="J146" s="461"/>
      <c r="K146" s="461"/>
      <c r="L146" s="461"/>
      <c r="M146" s="461"/>
      <c r="N146" s="461"/>
      <c r="O146" s="461"/>
      <c r="P146" s="617"/>
      <c r="Q146" s="1952"/>
      <c r="S146" s="2899"/>
    </row>
    <row r="147" spans="2:19" ht="18" customHeight="1" x14ac:dyDescent="0.25">
      <c r="B147" s="1960"/>
      <c r="C147" s="104"/>
      <c r="D147" s="459"/>
      <c r="E147" s="460"/>
      <c r="F147" s="298" t="s">
        <v>70</v>
      </c>
      <c r="G147" s="576"/>
      <c r="H147" s="3017" t="s">
        <v>287</v>
      </c>
      <c r="I147" s="3018"/>
      <c r="J147" s="2863"/>
      <c r="K147" s="2864"/>
      <c r="L147" s="2864"/>
      <c r="M147" s="2864"/>
      <c r="N147" s="2864"/>
      <c r="O147" s="2865"/>
      <c r="P147" s="617"/>
      <c r="Q147" s="1952"/>
      <c r="S147" s="2899"/>
    </row>
    <row r="148" spans="2:19" ht="9.75" customHeight="1" x14ac:dyDescent="0.25">
      <c r="B148" s="1960"/>
      <c r="C148" s="104"/>
      <c r="D148" s="296"/>
      <c r="E148" s="386"/>
      <c r="F148" s="386"/>
      <c r="G148" s="386"/>
      <c r="H148" s="464"/>
      <c r="I148" s="464"/>
      <c r="J148" s="386"/>
      <c r="K148" s="386"/>
      <c r="L148" s="386"/>
      <c r="M148" s="386"/>
      <c r="N148" s="386"/>
      <c r="O148" s="386"/>
      <c r="P148" s="617"/>
      <c r="Q148" s="1952"/>
      <c r="S148" s="2899"/>
    </row>
    <row r="149" spans="2:19" ht="18" customHeight="1" x14ac:dyDescent="0.25">
      <c r="B149" s="1960"/>
      <c r="C149" s="104"/>
      <c r="D149" s="459"/>
      <c r="E149" s="460"/>
      <c r="F149" s="298" t="s">
        <v>283</v>
      </c>
      <c r="G149" s="576"/>
      <c r="H149" s="3017" t="s">
        <v>287</v>
      </c>
      <c r="I149" s="3018"/>
      <c r="J149" s="2863"/>
      <c r="K149" s="2864"/>
      <c r="L149" s="2864"/>
      <c r="M149" s="2864"/>
      <c r="N149" s="2864"/>
      <c r="O149" s="2865"/>
      <c r="P149" s="617"/>
      <c r="Q149" s="1952"/>
      <c r="S149" s="2899"/>
    </row>
    <row r="150" spans="2:19" ht="9.75" customHeight="1" x14ac:dyDescent="0.25">
      <c r="B150" s="1960"/>
      <c r="C150" s="677"/>
      <c r="D150" s="296"/>
      <c r="E150" s="386"/>
      <c r="F150" s="386"/>
      <c r="G150" s="386"/>
      <c r="H150" s="386"/>
      <c r="I150" s="386"/>
      <c r="J150" s="386"/>
      <c r="K150" s="386"/>
      <c r="L150" s="386"/>
      <c r="M150" s="386"/>
      <c r="N150" s="386"/>
      <c r="O150" s="386"/>
      <c r="P150" s="617"/>
      <c r="Q150" s="1952"/>
      <c r="S150" s="2899"/>
    </row>
    <row r="151" spans="2:19" ht="17.25" customHeight="1" x14ac:dyDescent="0.25">
      <c r="B151" s="1960"/>
      <c r="C151" s="677"/>
      <c r="D151" s="296"/>
      <c r="E151" s="658"/>
      <c r="F151" s="462" t="s">
        <v>71</v>
      </c>
      <c r="G151" s="577"/>
      <c r="H151" s="615"/>
      <c r="I151" s="389"/>
      <c r="P151" s="617"/>
      <c r="Q151" s="1952"/>
      <c r="S151" s="2899"/>
    </row>
    <row r="152" spans="2:19" ht="9" customHeight="1" x14ac:dyDescent="0.25">
      <c r="B152" s="2058"/>
      <c r="C152" s="385"/>
      <c r="D152" s="297"/>
      <c r="E152" s="658"/>
      <c r="F152" s="299"/>
      <c r="G152" s="685"/>
      <c r="H152" s="271"/>
      <c r="I152" s="271"/>
      <c r="J152" s="300"/>
      <c r="K152" s="300"/>
      <c r="L152" s="300"/>
      <c r="M152" s="300"/>
      <c r="N152" s="87"/>
      <c r="O152" s="87"/>
      <c r="P152" s="617"/>
      <c r="Q152" s="1952"/>
      <c r="S152" s="2899"/>
    </row>
    <row r="153" spans="2:19" ht="27" customHeight="1" x14ac:dyDescent="0.25">
      <c r="B153" s="2058"/>
      <c r="C153" s="385"/>
      <c r="D153" s="297"/>
      <c r="E153" s="658"/>
      <c r="F153" s="299"/>
      <c r="G153" s="501"/>
      <c r="H153" s="2939" t="s">
        <v>130</v>
      </c>
      <c r="I153" s="2939"/>
      <c r="J153" s="2828"/>
      <c r="K153" s="2860"/>
      <c r="L153" s="2860"/>
      <c r="M153" s="2860"/>
      <c r="N153" s="2860"/>
      <c r="O153" s="2829"/>
      <c r="P153" s="617"/>
      <c r="Q153" s="1952"/>
      <c r="S153" s="2899"/>
    </row>
    <row r="154" spans="2:19" ht="15" customHeight="1" x14ac:dyDescent="0.25">
      <c r="B154" s="1960"/>
      <c r="C154" s="677"/>
      <c r="D154" s="297"/>
      <c r="E154" s="658"/>
      <c r="F154" s="615"/>
      <c r="G154" s="658"/>
      <c r="H154" s="615"/>
      <c r="I154" s="55"/>
      <c r="J154" s="658"/>
      <c r="K154" s="615"/>
      <c r="L154" s="658"/>
      <c r="M154" s="615"/>
      <c r="N154" s="658"/>
      <c r="O154" s="615"/>
      <c r="P154" s="617"/>
      <c r="Q154" s="1952"/>
      <c r="S154" s="2899"/>
    </row>
    <row r="155" spans="2:19" ht="12" customHeight="1" x14ac:dyDescent="0.25">
      <c r="B155" s="1960"/>
      <c r="C155" s="2073"/>
      <c r="D155" s="2074"/>
      <c r="E155" s="2073"/>
      <c r="F155" s="2073"/>
      <c r="G155" s="2073"/>
      <c r="H155" s="2073"/>
      <c r="I155" s="2073"/>
      <c r="J155" s="2073"/>
      <c r="K155" s="2073"/>
      <c r="L155" s="2073"/>
      <c r="M155" s="2073"/>
      <c r="N155" s="2073"/>
      <c r="O155" s="2073"/>
      <c r="P155" s="2073"/>
      <c r="Q155" s="1952"/>
      <c r="S155" s="2899"/>
    </row>
    <row r="156" spans="2:19" ht="15" customHeight="1" x14ac:dyDescent="0.25">
      <c r="B156" s="1960"/>
      <c r="C156" s="677"/>
      <c r="D156" s="387"/>
      <c r="E156" s="366"/>
      <c r="F156" s="367"/>
      <c r="G156" s="366"/>
      <c r="H156" s="367"/>
      <c r="I156" s="374"/>
      <c r="J156" s="366"/>
      <c r="K156" s="367"/>
      <c r="L156" s="366"/>
      <c r="M156" s="367"/>
      <c r="N156" s="366"/>
      <c r="O156" s="367"/>
      <c r="P156" s="617"/>
      <c r="Q156" s="1952"/>
      <c r="S156" s="2899"/>
    </row>
    <row r="157" spans="2:19" ht="18" customHeight="1" x14ac:dyDescent="0.3">
      <c r="B157" s="2058" t="str">
        <f>IF(ISBLANK(G157)=FALSE,"","u")</f>
        <v>u</v>
      </c>
      <c r="C157" s="2543" t="s">
        <v>220</v>
      </c>
      <c r="D157" s="511" t="s">
        <v>1471</v>
      </c>
      <c r="E157" s="78"/>
      <c r="F157" s="78"/>
      <c r="G157" s="573"/>
      <c r="H157" s="512" t="s">
        <v>289</v>
      </c>
      <c r="L157" s="78"/>
      <c r="M157" s="78"/>
      <c r="N157" s="78"/>
      <c r="O157" s="78"/>
      <c r="P157" s="617"/>
      <c r="Q157" s="1952"/>
      <c r="S157" s="2899"/>
    </row>
    <row r="158" spans="2:19" ht="9.75" customHeight="1" x14ac:dyDescent="0.25">
      <c r="B158" s="1960"/>
      <c r="C158" s="458"/>
      <c r="D158" s="459"/>
      <c r="E158" s="465"/>
      <c r="F158" s="78"/>
      <c r="G158" s="78"/>
      <c r="H158" s="78"/>
      <c r="I158" s="78"/>
      <c r="J158" s="78"/>
      <c r="K158" s="78"/>
      <c r="L158" s="78"/>
      <c r="M158" s="78"/>
      <c r="N158" s="78"/>
      <c r="O158" s="78"/>
      <c r="P158" s="617"/>
      <c r="Q158" s="1952"/>
      <c r="S158" s="2899"/>
    </row>
    <row r="159" spans="2:19" ht="27" customHeight="1" x14ac:dyDescent="0.25">
      <c r="B159" s="1960"/>
      <c r="C159" s="388"/>
      <c r="D159" s="519" t="s">
        <v>1473</v>
      </c>
      <c r="E159" s="519"/>
      <c r="F159" s="519" t="s">
        <v>293</v>
      </c>
      <c r="G159" s="519" t="s">
        <v>1472</v>
      </c>
      <c r="H159" s="519"/>
      <c r="I159" s="3011" t="s">
        <v>1859</v>
      </c>
      <c r="J159" s="3011"/>
      <c r="K159" s="2544" t="s">
        <v>2140</v>
      </c>
      <c r="L159" s="518"/>
      <c r="M159" s="518" t="s">
        <v>1474</v>
      </c>
      <c r="N159" s="78"/>
      <c r="O159" s="78"/>
      <c r="P159" s="617"/>
      <c r="Q159" s="1952"/>
      <c r="S159" s="2899"/>
    </row>
    <row r="160" spans="2:19" ht="18" customHeight="1" x14ac:dyDescent="0.25">
      <c r="B160" s="1960"/>
      <c r="C160" s="388"/>
      <c r="D160" s="3024" t="s">
        <v>2022</v>
      </c>
      <c r="E160" s="3025"/>
      <c r="F160" s="541" t="s">
        <v>269</v>
      </c>
      <c r="G160" s="2992"/>
      <c r="H160" s="2993"/>
      <c r="I160" s="3001"/>
      <c r="J160" s="3002"/>
      <c r="K160" s="3009"/>
      <c r="L160" s="3010"/>
      <c r="M160" s="2992"/>
      <c r="N160" s="3000"/>
      <c r="O160" s="2993"/>
      <c r="P160" s="617"/>
      <c r="Q160" s="1952"/>
      <c r="S160" s="2899"/>
    </row>
    <row r="161" spans="1:19" ht="18" customHeight="1" x14ac:dyDescent="0.25">
      <c r="B161" s="1960"/>
      <c r="C161" s="388"/>
      <c r="D161" s="3026"/>
      <c r="E161" s="3027"/>
      <c r="F161" s="542" t="s">
        <v>270</v>
      </c>
      <c r="G161" s="2996"/>
      <c r="H161" s="2997"/>
      <c r="I161" s="3022"/>
      <c r="J161" s="3023"/>
      <c r="K161" s="3005"/>
      <c r="L161" s="3006"/>
      <c r="M161" s="2996"/>
      <c r="N161" s="3015"/>
      <c r="O161" s="2997"/>
      <c r="P161" s="617"/>
      <c r="Q161" s="1952"/>
      <c r="S161" s="2899"/>
    </row>
    <row r="162" spans="1:19" ht="18" customHeight="1" x14ac:dyDescent="0.25">
      <c r="B162" s="1960"/>
      <c r="C162" s="388"/>
      <c r="D162" s="3028"/>
      <c r="E162" s="3029"/>
      <c r="F162" s="543" t="s">
        <v>1498</v>
      </c>
      <c r="G162" s="2998"/>
      <c r="H162" s="2999"/>
      <c r="I162" s="3003"/>
      <c r="J162" s="3004"/>
      <c r="K162" s="3030"/>
      <c r="L162" s="3031"/>
      <c r="M162" s="2998"/>
      <c r="N162" s="3014"/>
      <c r="O162" s="2999"/>
      <c r="P162" s="617"/>
      <c r="Q162" s="1952"/>
      <c r="S162" s="2899"/>
    </row>
    <row r="163" spans="1:19" ht="18" customHeight="1" x14ac:dyDescent="0.25">
      <c r="B163" s="1960"/>
      <c r="C163" s="388"/>
      <c r="D163" s="3024" t="s">
        <v>2023</v>
      </c>
      <c r="E163" s="3025"/>
      <c r="F163" s="541" t="s">
        <v>269</v>
      </c>
      <c r="G163" s="2992"/>
      <c r="H163" s="2993"/>
      <c r="I163" s="3001"/>
      <c r="J163" s="3002"/>
      <c r="K163" s="3007"/>
      <c r="L163" s="3008"/>
      <c r="M163" s="2992"/>
      <c r="N163" s="3000"/>
      <c r="O163" s="2993"/>
      <c r="P163" s="617"/>
      <c r="Q163" s="1952"/>
      <c r="S163" s="2899"/>
    </row>
    <row r="164" spans="1:19" ht="18" customHeight="1" x14ac:dyDescent="0.25">
      <c r="B164" s="1960"/>
      <c r="C164" s="388"/>
      <c r="D164" s="3026"/>
      <c r="E164" s="3027"/>
      <c r="F164" s="542" t="s">
        <v>270</v>
      </c>
      <c r="G164" s="2996"/>
      <c r="H164" s="2997"/>
      <c r="I164" s="3022"/>
      <c r="J164" s="3023"/>
      <c r="K164" s="3005"/>
      <c r="L164" s="3006"/>
      <c r="M164" s="2996"/>
      <c r="N164" s="3015"/>
      <c r="O164" s="2997"/>
      <c r="P164" s="617"/>
      <c r="Q164" s="1952"/>
      <c r="S164" s="2899"/>
    </row>
    <row r="165" spans="1:19" ht="18" customHeight="1" x14ac:dyDescent="0.25">
      <c r="B165" s="1960"/>
      <c r="C165" s="388"/>
      <c r="D165" s="3028"/>
      <c r="E165" s="3029"/>
      <c r="F165" s="543" t="s">
        <v>1498</v>
      </c>
      <c r="G165" s="2998"/>
      <c r="H165" s="2999"/>
      <c r="I165" s="3003"/>
      <c r="J165" s="3004"/>
      <c r="K165" s="3049"/>
      <c r="L165" s="3050"/>
      <c r="M165" s="2998"/>
      <c r="N165" s="3014"/>
      <c r="O165" s="2999"/>
      <c r="P165" s="617"/>
      <c r="Q165" s="1952"/>
      <c r="S165" s="2899"/>
    </row>
    <row r="166" spans="1:19" ht="14.25" customHeight="1" x14ac:dyDescent="0.25">
      <c r="B166" s="1960"/>
      <c r="C166" s="514"/>
      <c r="D166" s="515"/>
      <c r="E166" s="516"/>
      <c r="F166" s="517"/>
      <c r="G166" s="518"/>
      <c r="H166" s="518"/>
      <c r="I166" s="518"/>
      <c r="J166" s="518"/>
      <c r="K166" s="518"/>
      <c r="L166" s="518"/>
      <c r="M166" s="518"/>
      <c r="N166" s="518"/>
      <c r="O166" s="518"/>
      <c r="P166" s="279"/>
      <c r="Q166" s="1952"/>
      <c r="S166" s="2899"/>
    </row>
    <row r="167" spans="1:19" ht="18.75" customHeight="1" x14ac:dyDescent="0.25">
      <c r="B167" s="1960"/>
      <c r="C167" s="2065"/>
      <c r="D167" s="1951"/>
      <c r="E167" s="1951"/>
      <c r="F167" s="1951"/>
      <c r="G167" s="1951"/>
      <c r="H167" s="1951"/>
      <c r="I167" s="1951"/>
      <c r="J167" s="1951"/>
      <c r="K167" s="1951"/>
      <c r="L167" s="1951"/>
      <c r="M167" s="1951"/>
      <c r="N167" s="1951"/>
      <c r="O167" s="1951"/>
      <c r="P167" s="1951"/>
      <c r="Q167" s="1952"/>
      <c r="S167" s="2899"/>
    </row>
    <row r="168" spans="1:19" ht="17.25" customHeight="1" x14ac:dyDescent="0.25">
      <c r="B168" s="1960"/>
      <c r="C168" s="2066" t="s">
        <v>188</v>
      </c>
      <c r="D168" s="1951"/>
      <c r="E168" s="1951"/>
      <c r="F168" s="1951"/>
      <c r="G168" s="1951"/>
      <c r="H168" s="1951"/>
      <c r="I168" s="1951"/>
      <c r="J168" s="1951"/>
      <c r="K168" s="1951"/>
      <c r="L168" s="1951"/>
      <c r="M168" s="1951"/>
      <c r="N168" s="1951"/>
      <c r="O168" s="1951"/>
      <c r="P168" s="1951"/>
      <c r="Q168" s="1952"/>
      <c r="S168" s="2899"/>
    </row>
    <row r="169" spans="1:19" ht="18" customHeight="1" x14ac:dyDescent="0.25">
      <c r="B169" s="1960"/>
      <c r="C169" s="1949"/>
      <c r="D169" s="2067"/>
      <c r="E169" s="3393" t="s">
        <v>185</v>
      </c>
      <c r="F169" s="3393"/>
      <c r="G169" s="3393"/>
      <c r="H169" s="3394"/>
      <c r="I169" s="359" t="str">
        <f>IF((OR(ISBLANK(F605),ISBLANK(F606),ISBLANK(F607),ISBLANK(F608),ISBLANK(F609),ISBLANK(F610),ISBLANK(K605),ISBLANK(K606),ISBLANK(K607),ISBLANK(K608),ISBLANK(K609),ISBLANK(K610))=FALSE),"Complété","À compléter")</f>
        <v>À compléter</v>
      </c>
      <c r="J169" s="3395" t="s">
        <v>186</v>
      </c>
      <c r="K169" s="3395"/>
      <c r="L169" s="3395"/>
      <c r="M169" s="3395"/>
      <c r="N169" s="3395"/>
      <c r="O169" s="3395"/>
      <c r="P169" s="3395"/>
      <c r="Q169" s="1952"/>
      <c r="S169" s="2899"/>
    </row>
    <row r="170" spans="1:19" ht="6.75" customHeight="1" x14ac:dyDescent="0.25">
      <c r="B170" s="1960"/>
      <c r="C170" s="1951"/>
      <c r="D170" s="2067"/>
      <c r="E170" s="2067"/>
      <c r="F170" s="2067"/>
      <c r="G170" s="2067"/>
      <c r="H170" s="2067"/>
      <c r="I170" s="1951"/>
      <c r="J170" s="2069"/>
      <c r="K170" s="2069"/>
      <c r="L170" s="2069"/>
      <c r="M170" s="2069"/>
      <c r="N170" s="2069"/>
      <c r="O170" s="2069"/>
      <c r="P170" s="2069"/>
      <c r="Q170" s="1952"/>
      <c r="S170" s="2899"/>
    </row>
    <row r="171" spans="1:19" ht="18" customHeight="1" x14ac:dyDescent="0.25">
      <c r="B171" s="1960"/>
      <c r="C171" s="1951"/>
      <c r="D171" s="3393" t="s">
        <v>1594</v>
      </c>
      <c r="E171" s="3393"/>
      <c r="F171" s="3393"/>
      <c r="G171" s="3393"/>
      <c r="H171" s="3394"/>
      <c r="I171" s="359" t="str">
        <f>IF((OR(ISBLANK(F671),ISBLANK(F672),ISBLANK(K671),ISBLANK(K672))=FALSE),"Complété","À compléter")</f>
        <v>À compléter</v>
      </c>
      <c r="J171" s="3395" t="s">
        <v>187</v>
      </c>
      <c r="K171" s="3395"/>
      <c r="L171" s="3395"/>
      <c r="M171" s="3395"/>
      <c r="N171" s="3395"/>
      <c r="O171" s="3395"/>
      <c r="P171" s="3395"/>
      <c r="Q171" s="1952"/>
      <c r="S171" s="2899"/>
    </row>
    <row r="172" spans="1:19" ht="23.25" customHeight="1" x14ac:dyDescent="0.25">
      <c r="B172" s="1960"/>
      <c r="C172" s="1951"/>
      <c r="D172" s="2068"/>
      <c r="E172" s="2068"/>
      <c r="F172" s="2068"/>
      <c r="G172" s="2068"/>
      <c r="H172" s="2068"/>
      <c r="I172" s="2072"/>
      <c r="J172" s="2070"/>
      <c r="K172" s="2070"/>
      <c r="L172" s="2070"/>
      <c r="M172" s="2070"/>
      <c r="N172" s="2070"/>
      <c r="O172" s="2070"/>
      <c r="P172" s="2070"/>
      <c r="Q172" s="1952"/>
      <c r="S172" s="2899"/>
    </row>
    <row r="173" spans="1:19" ht="18" customHeight="1" x14ac:dyDescent="0.25">
      <c r="B173" s="1960"/>
      <c r="C173" s="2071" t="s">
        <v>1573</v>
      </c>
      <c r="D173" s="2068"/>
      <c r="E173" s="2068"/>
      <c r="F173" s="2068"/>
      <c r="G173" s="1949"/>
      <c r="H173" s="3391" t="s">
        <v>1486</v>
      </c>
      <c r="I173" s="3391"/>
      <c r="J173" s="1949"/>
      <c r="K173" s="1949"/>
      <c r="L173" s="2070"/>
      <c r="M173" s="2070"/>
      <c r="N173" s="2070"/>
      <c r="O173" s="2070"/>
      <c r="P173" s="2070"/>
      <c r="Q173" s="1952"/>
      <c r="S173" s="2899"/>
    </row>
    <row r="174" spans="1:19" ht="14.25" customHeight="1" thickBot="1" x14ac:dyDescent="0.3">
      <c r="B174" s="1982"/>
      <c r="C174" s="1987"/>
      <c r="D174" s="1987"/>
      <c r="E174" s="1987"/>
      <c r="F174" s="1987"/>
      <c r="G174" s="1987"/>
      <c r="H174" s="1987"/>
      <c r="I174" s="1987"/>
      <c r="J174" s="1987"/>
      <c r="K174" s="1987"/>
      <c r="L174" s="1987"/>
      <c r="M174" s="1987"/>
      <c r="N174" s="1987"/>
      <c r="O174" s="1987"/>
      <c r="P174" s="1987"/>
      <c r="Q174" s="1988"/>
      <c r="S174" s="2904"/>
    </row>
    <row r="175" spans="1:19" ht="15.75" thickBot="1" x14ac:dyDescent="0.3">
      <c r="B175" s="699"/>
      <c r="S175" s="630"/>
    </row>
    <row r="176" spans="1:19" ht="22.5" customHeight="1" thickBot="1" x14ac:dyDescent="0.3">
      <c r="A176" s="1225"/>
      <c r="B176" s="1908" t="s">
        <v>1589</v>
      </c>
      <c r="C176" s="1908"/>
      <c r="D176" s="1908"/>
      <c r="E176" s="1908"/>
      <c r="F176" s="1908"/>
      <c r="G176" s="1908"/>
      <c r="H176" s="1908"/>
      <c r="I176" s="1908"/>
      <c r="J176" s="1908"/>
      <c r="K176" s="1908"/>
      <c r="L176" s="1913"/>
      <c r="M176" s="1913"/>
      <c r="N176" s="1913"/>
      <c r="O176" s="3398" t="s">
        <v>1641</v>
      </c>
      <c r="P176" s="3398"/>
      <c r="Q176" s="3398"/>
      <c r="S176" s="628" t="s">
        <v>1537</v>
      </c>
    </row>
    <row r="177" spans="2:19" ht="9.75" customHeight="1" thickBot="1" x14ac:dyDescent="0.3">
      <c r="S177" s="629"/>
    </row>
    <row r="178" spans="2:19" ht="13.5" customHeight="1" x14ac:dyDescent="0.25">
      <c r="B178" s="1989"/>
      <c r="C178" s="1990"/>
      <c r="D178" s="1990"/>
      <c r="E178" s="1991"/>
      <c r="F178" s="1992"/>
      <c r="G178" s="1992"/>
      <c r="H178" s="1992"/>
      <c r="I178" s="1992"/>
      <c r="J178" s="1992"/>
      <c r="K178" s="1992"/>
      <c r="L178" s="1992"/>
      <c r="M178" s="1992"/>
      <c r="N178" s="1992"/>
      <c r="O178" s="1992"/>
      <c r="P178" s="1992"/>
      <c r="Q178" s="1993"/>
      <c r="S178" s="2900"/>
    </row>
    <row r="179" spans="2:19" ht="18" customHeight="1" x14ac:dyDescent="0.25">
      <c r="B179" s="2050"/>
      <c r="C179" s="1995" t="s">
        <v>36</v>
      </c>
      <c r="D179" s="1995"/>
      <c r="E179" s="2051"/>
      <c r="F179" s="2075"/>
      <c r="G179" s="1949"/>
      <c r="H179" s="1949"/>
      <c r="I179" s="1949"/>
      <c r="J179" s="1949"/>
      <c r="K179" s="1949"/>
      <c r="L179" s="1949"/>
      <c r="M179" s="1949"/>
      <c r="N179" s="2052" t="s">
        <v>59</v>
      </c>
      <c r="O179" s="359" t="str">
        <f>IF(OR(ISBLANK(H186))=FALSE,"Complété","À compléter")</f>
        <v>À compléter</v>
      </c>
      <c r="P179" s="1949"/>
      <c r="Q179" s="2057"/>
      <c r="S179" s="2899"/>
    </row>
    <row r="180" spans="2:19" ht="6" customHeight="1" x14ac:dyDescent="0.25">
      <c r="B180" s="2053"/>
      <c r="C180" s="2054"/>
      <c r="D180" s="2054"/>
      <c r="E180" s="2054"/>
      <c r="F180" s="1949"/>
      <c r="G180" s="1949"/>
      <c r="H180" s="1949"/>
      <c r="I180" s="1949"/>
      <c r="J180" s="1949"/>
      <c r="K180" s="1949"/>
      <c r="L180" s="1949"/>
      <c r="M180" s="1949"/>
      <c r="N180" s="1949"/>
      <c r="O180" s="1949"/>
      <c r="P180" s="1949"/>
      <c r="Q180" s="2057"/>
      <c r="S180" s="2899"/>
    </row>
    <row r="181" spans="2:19" ht="17.25" customHeight="1" x14ac:dyDescent="0.25">
      <c r="B181" s="2053"/>
      <c r="C181" s="3392" t="s">
        <v>1687</v>
      </c>
      <c r="D181" s="3392"/>
      <c r="E181" s="3392"/>
      <c r="F181" s="3392"/>
      <c r="G181" s="3392"/>
      <c r="H181" s="3392"/>
      <c r="I181" s="3392"/>
      <c r="J181" s="3392"/>
      <c r="K181" s="3392"/>
      <c r="L181" s="3392"/>
      <c r="M181" s="3392"/>
      <c r="N181" s="1949"/>
      <c r="O181" s="1949"/>
      <c r="P181" s="1949"/>
      <c r="Q181" s="2057"/>
      <c r="S181" s="2899"/>
    </row>
    <row r="182" spans="2:19" ht="15" customHeight="1" x14ac:dyDescent="0.25">
      <c r="B182" s="2053"/>
      <c r="C182" s="2054"/>
      <c r="D182" s="2054"/>
      <c r="E182" s="2054"/>
      <c r="F182" s="1949"/>
      <c r="G182" s="1949"/>
      <c r="H182" s="1949"/>
      <c r="I182" s="1949"/>
      <c r="J182" s="1949"/>
      <c r="K182" s="1949"/>
      <c r="L182" s="1949"/>
      <c r="M182" s="1949"/>
      <c r="N182" s="1949"/>
      <c r="O182" s="1949"/>
      <c r="P182" s="1949"/>
      <c r="Q182" s="2057"/>
      <c r="S182" s="2899"/>
    </row>
    <row r="183" spans="2:19" ht="18.75" customHeight="1" x14ac:dyDescent="0.25">
      <c r="B183" s="1960"/>
      <c r="C183" s="2076" t="s">
        <v>192</v>
      </c>
      <c r="D183" s="2000"/>
      <c r="E183" s="1951"/>
      <c r="F183" s="1951"/>
      <c r="G183" s="1951"/>
      <c r="H183" s="1951"/>
      <c r="I183" s="1951"/>
      <c r="J183" s="1951"/>
      <c r="K183" s="1951"/>
      <c r="L183" s="1951"/>
      <c r="M183" s="1951"/>
      <c r="N183" s="1951"/>
      <c r="O183" s="1951"/>
      <c r="P183" s="1951"/>
      <c r="Q183" s="1952"/>
      <c r="S183" s="2899"/>
    </row>
    <row r="184" spans="2:19" ht="6" customHeight="1" x14ac:dyDescent="0.25">
      <c r="B184" s="1960"/>
      <c r="C184" s="2063"/>
      <c r="D184" s="2000"/>
      <c r="E184" s="1951"/>
      <c r="F184" s="1951"/>
      <c r="G184" s="1951"/>
      <c r="H184" s="1951"/>
      <c r="I184" s="1951"/>
      <c r="J184" s="1951"/>
      <c r="K184" s="1951"/>
      <c r="L184" s="1951"/>
      <c r="M184" s="1951"/>
      <c r="N184" s="1951"/>
      <c r="O184" s="1951"/>
      <c r="P184" s="1951"/>
      <c r="Q184" s="1952"/>
      <c r="S184" s="2899"/>
    </row>
    <row r="185" spans="2:19" ht="14.25" customHeight="1" x14ac:dyDescent="0.25">
      <c r="B185" s="1960"/>
      <c r="C185" s="648"/>
      <c r="D185" s="265"/>
      <c r="E185" s="266"/>
      <c r="F185" s="266"/>
      <c r="G185" s="266"/>
      <c r="H185" s="266"/>
      <c r="I185" s="266"/>
      <c r="J185" s="266"/>
      <c r="K185" s="266"/>
      <c r="L185" s="266"/>
      <c r="M185" s="266"/>
      <c r="N185" s="266"/>
      <c r="O185" s="266"/>
      <c r="P185" s="267"/>
      <c r="Q185" s="1952"/>
      <c r="S185" s="2899"/>
    </row>
    <row r="186" spans="2:19" ht="15.75" customHeight="1" x14ac:dyDescent="0.25">
      <c r="B186" s="2058" t="str">
        <f>IF(ISBLANK(H186)=FALSE,"","u")</f>
        <v>u</v>
      </c>
      <c r="C186" s="2929" t="s">
        <v>2045</v>
      </c>
      <c r="D186" s="2930"/>
      <c r="E186" s="2930"/>
      <c r="F186" s="2930"/>
      <c r="G186" s="2930"/>
      <c r="H186" s="2947"/>
      <c r="I186" s="2948"/>
      <c r="J186" s="2948"/>
      <c r="K186" s="2949"/>
      <c r="L186" s="1155" t="str">
        <f>IF(OR(ISBLANK(H186),H186='MENU DÉROULANT'!C70),"","Vous pouvez donc passer à la section suivante du PGA.")</f>
        <v/>
      </c>
      <c r="M186" s="1051"/>
      <c r="N186" s="1051"/>
      <c r="O186" s="1051"/>
      <c r="P186" s="272"/>
      <c r="Q186" s="1952"/>
      <c r="S186" s="2899"/>
    </row>
    <row r="187" spans="2:19" ht="15.75" customHeight="1" x14ac:dyDescent="0.25">
      <c r="B187" s="2058" t="s">
        <v>124</v>
      </c>
      <c r="C187" s="2929"/>
      <c r="D187" s="2930"/>
      <c r="E187" s="2930"/>
      <c r="F187" s="2930"/>
      <c r="G187" s="2930"/>
      <c r="H187" s="2950"/>
      <c r="I187" s="2951"/>
      <c r="J187" s="2951"/>
      <c r="K187" s="2952"/>
      <c r="L187" s="2912" t="str">
        <f>IF(OR(ISBLANK(H186),H186='MENU DÉROULANT'!C70),"","Notez toutefois que dans ce cas, aucun visuel n'apparaitra dans le sommaire concernant les niveaux de service.")</f>
        <v/>
      </c>
      <c r="M187" s="2912"/>
      <c r="N187" s="2912"/>
      <c r="O187" s="2912"/>
      <c r="P187" s="686"/>
      <c r="Q187" s="2077"/>
      <c r="S187" s="2899"/>
    </row>
    <row r="188" spans="2:19" ht="16.5" customHeight="1" x14ac:dyDescent="0.25">
      <c r="B188" s="1960"/>
      <c r="C188" s="649"/>
      <c r="D188" s="647"/>
      <c r="E188" s="85"/>
      <c r="F188" s="85"/>
      <c r="G188" s="85"/>
      <c r="H188" s="85"/>
      <c r="I188" s="85"/>
      <c r="J188" s="85"/>
      <c r="K188" s="85"/>
      <c r="L188" s="2913"/>
      <c r="M188" s="2913"/>
      <c r="N188" s="2913"/>
      <c r="O188" s="2913"/>
      <c r="P188" s="618"/>
      <c r="Q188" s="2077"/>
      <c r="S188" s="2899"/>
    </row>
    <row r="189" spans="2:19" ht="31.5" customHeight="1" x14ac:dyDescent="0.25">
      <c r="B189" s="2058"/>
      <c r="C189" s="385"/>
      <c r="D189" s="297"/>
      <c r="E189" s="658"/>
      <c r="F189" s="2939" t="s">
        <v>130</v>
      </c>
      <c r="G189" s="2939"/>
      <c r="H189" s="3046"/>
      <c r="I189" s="3047"/>
      <c r="J189" s="3047"/>
      <c r="K189" s="3047"/>
      <c r="L189" s="3047"/>
      <c r="M189" s="3047"/>
      <c r="N189" s="3047"/>
      <c r="O189" s="3048"/>
      <c r="P189" s="617"/>
      <c r="Q189" s="1952"/>
      <c r="S189" s="2899"/>
    </row>
    <row r="190" spans="2:19" ht="15" customHeight="1" x14ac:dyDescent="0.25">
      <c r="B190" s="1960"/>
      <c r="C190" s="650"/>
      <c r="D190" s="651"/>
      <c r="E190" s="312"/>
      <c r="F190" s="312"/>
      <c r="G190" s="312"/>
      <c r="H190" s="312"/>
      <c r="I190" s="312"/>
      <c r="J190" s="312"/>
      <c r="K190" s="312"/>
      <c r="L190" s="312"/>
      <c r="M190" s="652"/>
      <c r="N190" s="652"/>
      <c r="O190" s="652"/>
      <c r="P190" s="653"/>
      <c r="Q190" s="2077"/>
      <c r="S190" s="2899"/>
    </row>
    <row r="191" spans="2:19" ht="18.75" customHeight="1" x14ac:dyDescent="0.25">
      <c r="B191" s="1960"/>
      <c r="C191" s="2000"/>
      <c r="D191" s="2000"/>
      <c r="E191" s="1951"/>
      <c r="F191" s="1951"/>
      <c r="G191" s="1951"/>
      <c r="H191" s="1951"/>
      <c r="I191" s="1951"/>
      <c r="J191" s="1951"/>
      <c r="K191" s="1951"/>
      <c r="L191" s="1951"/>
      <c r="M191" s="1951"/>
      <c r="N191" s="1951"/>
      <c r="O191" s="1951"/>
      <c r="P191" s="1951"/>
      <c r="Q191" s="1952"/>
      <c r="S191" s="2899"/>
    </row>
    <row r="192" spans="2:19" ht="22.5" customHeight="1" x14ac:dyDescent="0.25">
      <c r="B192" s="1960"/>
      <c r="C192" s="2959" t="s">
        <v>1548</v>
      </c>
      <c r="D192" s="2960"/>
      <c r="E192" s="2960"/>
      <c r="F192" s="2960"/>
      <c r="G192" s="316"/>
      <c r="H192" s="316"/>
      <c r="I192" s="316"/>
      <c r="J192" s="316"/>
      <c r="K192" s="316"/>
      <c r="L192" s="316"/>
      <c r="M192" s="316"/>
      <c r="N192" s="316"/>
      <c r="O192" s="991"/>
      <c r="P192" s="317"/>
      <c r="Q192" s="1952"/>
      <c r="S192" s="2899"/>
    </row>
    <row r="193" spans="2:19" ht="3" customHeight="1" x14ac:dyDescent="0.25">
      <c r="B193" s="1960"/>
      <c r="C193" s="1951"/>
      <c r="D193" s="1951"/>
      <c r="E193" s="1951"/>
      <c r="F193" s="1951"/>
      <c r="G193" s="1951"/>
      <c r="H193" s="1951"/>
      <c r="I193" s="1951"/>
      <c r="J193" s="1951"/>
      <c r="K193" s="1951"/>
      <c r="L193" s="1951"/>
      <c r="M193" s="1951"/>
      <c r="N193" s="1951"/>
      <c r="O193" s="1951"/>
      <c r="P193" s="1951"/>
      <c r="Q193" s="1952"/>
      <c r="S193" s="2899"/>
    </row>
    <row r="194" spans="2:19" ht="11.25" customHeight="1" x14ac:dyDescent="0.25">
      <c r="B194" s="1960"/>
      <c r="C194" s="264"/>
      <c r="D194" s="265"/>
      <c r="E194" s="266"/>
      <c r="F194" s="266"/>
      <c r="G194" s="266"/>
      <c r="H194" s="266"/>
      <c r="I194" s="266"/>
      <c r="J194" s="266"/>
      <c r="K194" s="266"/>
      <c r="L194" s="266"/>
      <c r="M194" s="266"/>
      <c r="N194" s="266"/>
      <c r="O194" s="266"/>
      <c r="P194" s="267"/>
      <c r="Q194" s="1952"/>
      <c r="S194" s="2899"/>
    </row>
    <row r="195" spans="2:19" ht="33.75" customHeight="1" x14ac:dyDescent="0.25">
      <c r="B195" s="1960"/>
      <c r="C195" s="3233" t="s">
        <v>2046</v>
      </c>
      <c r="D195" s="3234"/>
      <c r="E195" s="3234"/>
      <c r="F195" s="3234"/>
      <c r="G195" s="3234"/>
      <c r="H195" s="3234"/>
      <c r="I195" s="3234"/>
      <c r="J195" s="3234"/>
      <c r="K195" s="3234"/>
      <c r="L195" s="3234"/>
      <c r="M195" s="3234"/>
      <c r="N195" s="3234"/>
      <c r="O195" s="3234"/>
      <c r="P195" s="3235"/>
      <c r="Q195" s="1952"/>
      <c r="S195" s="2899"/>
    </row>
    <row r="196" spans="2:19" ht="24.75" customHeight="1" x14ac:dyDescent="0.25">
      <c r="B196" s="1960"/>
      <c r="C196" s="2963" t="s">
        <v>1860</v>
      </c>
      <c r="D196" s="2964"/>
      <c r="E196" s="2964"/>
      <c r="F196" s="2964"/>
      <c r="G196" s="2964"/>
      <c r="H196" s="2964"/>
      <c r="I196" s="2964"/>
      <c r="J196" s="2964"/>
      <c r="K196" s="2964"/>
      <c r="L196" s="2964"/>
      <c r="M196" s="2964"/>
      <c r="N196" s="2964"/>
      <c r="O196" s="2964"/>
      <c r="P196" s="2965"/>
      <c r="Q196" s="1952"/>
      <c r="S196" s="2899"/>
    </row>
    <row r="197" spans="2:19" ht="10.5" customHeight="1" x14ac:dyDescent="0.25">
      <c r="B197" s="1960"/>
      <c r="C197" s="362"/>
      <c r="D197" s="321"/>
      <c r="E197" s="85"/>
      <c r="F197" s="85"/>
      <c r="G197" s="85"/>
      <c r="H197" s="85"/>
      <c r="I197" s="55"/>
      <c r="J197" s="85"/>
      <c r="K197" s="85"/>
      <c r="L197" s="85"/>
      <c r="M197" s="85"/>
      <c r="N197" s="85"/>
      <c r="O197" s="85"/>
      <c r="P197" s="272"/>
      <c r="Q197" s="1952"/>
      <c r="S197" s="2899"/>
    </row>
    <row r="198" spans="2:19" s="72" customFormat="1" ht="26.25" customHeight="1" thickBot="1" x14ac:dyDescent="0.3">
      <c r="B198" s="1960"/>
      <c r="C198" s="368"/>
      <c r="D198" s="2973" t="s">
        <v>1460</v>
      </c>
      <c r="E198" s="2973"/>
      <c r="F198" s="2973" t="s">
        <v>1457</v>
      </c>
      <c r="G198" s="2973"/>
      <c r="H198" s="2973" t="s">
        <v>1459</v>
      </c>
      <c r="I198" s="2973"/>
      <c r="J198" s="2973" t="s">
        <v>1458</v>
      </c>
      <c r="K198" s="2973"/>
      <c r="L198" s="507" t="s">
        <v>1596</v>
      </c>
      <c r="M198" s="544"/>
      <c r="N198" s="370"/>
      <c r="O198" s="357"/>
      <c r="P198" s="272"/>
      <c r="Q198" s="1952"/>
      <c r="S198" s="2899"/>
    </row>
    <row r="199" spans="2:19" ht="26.25" customHeight="1" thickTop="1" x14ac:dyDescent="0.25">
      <c r="B199" s="2058" t="str">
        <f>IF(OR(ISBLANK(D199),ISBLANK(F199),ISBLANK(H199),ISBLANK(J199))=FALSE,"","w")</f>
        <v>w</v>
      </c>
      <c r="C199" s="508">
        <v>1</v>
      </c>
      <c r="D199" s="2905"/>
      <c r="E199" s="2906"/>
      <c r="F199" s="2905"/>
      <c r="G199" s="2906"/>
      <c r="H199" s="2905"/>
      <c r="I199" s="2906"/>
      <c r="J199" s="2905"/>
      <c r="K199" s="2906"/>
      <c r="L199" s="2976"/>
      <c r="M199" s="2977"/>
      <c r="N199" s="2977"/>
      <c r="O199" s="2978"/>
      <c r="P199" s="272"/>
      <c r="Q199" s="1952"/>
      <c r="S199" s="2899"/>
    </row>
    <row r="200" spans="2:19" ht="26.25" customHeight="1" x14ac:dyDescent="0.25">
      <c r="B200" s="2058" t="str">
        <f t="shared" ref="B200:B201" si="0">IF(OR(ISBLANK(D200),ISBLANK(F200),ISBLANK(H200),ISBLANK(J200))=FALSE,"","w")</f>
        <v>w</v>
      </c>
      <c r="C200" s="508">
        <v>2</v>
      </c>
      <c r="D200" s="2905"/>
      <c r="E200" s="2906"/>
      <c r="F200" s="2905"/>
      <c r="G200" s="2906"/>
      <c r="H200" s="2905"/>
      <c r="I200" s="2906"/>
      <c r="J200" s="2905"/>
      <c r="K200" s="2906"/>
      <c r="L200" s="2933"/>
      <c r="M200" s="2934"/>
      <c r="N200" s="2934"/>
      <c r="O200" s="2935"/>
      <c r="P200" s="272"/>
      <c r="Q200" s="1952"/>
      <c r="S200" s="2899"/>
    </row>
    <row r="201" spans="2:19" ht="26.25" customHeight="1" x14ac:dyDescent="0.25">
      <c r="B201" s="2058" t="str">
        <f t="shared" si="0"/>
        <v>w</v>
      </c>
      <c r="C201" s="508">
        <v>3</v>
      </c>
      <c r="D201" s="2905"/>
      <c r="E201" s="2906"/>
      <c r="F201" s="2905"/>
      <c r="G201" s="2906"/>
      <c r="H201" s="2905"/>
      <c r="I201" s="2906"/>
      <c r="J201" s="2905"/>
      <c r="K201" s="2906"/>
      <c r="L201" s="2933"/>
      <c r="M201" s="2934"/>
      <c r="N201" s="2934"/>
      <c r="O201" s="2935"/>
      <c r="P201" s="272"/>
      <c r="Q201" s="1952"/>
      <c r="S201" s="2899"/>
    </row>
    <row r="202" spans="2:19" ht="26.25" customHeight="1" x14ac:dyDescent="0.25">
      <c r="B202" s="1960"/>
      <c r="C202" s="508">
        <v>4</v>
      </c>
      <c r="D202" s="2953"/>
      <c r="E202" s="2954"/>
      <c r="F202" s="2953"/>
      <c r="G202" s="2954"/>
      <c r="H202" s="2953"/>
      <c r="I202" s="2954"/>
      <c r="J202" s="2953"/>
      <c r="K202" s="2954"/>
      <c r="L202" s="2933"/>
      <c r="M202" s="2934"/>
      <c r="N202" s="2934"/>
      <c r="O202" s="2935"/>
      <c r="P202" s="272"/>
      <c r="Q202" s="1952"/>
      <c r="S202" s="2899"/>
    </row>
    <row r="203" spans="2:19" ht="26.25" customHeight="1" x14ac:dyDescent="0.25">
      <c r="B203" s="1960"/>
      <c r="C203" s="508">
        <v>5</v>
      </c>
      <c r="D203" s="2982"/>
      <c r="E203" s="2983"/>
      <c r="F203" s="2982"/>
      <c r="G203" s="2983"/>
      <c r="H203" s="2982"/>
      <c r="I203" s="2983"/>
      <c r="J203" s="2982"/>
      <c r="K203" s="2983"/>
      <c r="L203" s="2982"/>
      <c r="M203" s="3218"/>
      <c r="N203" s="3218"/>
      <c r="O203" s="2983"/>
      <c r="P203" s="617"/>
      <c r="Q203" s="1952"/>
      <c r="S203" s="2899"/>
    </row>
    <row r="204" spans="2:19" ht="17.25" customHeight="1" x14ac:dyDescent="0.25">
      <c r="B204" s="1960"/>
      <c r="C204" s="364"/>
      <c r="D204" s="365"/>
      <c r="E204" s="658"/>
      <c r="F204" s="367"/>
      <c r="G204" s="366"/>
      <c r="H204" s="615"/>
      <c r="I204" s="55"/>
      <c r="J204" s="658"/>
      <c r="K204" s="615"/>
      <c r="L204" s="658"/>
      <c r="M204" s="615"/>
      <c r="N204" s="658"/>
      <c r="O204" s="615"/>
      <c r="P204" s="617"/>
      <c r="Q204" s="1952"/>
      <c r="S204" s="2899"/>
    </row>
    <row r="205" spans="2:19" ht="50.25" customHeight="1" x14ac:dyDescent="0.25">
      <c r="B205" s="1960"/>
      <c r="C205" s="2941" t="s">
        <v>1597</v>
      </c>
      <c r="D205" s="2942"/>
      <c r="E205" s="2943"/>
      <c r="F205" s="2944"/>
      <c r="G205" s="2945"/>
      <c r="H205" s="2945"/>
      <c r="I205" s="2945"/>
      <c r="J205" s="2945"/>
      <c r="K205" s="2945"/>
      <c r="L205" s="2945"/>
      <c r="M205" s="2945"/>
      <c r="N205" s="2945"/>
      <c r="O205" s="2946"/>
      <c r="P205" s="617"/>
      <c r="Q205" s="1952"/>
      <c r="S205" s="2899"/>
    </row>
    <row r="206" spans="2:19" ht="15.75" customHeight="1" x14ac:dyDescent="0.25">
      <c r="B206" s="1960"/>
      <c r="C206" s="677"/>
      <c r="D206" s="321"/>
      <c r="E206" s="658"/>
      <c r="F206" s="615"/>
      <c r="G206" s="658"/>
      <c r="H206" s="615"/>
      <c r="I206" s="55"/>
      <c r="J206" s="658"/>
      <c r="K206" s="615"/>
      <c r="L206" s="658"/>
      <c r="M206" s="615"/>
      <c r="N206" s="658"/>
      <c r="O206" s="615"/>
      <c r="P206" s="617"/>
      <c r="Q206" s="1952"/>
      <c r="S206" s="2899"/>
    </row>
    <row r="207" spans="2:19" ht="18" customHeight="1" x14ac:dyDescent="0.25">
      <c r="B207" s="1960"/>
      <c r="C207" s="773" t="s">
        <v>1861</v>
      </c>
      <c r="D207" s="774"/>
      <c r="E207" s="775"/>
      <c r="F207" s="776"/>
      <c r="G207" s="776"/>
      <c r="H207" s="777"/>
      <c r="I207" s="778"/>
      <c r="J207" s="775"/>
      <c r="K207" s="775"/>
      <c r="L207" s="775"/>
      <c r="M207" s="776"/>
      <c r="N207" s="776"/>
      <c r="O207" s="779"/>
      <c r="P207" s="617"/>
      <c r="Q207" s="1952"/>
      <c r="S207" s="2899"/>
    </row>
    <row r="208" spans="2:19" ht="18" customHeight="1" x14ac:dyDescent="0.25">
      <c r="B208" s="1960"/>
      <c r="C208" s="781" t="s">
        <v>2047</v>
      </c>
      <c r="D208" s="774"/>
      <c r="E208" s="775"/>
      <c r="F208" s="776"/>
      <c r="G208" s="776"/>
      <c r="H208" s="777"/>
      <c r="I208" s="778"/>
      <c r="J208" s="627"/>
      <c r="K208" s="782"/>
      <c r="L208" s="775"/>
      <c r="M208" s="776"/>
      <c r="N208" s="776"/>
      <c r="O208" s="779"/>
      <c r="P208" s="617"/>
      <c r="Q208" s="1952"/>
      <c r="S208" s="2899"/>
    </row>
    <row r="209" spans="2:19" ht="16.5" customHeight="1" x14ac:dyDescent="0.25">
      <c r="B209" s="1960"/>
      <c r="C209" s="783"/>
      <c r="D209" s="774"/>
      <c r="E209" s="775"/>
      <c r="F209" s="776"/>
      <c r="G209" s="776"/>
      <c r="H209" s="777"/>
      <c r="I209" s="778"/>
      <c r="J209" s="784" t="s">
        <v>1618</v>
      </c>
      <c r="K209" s="627"/>
      <c r="L209" s="775"/>
      <c r="M209" s="776"/>
      <c r="N209" s="776"/>
      <c r="O209" s="779"/>
      <c r="P209" s="617"/>
      <c r="Q209" s="1952"/>
      <c r="S209" s="2899"/>
    </row>
    <row r="210" spans="2:19" ht="18" customHeight="1" x14ac:dyDescent="0.25">
      <c r="B210" s="1960"/>
      <c r="C210" s="614"/>
      <c r="D210" s="283"/>
      <c r="E210" s="312"/>
      <c r="F210" s="312"/>
      <c r="G210" s="312"/>
      <c r="H210" s="312"/>
      <c r="I210" s="277"/>
      <c r="J210" s="312"/>
      <c r="K210" s="312"/>
      <c r="L210" s="312"/>
      <c r="M210" s="312"/>
      <c r="N210" s="312"/>
      <c r="O210" s="312"/>
      <c r="P210" s="313"/>
      <c r="Q210" s="1952"/>
      <c r="S210" s="2899"/>
    </row>
    <row r="211" spans="2:19" ht="20.25" customHeight="1" x14ac:dyDescent="0.25">
      <c r="B211" s="1960"/>
      <c r="C211" s="2000"/>
      <c r="D211" s="2000"/>
      <c r="E211" s="1951"/>
      <c r="F211" s="1951"/>
      <c r="G211" s="1951"/>
      <c r="H211" s="1951"/>
      <c r="I211" s="1951"/>
      <c r="J211" s="1951"/>
      <c r="K211" s="1951"/>
      <c r="L211" s="1951"/>
      <c r="M211" s="1951"/>
      <c r="N211" s="1951"/>
      <c r="O211" s="1951"/>
      <c r="P211" s="1951"/>
      <c r="Q211" s="1952"/>
      <c r="S211" s="2899"/>
    </row>
    <row r="212" spans="2:19" ht="22.5" customHeight="1" x14ac:dyDescent="0.25">
      <c r="B212" s="1960"/>
      <c r="C212" s="2959" t="s">
        <v>1549</v>
      </c>
      <c r="D212" s="2960"/>
      <c r="E212" s="2960"/>
      <c r="F212" s="2960"/>
      <c r="G212" s="316"/>
      <c r="H212" s="316"/>
      <c r="I212" s="316"/>
      <c r="J212" s="316"/>
      <c r="K212" s="316"/>
      <c r="L212" s="316"/>
      <c r="M212" s="316"/>
      <c r="N212" s="316"/>
      <c r="O212" s="991"/>
      <c r="P212" s="317"/>
      <c r="Q212" s="1952"/>
      <c r="S212" s="2899"/>
    </row>
    <row r="213" spans="2:19" ht="3" customHeight="1" x14ac:dyDescent="0.25">
      <c r="B213" s="1960"/>
      <c r="C213" s="1951"/>
      <c r="D213" s="1951"/>
      <c r="E213" s="1951"/>
      <c r="F213" s="1951"/>
      <c r="G213" s="1951"/>
      <c r="H213" s="1951"/>
      <c r="I213" s="1951"/>
      <c r="J213" s="1951"/>
      <c r="K213" s="1951"/>
      <c r="L213" s="1951"/>
      <c r="M213" s="1951"/>
      <c r="N213" s="1951"/>
      <c r="O213" s="1951"/>
      <c r="P213" s="1951"/>
      <c r="Q213" s="1952"/>
      <c r="S213" s="2899"/>
    </row>
    <row r="214" spans="2:19" ht="16.5" customHeight="1" x14ac:dyDescent="0.25">
      <c r="B214" s="1960"/>
      <c r="C214" s="264"/>
      <c r="D214" s="265"/>
      <c r="E214" s="266"/>
      <c r="F214" s="266"/>
      <c r="G214" s="266"/>
      <c r="H214" s="266"/>
      <c r="I214" s="266"/>
      <c r="J214" s="266"/>
      <c r="K214" s="266"/>
      <c r="L214" s="266"/>
      <c r="M214" s="266"/>
      <c r="N214" s="266"/>
      <c r="O214" s="266"/>
      <c r="P214" s="267"/>
      <c r="Q214" s="1952"/>
      <c r="S214" s="2899"/>
    </row>
    <row r="215" spans="2:19" ht="24.75" customHeight="1" x14ac:dyDescent="0.25">
      <c r="B215" s="1960"/>
      <c r="C215" s="2963" t="s">
        <v>1863</v>
      </c>
      <c r="D215" s="2974"/>
      <c r="E215" s="2974"/>
      <c r="F215" s="2974"/>
      <c r="G215" s="2974"/>
      <c r="H215" s="2974"/>
      <c r="I215" s="2974"/>
      <c r="J215" s="2974"/>
      <c r="K215" s="2974"/>
      <c r="L215" s="2974"/>
      <c r="M215" s="2974"/>
      <c r="N215" s="2974"/>
      <c r="O215" s="2974"/>
      <c r="P215" s="2975"/>
      <c r="Q215" s="1952"/>
      <c r="S215" s="2899"/>
    </row>
    <row r="216" spans="2:19" ht="41.25" customHeight="1" x14ac:dyDescent="0.25">
      <c r="B216" s="1960"/>
      <c r="C216" s="3219" t="s">
        <v>1864</v>
      </c>
      <c r="D216" s="3220"/>
      <c r="E216" s="3220"/>
      <c r="F216" s="3220"/>
      <c r="G216" s="3220"/>
      <c r="H216" s="3220"/>
      <c r="I216" s="3220"/>
      <c r="J216" s="3220"/>
      <c r="K216" s="3220"/>
      <c r="L216" s="3220"/>
      <c r="M216" s="3220"/>
      <c r="N216" s="3220"/>
      <c r="O216" s="3220"/>
      <c r="P216" s="3221"/>
      <c r="Q216" s="1952"/>
      <c r="S216" s="2899"/>
    </row>
    <row r="217" spans="2:19" ht="23.25" customHeight="1" x14ac:dyDescent="0.25">
      <c r="B217" s="1960"/>
      <c r="C217" s="623" t="s">
        <v>1547</v>
      </c>
      <c r="D217" s="505"/>
      <c r="E217" s="505"/>
      <c r="F217" s="505"/>
      <c r="G217" s="505"/>
      <c r="H217" s="505"/>
      <c r="I217" s="505"/>
      <c r="J217" s="505"/>
      <c r="K217" s="505"/>
      <c r="L217" s="505"/>
      <c r="M217" s="505"/>
      <c r="N217" s="505"/>
      <c r="O217" s="505"/>
      <c r="P217" s="506"/>
      <c r="Q217" s="1952"/>
      <c r="S217" s="2899"/>
    </row>
    <row r="218" spans="2:19" ht="10.5" customHeight="1" x14ac:dyDescent="0.25">
      <c r="B218" s="1960"/>
      <c r="C218" s="677"/>
      <c r="D218" s="321"/>
      <c r="E218" s="658"/>
      <c r="F218" s="615"/>
      <c r="G218" s="658"/>
      <c r="H218" s="615"/>
      <c r="I218" s="55"/>
      <c r="J218" s="658"/>
      <c r="K218" s="615"/>
      <c r="L218" s="658"/>
      <c r="M218" s="615"/>
      <c r="N218" s="658"/>
      <c r="O218" s="615"/>
      <c r="P218" s="617"/>
      <c r="Q218" s="1952"/>
      <c r="S218" s="2899"/>
    </row>
    <row r="219" spans="2:19" s="72" customFormat="1" ht="36" customHeight="1" thickBot="1" x14ac:dyDescent="0.3">
      <c r="B219" s="1960"/>
      <c r="C219" s="368"/>
      <c r="D219" s="2973" t="s">
        <v>1440</v>
      </c>
      <c r="E219" s="2973"/>
      <c r="F219" s="502" t="s">
        <v>1442</v>
      </c>
      <c r="G219" s="502" t="s">
        <v>1443</v>
      </c>
      <c r="H219" s="669" t="s">
        <v>1439</v>
      </c>
      <c r="I219" s="2966" t="s">
        <v>1441</v>
      </c>
      <c r="J219" s="2967"/>
      <c r="K219" s="669" t="s">
        <v>227</v>
      </c>
      <c r="L219" s="664" t="s">
        <v>228</v>
      </c>
      <c r="M219" s="2966" t="s">
        <v>219</v>
      </c>
      <c r="N219" s="2967"/>
      <c r="O219" s="2968"/>
      <c r="P219" s="272"/>
      <c r="Q219" s="1952"/>
      <c r="S219" s="2899"/>
    </row>
    <row r="220" spans="2:19" ht="35.25" customHeight="1" thickTop="1" x14ac:dyDescent="0.25">
      <c r="B220" s="2058" t="str">
        <f>IF(OR(ISBLANK(D220),ISBLANK(F220),ISBLANK(G220),ISBLANK(H220),ISBLANK(I220))=FALSE,"","w")</f>
        <v>w</v>
      </c>
      <c r="C220" s="508">
        <v>1</v>
      </c>
      <c r="D220" s="2971"/>
      <c r="E220" s="2972"/>
      <c r="F220" s="635"/>
      <c r="G220" s="671"/>
      <c r="H220" s="670"/>
      <c r="I220" s="2969"/>
      <c r="J220" s="2970"/>
      <c r="K220" s="674"/>
      <c r="L220" s="674"/>
      <c r="M220" s="3236"/>
      <c r="N220" s="3237"/>
      <c r="O220" s="3238"/>
      <c r="P220" s="272"/>
      <c r="Q220" s="1952"/>
      <c r="S220" s="2899"/>
    </row>
    <row r="221" spans="2:19" ht="35.25" customHeight="1" x14ac:dyDescent="0.25">
      <c r="B221" s="2058" t="str">
        <f>IF(OR(ISBLANK(D221),ISBLANK(F221),ISBLANK(G221),ISBLANK(H221),ISBLANK(I221))=FALSE,"","w")</f>
        <v>w</v>
      </c>
      <c r="C221" s="508">
        <v>2</v>
      </c>
      <c r="D221" s="2971"/>
      <c r="E221" s="2972"/>
      <c r="F221" s="636"/>
      <c r="G221" s="673"/>
      <c r="H221" s="672"/>
      <c r="I221" s="2955"/>
      <c r="J221" s="2956"/>
      <c r="K221" s="666"/>
      <c r="L221" s="666"/>
      <c r="M221" s="2907"/>
      <c r="N221" s="2908"/>
      <c r="O221" s="2909"/>
      <c r="P221" s="272"/>
      <c r="Q221" s="1952"/>
      <c r="S221" s="2899"/>
    </row>
    <row r="222" spans="2:19" ht="35.25" customHeight="1" x14ac:dyDescent="0.25">
      <c r="B222" s="2058" t="str">
        <f>IF(OR(ISBLANK(D222),ISBLANK(F222),ISBLANK(G222),ISBLANK(H222),ISBLANK(I222))=FALSE,"","w")</f>
        <v>w</v>
      </c>
      <c r="C222" s="508">
        <v>3</v>
      </c>
      <c r="D222" s="2971"/>
      <c r="E222" s="2972"/>
      <c r="F222" s="636"/>
      <c r="G222" s="673"/>
      <c r="H222" s="672"/>
      <c r="I222" s="2955"/>
      <c r="J222" s="2956"/>
      <c r="K222" s="666"/>
      <c r="L222" s="666"/>
      <c r="M222" s="2907"/>
      <c r="N222" s="2908"/>
      <c r="O222" s="2909"/>
      <c r="P222" s="272"/>
      <c r="Q222" s="1952"/>
      <c r="S222" s="2899"/>
    </row>
    <row r="223" spans="2:19" ht="35.25" customHeight="1" x14ac:dyDescent="0.25">
      <c r="B223" s="1960"/>
      <c r="C223" s="508">
        <v>4</v>
      </c>
      <c r="D223" s="2931"/>
      <c r="E223" s="2932"/>
      <c r="F223" s="637"/>
      <c r="G223" s="666"/>
      <c r="H223" s="665"/>
      <c r="I223" s="2907"/>
      <c r="J223" s="2909"/>
      <c r="K223" s="666"/>
      <c r="L223" s="666"/>
      <c r="M223" s="2907"/>
      <c r="N223" s="2908"/>
      <c r="O223" s="2909"/>
      <c r="P223" s="272"/>
      <c r="Q223" s="1952"/>
      <c r="S223" s="2899"/>
    </row>
    <row r="224" spans="2:19" ht="35.25" customHeight="1" x14ac:dyDescent="0.25">
      <c r="B224" s="1960"/>
      <c r="C224" s="508">
        <v>5</v>
      </c>
      <c r="D224" s="2931"/>
      <c r="E224" s="2932"/>
      <c r="F224" s="637"/>
      <c r="G224" s="666"/>
      <c r="H224" s="665"/>
      <c r="I224" s="2907"/>
      <c r="J224" s="2909"/>
      <c r="K224" s="666"/>
      <c r="L224" s="666"/>
      <c r="M224" s="2907"/>
      <c r="N224" s="2908"/>
      <c r="O224" s="2909"/>
      <c r="P224" s="272"/>
      <c r="Q224" s="1952"/>
      <c r="S224" s="2899"/>
    </row>
    <row r="225" spans="2:20" ht="35.25" customHeight="1" x14ac:dyDescent="0.25">
      <c r="B225" s="1960"/>
      <c r="C225" s="508">
        <v>6</v>
      </c>
      <c r="D225" s="2931"/>
      <c r="E225" s="2932"/>
      <c r="F225" s="637"/>
      <c r="G225" s="666"/>
      <c r="H225" s="665"/>
      <c r="I225" s="2907"/>
      <c r="J225" s="2909"/>
      <c r="K225" s="666"/>
      <c r="L225" s="666"/>
      <c r="M225" s="2907"/>
      <c r="N225" s="2908"/>
      <c r="O225" s="2909"/>
      <c r="P225" s="272"/>
      <c r="Q225" s="1952"/>
      <c r="S225" s="2899"/>
    </row>
    <row r="226" spans="2:20" ht="35.25" customHeight="1" x14ac:dyDescent="0.25">
      <c r="B226" s="1960"/>
      <c r="C226" s="508">
        <v>7</v>
      </c>
      <c r="D226" s="2931"/>
      <c r="E226" s="2932"/>
      <c r="F226" s="637"/>
      <c r="G226" s="666"/>
      <c r="H226" s="665"/>
      <c r="I226" s="2907"/>
      <c r="J226" s="2909"/>
      <c r="K226" s="666"/>
      <c r="L226" s="666"/>
      <c r="M226" s="2907"/>
      <c r="N226" s="2908"/>
      <c r="O226" s="2909"/>
      <c r="P226" s="272"/>
      <c r="Q226" s="1952"/>
      <c r="S226" s="2899"/>
    </row>
    <row r="227" spans="2:20" ht="35.25" customHeight="1" x14ac:dyDescent="0.25">
      <c r="B227" s="1960"/>
      <c r="C227" s="508">
        <v>8</v>
      </c>
      <c r="D227" s="2931"/>
      <c r="E227" s="2932"/>
      <c r="F227" s="637"/>
      <c r="G227" s="666"/>
      <c r="H227" s="665"/>
      <c r="I227" s="2907"/>
      <c r="J227" s="2909"/>
      <c r="K227" s="666"/>
      <c r="L227" s="666"/>
      <c r="M227" s="2907"/>
      <c r="N227" s="2908"/>
      <c r="O227" s="2909"/>
      <c r="P227" s="272"/>
      <c r="Q227" s="1952"/>
      <c r="S227" s="2899"/>
    </row>
    <row r="228" spans="2:20" ht="35.25" customHeight="1" x14ac:dyDescent="0.25">
      <c r="B228" s="1960"/>
      <c r="C228" s="508">
        <v>9</v>
      </c>
      <c r="D228" s="2931"/>
      <c r="E228" s="2932"/>
      <c r="F228" s="637"/>
      <c r="G228" s="666"/>
      <c r="H228" s="665"/>
      <c r="I228" s="2907"/>
      <c r="J228" s="2909"/>
      <c r="K228" s="666"/>
      <c r="L228" s="666"/>
      <c r="M228" s="2907"/>
      <c r="N228" s="2908"/>
      <c r="O228" s="2909"/>
      <c r="P228" s="617"/>
      <c r="Q228" s="1952"/>
      <c r="S228" s="2899"/>
    </row>
    <row r="229" spans="2:20" ht="35.25" customHeight="1" x14ac:dyDescent="0.25">
      <c r="B229" s="1960"/>
      <c r="C229" s="508">
        <v>10</v>
      </c>
      <c r="D229" s="3216"/>
      <c r="E229" s="3217"/>
      <c r="F229" s="638"/>
      <c r="G229" s="661"/>
      <c r="H229" s="660"/>
      <c r="I229" s="2957"/>
      <c r="J229" s="2958"/>
      <c r="K229" s="661"/>
      <c r="L229" s="661"/>
      <c r="M229" s="3216"/>
      <c r="N229" s="3239"/>
      <c r="O229" s="3217"/>
      <c r="P229" s="617"/>
      <c r="Q229" s="1952"/>
      <c r="S229" s="2899"/>
      <c r="T229" s="380"/>
    </row>
    <row r="230" spans="2:20" ht="17.25" customHeight="1" x14ac:dyDescent="0.25">
      <c r="B230" s="1960"/>
      <c r="C230" s="677"/>
      <c r="D230" s="321"/>
      <c r="E230" s="658"/>
      <c r="F230" s="615"/>
      <c r="G230" s="658"/>
      <c r="H230" s="615"/>
      <c r="I230" s="55"/>
      <c r="J230" s="658"/>
      <c r="K230" s="615"/>
      <c r="L230" s="658"/>
      <c r="M230" s="615"/>
      <c r="N230" s="658"/>
      <c r="O230" s="615"/>
      <c r="P230" s="617"/>
      <c r="Q230" s="1952"/>
      <c r="S230" s="2899"/>
    </row>
    <row r="231" spans="2:20" ht="50.25" customHeight="1" x14ac:dyDescent="0.25">
      <c r="B231" s="1960"/>
      <c r="C231" s="2941" t="s">
        <v>1598</v>
      </c>
      <c r="D231" s="2942"/>
      <c r="E231" s="2943"/>
      <c r="F231" s="2944"/>
      <c r="G231" s="2945"/>
      <c r="H231" s="2945"/>
      <c r="I231" s="2945"/>
      <c r="J231" s="2945"/>
      <c r="K231" s="2945"/>
      <c r="L231" s="2945"/>
      <c r="M231" s="2945"/>
      <c r="N231" s="2945"/>
      <c r="O231" s="2946"/>
      <c r="P231" s="617"/>
      <c r="Q231" s="1952"/>
      <c r="S231" s="2899"/>
    </row>
    <row r="232" spans="2:20" ht="18.75" customHeight="1" x14ac:dyDescent="0.25">
      <c r="B232" s="1960"/>
      <c r="C232" s="677"/>
      <c r="D232" s="321"/>
      <c r="E232" s="658"/>
      <c r="F232" s="615"/>
      <c r="G232" s="658"/>
      <c r="H232" s="615"/>
      <c r="I232" s="55"/>
      <c r="J232" s="658"/>
      <c r="K232" s="615"/>
      <c r="L232" s="658"/>
      <c r="M232" s="615"/>
      <c r="N232" s="658"/>
      <c r="O232" s="615"/>
      <c r="P232" s="617"/>
      <c r="Q232" s="1952"/>
      <c r="S232" s="2899"/>
    </row>
    <row r="233" spans="2:20" ht="18" customHeight="1" x14ac:dyDescent="0.25">
      <c r="B233" s="1960"/>
      <c r="C233" s="773" t="s">
        <v>1861</v>
      </c>
      <c r="D233" s="774"/>
      <c r="E233" s="775"/>
      <c r="F233" s="776"/>
      <c r="G233" s="776"/>
      <c r="H233" s="777"/>
      <c r="I233" s="778"/>
      <c r="J233" s="775"/>
      <c r="K233" s="775"/>
      <c r="L233" s="775"/>
      <c r="M233" s="776"/>
      <c r="N233" s="776"/>
      <c r="O233" s="779"/>
      <c r="P233" s="617"/>
      <c r="Q233" s="1952"/>
      <c r="S233" s="2899"/>
    </row>
    <row r="234" spans="2:20" ht="18" customHeight="1" x14ac:dyDescent="0.25">
      <c r="B234" s="1960"/>
      <c r="C234" s="781" t="s">
        <v>2047</v>
      </c>
      <c r="D234" s="774"/>
      <c r="E234" s="775"/>
      <c r="F234" s="776"/>
      <c r="G234" s="776"/>
      <c r="H234" s="777"/>
      <c r="I234" s="778"/>
      <c r="J234" s="627"/>
      <c r="K234" s="782"/>
      <c r="L234" s="775"/>
      <c r="M234" s="776"/>
      <c r="N234" s="776"/>
      <c r="O234" s="779"/>
      <c r="P234" s="617"/>
      <c r="Q234" s="1952"/>
      <c r="S234" s="2899"/>
    </row>
    <row r="235" spans="2:20" ht="16.5" customHeight="1" x14ac:dyDescent="0.25">
      <c r="B235" s="1960"/>
      <c r="C235" s="783"/>
      <c r="D235" s="774"/>
      <c r="E235" s="775"/>
      <c r="F235" s="776"/>
      <c r="G235" s="776"/>
      <c r="H235" s="777"/>
      <c r="I235" s="778"/>
      <c r="J235" s="784" t="s">
        <v>1618</v>
      </c>
      <c r="K235" s="627"/>
      <c r="L235" s="775"/>
      <c r="M235" s="776"/>
      <c r="N235" s="776"/>
      <c r="O235" s="779"/>
      <c r="P235" s="617"/>
      <c r="Q235" s="1952"/>
      <c r="S235" s="2899"/>
    </row>
    <row r="236" spans="2:20" ht="18" customHeight="1" x14ac:dyDescent="0.25">
      <c r="B236" s="1960"/>
      <c r="C236" s="781" t="s">
        <v>1556</v>
      </c>
      <c r="D236" s="774"/>
      <c r="E236" s="775"/>
      <c r="F236" s="775"/>
      <c r="G236" s="775"/>
      <c r="H236" s="775"/>
      <c r="I236" s="778"/>
      <c r="J236" s="775"/>
      <c r="K236" s="775"/>
      <c r="L236" s="775"/>
      <c r="M236" s="775"/>
      <c r="N236" s="775"/>
      <c r="O236" s="775"/>
      <c r="P236" s="272"/>
      <c r="Q236" s="1952"/>
      <c r="S236" s="2899"/>
    </row>
    <row r="237" spans="2:20" ht="18" customHeight="1" x14ac:dyDescent="0.25">
      <c r="B237" s="1960"/>
      <c r="C237" s="781" t="s">
        <v>1865</v>
      </c>
      <c r="D237" s="774"/>
      <c r="E237" s="775"/>
      <c r="F237" s="775"/>
      <c r="G237" s="775"/>
      <c r="H237" s="775"/>
      <c r="I237" s="778"/>
      <c r="J237" s="775"/>
      <c r="K237" s="775"/>
      <c r="L237" s="775"/>
      <c r="M237" s="775"/>
      <c r="N237" s="775"/>
      <c r="O237" s="775"/>
      <c r="P237" s="272"/>
      <c r="Q237" s="1952"/>
      <c r="S237" s="2899"/>
    </row>
    <row r="238" spans="2:20" ht="18" customHeight="1" x14ac:dyDescent="0.25">
      <c r="B238" s="1960"/>
      <c r="C238" s="614"/>
      <c r="D238" s="283"/>
      <c r="E238" s="312"/>
      <c r="F238" s="312"/>
      <c r="G238" s="312"/>
      <c r="H238" s="312"/>
      <c r="I238" s="277"/>
      <c r="J238" s="312"/>
      <c r="K238" s="312"/>
      <c r="L238" s="312"/>
      <c r="M238" s="312"/>
      <c r="N238" s="312"/>
      <c r="O238" s="312"/>
      <c r="P238" s="313"/>
      <c r="Q238" s="1952"/>
      <c r="S238" s="2899"/>
    </row>
    <row r="239" spans="2:20" ht="18" customHeight="1" x14ac:dyDescent="0.25">
      <c r="B239" s="1960"/>
      <c r="C239" s="2065"/>
      <c r="D239" s="1951"/>
      <c r="E239" s="1951"/>
      <c r="F239" s="1951"/>
      <c r="G239" s="1951"/>
      <c r="H239" s="1951"/>
      <c r="I239" s="1951"/>
      <c r="J239" s="1951"/>
      <c r="K239" s="1951"/>
      <c r="L239" s="1951"/>
      <c r="M239" s="1951"/>
      <c r="N239" s="1951"/>
      <c r="O239" s="1951"/>
      <c r="P239" s="1951"/>
      <c r="Q239" s="1952"/>
      <c r="S239" s="2899"/>
    </row>
    <row r="240" spans="2:20" ht="17.25" customHeight="1" x14ac:dyDescent="0.25">
      <c r="B240" s="1960"/>
      <c r="C240" s="2066" t="s">
        <v>188</v>
      </c>
      <c r="D240" s="1951"/>
      <c r="E240" s="1951"/>
      <c r="F240" s="1951"/>
      <c r="G240" s="1951"/>
      <c r="H240" s="1951"/>
      <c r="I240" s="1951"/>
      <c r="J240" s="1951"/>
      <c r="K240" s="1951"/>
      <c r="L240" s="1951"/>
      <c r="M240" s="1951"/>
      <c r="N240" s="1951"/>
      <c r="O240" s="1951"/>
      <c r="P240" s="1951"/>
      <c r="Q240" s="1952"/>
      <c r="S240" s="2899"/>
    </row>
    <row r="241" spans="1:19" ht="18" customHeight="1" x14ac:dyDescent="0.25">
      <c r="B241" s="1960"/>
      <c r="C241" s="1949"/>
      <c r="D241" s="2067"/>
      <c r="E241" s="3393" t="s">
        <v>185</v>
      </c>
      <c r="F241" s="3393"/>
      <c r="G241" s="3393"/>
      <c r="H241" s="3394"/>
      <c r="I241" s="359" t="str">
        <f>IF((OR(ISBLANK(F613),ISBLANK(F614),ISBLANK(K613),ISBLANK(K614))=FALSE),"Complété","À compléter")</f>
        <v>À compléter</v>
      </c>
      <c r="J241" s="3395" t="s">
        <v>186</v>
      </c>
      <c r="K241" s="3395"/>
      <c r="L241" s="3395"/>
      <c r="M241" s="3395"/>
      <c r="N241" s="3395"/>
      <c r="O241" s="3395"/>
      <c r="P241" s="3395"/>
      <c r="Q241" s="1952"/>
      <c r="S241" s="2899"/>
    </row>
    <row r="242" spans="1:19" ht="6.75" customHeight="1" x14ac:dyDescent="0.25">
      <c r="B242" s="1960"/>
      <c r="C242" s="1951"/>
      <c r="D242" s="2067"/>
      <c r="E242" s="2067"/>
      <c r="F242" s="2067"/>
      <c r="G242" s="2067"/>
      <c r="H242" s="2067"/>
      <c r="I242" s="1951"/>
      <c r="J242" s="2069"/>
      <c r="K242" s="2069"/>
      <c r="L242" s="2069"/>
      <c r="M242" s="2069"/>
      <c r="N242" s="2069"/>
      <c r="O242" s="2069"/>
      <c r="P242" s="2069"/>
      <c r="Q242" s="1952"/>
      <c r="S242" s="2899"/>
    </row>
    <row r="243" spans="1:19" ht="18" customHeight="1" x14ac:dyDescent="0.25">
      <c r="B243" s="1960"/>
      <c r="C243" s="1951"/>
      <c r="D243" s="3393" t="s">
        <v>1594</v>
      </c>
      <c r="E243" s="3393"/>
      <c r="F243" s="3393"/>
      <c r="G243" s="3393"/>
      <c r="H243" s="3394"/>
      <c r="I243" s="359" t="str">
        <f>IF((OR(ISBLANK(F675),ISBLANK(F676),ISBLANK(#REF!),ISBLANK(K675),ISBLANK(K676),ISBLANK(#REF!))=FALSE),"Complété","À compléter")</f>
        <v>À compléter</v>
      </c>
      <c r="J243" s="3395" t="s">
        <v>187</v>
      </c>
      <c r="K243" s="3395"/>
      <c r="L243" s="3395"/>
      <c r="M243" s="3395"/>
      <c r="N243" s="3395"/>
      <c r="O243" s="3395"/>
      <c r="P243" s="3395"/>
      <c r="Q243" s="1952"/>
      <c r="S243" s="2899"/>
    </row>
    <row r="244" spans="1:19" ht="27.75" customHeight="1" x14ac:dyDescent="0.25">
      <c r="B244" s="1960"/>
      <c r="C244" s="1951"/>
      <c r="D244" s="2068"/>
      <c r="E244" s="2068"/>
      <c r="F244" s="2068"/>
      <c r="G244" s="2068"/>
      <c r="H244" s="2068"/>
      <c r="I244" s="2072"/>
      <c r="J244" s="2070"/>
      <c r="K244" s="2070"/>
      <c r="L244" s="2070"/>
      <c r="M244" s="2070"/>
      <c r="N244" s="2070"/>
      <c r="O244" s="2070"/>
      <c r="P244" s="2070"/>
      <c r="Q244" s="1952"/>
      <c r="S244" s="2899"/>
    </row>
    <row r="245" spans="1:19" ht="18" customHeight="1" x14ac:dyDescent="0.25">
      <c r="B245" s="1960"/>
      <c r="C245" s="2071" t="s">
        <v>1573</v>
      </c>
      <c r="D245" s="2068"/>
      <c r="E245" s="2068"/>
      <c r="F245" s="2068"/>
      <c r="G245" s="1949"/>
      <c r="H245" s="3391" t="s">
        <v>1487</v>
      </c>
      <c r="I245" s="3391"/>
      <c r="J245" s="1949"/>
      <c r="K245" s="1949"/>
      <c r="L245" s="2070"/>
      <c r="M245" s="2070"/>
      <c r="N245" s="2070"/>
      <c r="O245" s="2070"/>
      <c r="P245" s="2070"/>
      <c r="Q245" s="1952"/>
      <c r="S245" s="2899"/>
    </row>
    <row r="246" spans="1:19" ht="13.5" customHeight="1" thickBot="1" x14ac:dyDescent="0.3">
      <c r="B246" s="2059"/>
      <c r="C246" s="1985"/>
      <c r="D246" s="1985"/>
      <c r="E246" s="1985"/>
      <c r="F246" s="1985"/>
      <c r="G246" s="1985"/>
      <c r="H246" s="1985"/>
      <c r="I246" s="1985"/>
      <c r="J246" s="1985"/>
      <c r="K246" s="1985"/>
      <c r="L246" s="1985"/>
      <c r="M246" s="1985"/>
      <c r="N246" s="1985"/>
      <c r="O246" s="1985"/>
      <c r="P246" s="1985"/>
      <c r="Q246" s="2060"/>
      <c r="S246" s="2904"/>
    </row>
    <row r="247" spans="1:19" ht="15.75" thickBot="1" x14ac:dyDescent="0.3">
      <c r="B247" s="699"/>
      <c r="S247" s="627"/>
    </row>
    <row r="248" spans="1:19" ht="22.5" customHeight="1" thickBot="1" x14ac:dyDescent="0.3">
      <c r="A248" s="1225"/>
      <c r="B248" s="1908" t="s">
        <v>2337</v>
      </c>
      <c r="C248" s="1908"/>
      <c r="D248" s="1908"/>
      <c r="E248" s="1908"/>
      <c r="F248" s="1908"/>
      <c r="G248" s="1908"/>
      <c r="H248" s="1908"/>
      <c r="I248" s="1908"/>
      <c r="J248" s="1908"/>
      <c r="K248" s="1908"/>
      <c r="L248" s="1913"/>
      <c r="M248" s="1913"/>
      <c r="N248" s="1913"/>
      <c r="O248" s="3398" t="s">
        <v>1641</v>
      </c>
      <c r="P248" s="3398"/>
      <c r="Q248" s="3398"/>
      <c r="S248" s="628" t="s">
        <v>1537</v>
      </c>
    </row>
    <row r="249" spans="1:19" ht="9.75" customHeight="1" thickBot="1" x14ac:dyDescent="0.3">
      <c r="S249" s="629"/>
    </row>
    <row r="250" spans="1:19" ht="8.25" customHeight="1" x14ac:dyDescent="0.25">
      <c r="B250" s="1989"/>
      <c r="C250" s="1990"/>
      <c r="D250" s="1990"/>
      <c r="E250" s="1991"/>
      <c r="F250" s="1992"/>
      <c r="G250" s="1992"/>
      <c r="H250" s="1992"/>
      <c r="I250" s="1992"/>
      <c r="J250" s="1992"/>
      <c r="K250" s="1992"/>
      <c r="L250" s="1992"/>
      <c r="M250" s="1992"/>
      <c r="N250" s="1992"/>
      <c r="O250" s="1992"/>
      <c r="P250" s="1992"/>
      <c r="Q250" s="1993"/>
      <c r="S250" s="2900"/>
    </row>
    <row r="251" spans="1:19" ht="18" customHeight="1" x14ac:dyDescent="0.25">
      <c r="B251" s="2050"/>
      <c r="C251" s="1995" t="s">
        <v>34</v>
      </c>
      <c r="D251" s="1995"/>
      <c r="E251" s="2051"/>
      <c r="F251" s="1949"/>
      <c r="G251" s="1949"/>
      <c r="H251" s="1949"/>
      <c r="I251" s="1949"/>
      <c r="J251" s="1949"/>
      <c r="K251" s="1949"/>
      <c r="L251" s="1949"/>
      <c r="M251" s="1949"/>
      <c r="N251" s="2052" t="s">
        <v>59</v>
      </c>
      <c r="O251" s="359" t="str">
        <f>IF(OR(ISBLANK(H258))=FALSE,"Complété","À compléter")</f>
        <v>À compléter</v>
      </c>
      <c r="P251" s="1949"/>
      <c r="Q251" s="2057"/>
      <c r="S251" s="2899"/>
    </row>
    <row r="252" spans="1:19" ht="6.75" customHeight="1" x14ac:dyDescent="0.25">
      <c r="B252" s="2053"/>
      <c r="C252" s="2054"/>
      <c r="D252" s="2054"/>
      <c r="E252" s="2054"/>
      <c r="F252" s="1949"/>
      <c r="G252" s="1949"/>
      <c r="H252" s="1949"/>
      <c r="I252" s="1949"/>
      <c r="J252" s="1949"/>
      <c r="K252" s="1949"/>
      <c r="L252" s="1949"/>
      <c r="M252" s="1949"/>
      <c r="N252" s="1949"/>
      <c r="O252" s="1949"/>
      <c r="P252" s="1949"/>
      <c r="Q252" s="2057"/>
      <c r="S252" s="2899"/>
    </row>
    <row r="253" spans="1:19" ht="17.25" customHeight="1" x14ac:dyDescent="0.25">
      <c r="B253" s="2053"/>
      <c r="C253" s="3392" t="s">
        <v>1590</v>
      </c>
      <c r="D253" s="3392"/>
      <c r="E253" s="3392"/>
      <c r="F253" s="3392"/>
      <c r="G253" s="3392"/>
      <c r="H253" s="3392"/>
      <c r="I253" s="3392"/>
      <c r="J253" s="3392"/>
      <c r="K253" s="3392"/>
      <c r="L253" s="3392"/>
      <c r="M253" s="3392"/>
      <c r="N253" s="1949"/>
      <c r="O253" s="1949"/>
      <c r="P253" s="1949"/>
      <c r="Q253" s="2057"/>
      <c r="S253" s="2899"/>
    </row>
    <row r="254" spans="1:19" ht="15" customHeight="1" x14ac:dyDescent="0.25">
      <c r="B254" s="2053"/>
      <c r="C254" s="2054"/>
      <c r="D254" s="2054"/>
      <c r="E254" s="2054"/>
      <c r="F254" s="1949"/>
      <c r="G254" s="1949"/>
      <c r="H254" s="1949"/>
      <c r="I254" s="1949"/>
      <c r="J254" s="1949"/>
      <c r="K254" s="1949"/>
      <c r="L254" s="1949"/>
      <c r="M254" s="1949"/>
      <c r="N254" s="1949"/>
      <c r="O254" s="1949"/>
      <c r="P254" s="1949"/>
      <c r="Q254" s="2057"/>
      <c r="S254" s="2899"/>
    </row>
    <row r="255" spans="1:19" ht="18.75" customHeight="1" x14ac:dyDescent="0.25">
      <c r="B255" s="1960"/>
      <c r="C255" s="2076" t="s">
        <v>214</v>
      </c>
      <c r="D255" s="2000"/>
      <c r="E255" s="1951"/>
      <c r="F255" s="1951"/>
      <c r="G255" s="1951"/>
      <c r="H255" s="1951"/>
      <c r="I255" s="1951"/>
      <c r="J255" s="1951"/>
      <c r="K255" s="1951"/>
      <c r="L255" s="1951"/>
      <c r="M255" s="1951"/>
      <c r="N255" s="1951"/>
      <c r="O255" s="1951"/>
      <c r="P255" s="1951"/>
      <c r="Q255" s="1952"/>
      <c r="S255" s="2899"/>
    </row>
    <row r="256" spans="1:19" ht="6" customHeight="1" x14ac:dyDescent="0.25">
      <c r="B256" s="1960"/>
      <c r="C256" s="2063"/>
      <c r="D256" s="2000"/>
      <c r="E256" s="1951"/>
      <c r="F256" s="1951"/>
      <c r="G256" s="1951"/>
      <c r="H256" s="1951"/>
      <c r="I256" s="1951"/>
      <c r="J256" s="1951"/>
      <c r="K256" s="1951"/>
      <c r="L256" s="1951"/>
      <c r="M256" s="1951"/>
      <c r="N256" s="1951"/>
      <c r="O256" s="1951"/>
      <c r="P256" s="1951"/>
      <c r="Q256" s="1952"/>
      <c r="S256" s="2899"/>
    </row>
    <row r="257" spans="2:19" ht="14.25" customHeight="1" x14ac:dyDescent="0.25">
      <c r="B257" s="1960"/>
      <c r="C257" s="648"/>
      <c r="D257" s="265"/>
      <c r="E257" s="266"/>
      <c r="F257" s="266"/>
      <c r="G257" s="266"/>
      <c r="H257" s="266"/>
      <c r="I257" s="266"/>
      <c r="J257" s="266"/>
      <c r="K257" s="266"/>
      <c r="L257" s="266"/>
      <c r="M257" s="266"/>
      <c r="N257" s="266"/>
      <c r="O257" s="266"/>
      <c r="P257" s="267"/>
      <c r="Q257" s="1952"/>
      <c r="S257" s="2899"/>
    </row>
    <row r="258" spans="2:19" ht="15.75" customHeight="1" x14ac:dyDescent="0.25">
      <c r="B258" s="2058" t="str">
        <f>IF(ISBLANK(H258)=FALSE,"","u")</f>
        <v>u</v>
      </c>
      <c r="C258" s="2929" t="s">
        <v>2050</v>
      </c>
      <c r="D258" s="2930"/>
      <c r="E258" s="2930"/>
      <c r="F258" s="2930"/>
      <c r="G258" s="2930"/>
      <c r="H258" s="2947"/>
      <c r="I258" s="2948"/>
      <c r="J258" s="2948"/>
      <c r="K258" s="2949"/>
      <c r="L258" s="2910" t="str">
        <f>IF(OR(ISBLANK(H258),H258='MENU DÉROULANT'!C83),"","Vous pouvez donc passer à la section suivante du PGA.")</f>
        <v/>
      </c>
      <c r="M258" s="2911"/>
      <c r="N258" s="2911"/>
      <c r="O258" s="2911"/>
      <c r="P258" s="272"/>
      <c r="Q258" s="1952"/>
      <c r="S258" s="2899"/>
    </row>
    <row r="259" spans="2:19" ht="15.75" customHeight="1" x14ac:dyDescent="0.25">
      <c r="B259" s="2058" t="s">
        <v>124</v>
      </c>
      <c r="C259" s="2929"/>
      <c r="D259" s="2930"/>
      <c r="E259" s="2930"/>
      <c r="F259" s="2930"/>
      <c r="G259" s="2930"/>
      <c r="H259" s="2950"/>
      <c r="I259" s="2951"/>
      <c r="J259" s="2951"/>
      <c r="K259" s="2952"/>
      <c r="L259" s="2912" t="str">
        <f>IF(OR(ISBLANK(H258),H258='MENU DÉROULANT'!C83),"","Notez toutefois que dans ce cas, aucun visuel n'apparaitra dans le sommaire concernant la gestion des risques.")</f>
        <v/>
      </c>
      <c r="M259" s="2912"/>
      <c r="N259" s="2912"/>
      <c r="O259" s="2912"/>
      <c r="P259" s="686"/>
      <c r="Q259" s="2077"/>
      <c r="S259" s="2899"/>
    </row>
    <row r="260" spans="2:19" ht="16.5" customHeight="1" x14ac:dyDescent="0.25">
      <c r="B260" s="1960"/>
      <c r="C260" s="649"/>
      <c r="D260" s="647"/>
      <c r="E260" s="85"/>
      <c r="F260" s="85"/>
      <c r="G260" s="85"/>
      <c r="H260" s="85"/>
      <c r="I260" s="85"/>
      <c r="J260" s="85"/>
      <c r="K260" s="85"/>
      <c r="L260" s="2913"/>
      <c r="M260" s="2913"/>
      <c r="N260" s="2913"/>
      <c r="O260" s="2913"/>
      <c r="P260" s="618"/>
      <c r="Q260" s="2077"/>
      <c r="S260" s="2899"/>
    </row>
    <row r="261" spans="2:19" ht="31.5" customHeight="1" x14ac:dyDescent="0.25">
      <c r="B261" s="2058"/>
      <c r="C261" s="385"/>
      <c r="D261" s="297"/>
      <c r="E261" s="658"/>
      <c r="F261" s="2939" t="s">
        <v>130</v>
      </c>
      <c r="G261" s="2939"/>
      <c r="H261" s="2828"/>
      <c r="I261" s="2860"/>
      <c r="J261" s="2860"/>
      <c r="K261" s="2860"/>
      <c r="L261" s="2860"/>
      <c r="M261" s="2860"/>
      <c r="N261" s="2860"/>
      <c r="O261" s="2829"/>
      <c r="P261" s="617"/>
      <c r="Q261" s="1952"/>
      <c r="S261" s="2899"/>
    </row>
    <row r="262" spans="2:19" ht="15" customHeight="1" x14ac:dyDescent="0.25">
      <c r="B262" s="1960"/>
      <c r="C262" s="650"/>
      <c r="D262" s="651"/>
      <c r="E262" s="312"/>
      <c r="F262" s="312"/>
      <c r="G262" s="312"/>
      <c r="H262" s="312"/>
      <c r="I262" s="312"/>
      <c r="J262" s="312"/>
      <c r="K262" s="312"/>
      <c r="L262" s="312"/>
      <c r="M262" s="652"/>
      <c r="N262" s="652"/>
      <c r="O262" s="652"/>
      <c r="P262" s="653"/>
      <c r="Q262" s="2077"/>
      <c r="S262" s="2899"/>
    </row>
    <row r="263" spans="2:19" ht="18.75" customHeight="1" x14ac:dyDescent="0.25">
      <c r="B263" s="1960"/>
      <c r="C263" s="2000"/>
      <c r="D263" s="2000"/>
      <c r="E263" s="1951"/>
      <c r="F263" s="1951"/>
      <c r="G263" s="1951"/>
      <c r="H263" s="1951"/>
      <c r="I263" s="1951"/>
      <c r="J263" s="1951"/>
      <c r="K263" s="1951"/>
      <c r="L263" s="1951"/>
      <c r="M263" s="1951"/>
      <c r="N263" s="1951"/>
      <c r="O263" s="1951"/>
      <c r="P263" s="1951"/>
      <c r="Q263" s="1952"/>
      <c r="S263" s="2899"/>
    </row>
    <row r="264" spans="2:19" ht="12.75" customHeight="1" x14ac:dyDescent="0.25">
      <c r="B264" s="1960"/>
      <c r="C264" s="264"/>
      <c r="D264" s="265"/>
      <c r="E264" s="266"/>
      <c r="F264" s="266"/>
      <c r="G264" s="266"/>
      <c r="H264" s="266"/>
      <c r="I264" s="266"/>
      <c r="J264" s="266"/>
      <c r="K264" s="266"/>
      <c r="L264" s="266"/>
      <c r="M264" s="266"/>
      <c r="N264" s="266"/>
      <c r="O264" s="266"/>
      <c r="P264" s="267"/>
      <c r="Q264" s="1952"/>
      <c r="S264" s="2899"/>
    </row>
    <row r="265" spans="2:19" ht="24" customHeight="1" x14ac:dyDescent="0.25">
      <c r="B265" s="1960"/>
      <c r="C265" s="655" t="s">
        <v>1833</v>
      </c>
      <c r="D265" s="321"/>
      <c r="E265" s="85"/>
      <c r="F265" s="363"/>
      <c r="G265" s="363"/>
      <c r="H265" s="615"/>
      <c r="I265" s="55"/>
      <c r="J265" s="85"/>
      <c r="K265" s="85"/>
      <c r="L265" s="85"/>
      <c r="M265" s="363"/>
      <c r="N265" s="363"/>
      <c r="O265" s="992"/>
      <c r="P265" s="617"/>
      <c r="Q265" s="1952"/>
      <c r="S265" s="2899"/>
    </row>
    <row r="266" spans="2:19" ht="15.75" customHeight="1" x14ac:dyDescent="0.25">
      <c r="B266" s="1960"/>
      <c r="C266" s="656" t="s">
        <v>1866</v>
      </c>
      <c r="D266" s="321"/>
      <c r="E266" s="85"/>
      <c r="F266" s="363"/>
      <c r="G266" s="363"/>
      <c r="H266" s="615"/>
      <c r="I266" s="55"/>
      <c r="J266" s="85"/>
      <c r="K266" s="85"/>
      <c r="L266" s="85"/>
      <c r="M266" s="363"/>
      <c r="N266" s="363"/>
      <c r="O266" s="658"/>
      <c r="P266" s="617"/>
      <c r="Q266" s="1952"/>
      <c r="S266" s="2899"/>
    </row>
    <row r="267" spans="2:19" ht="18.75" customHeight="1" x14ac:dyDescent="0.25">
      <c r="B267" s="1960"/>
      <c r="C267" s="362"/>
      <c r="D267" s="321"/>
      <c r="E267" s="85"/>
      <c r="F267" s="85"/>
      <c r="G267" s="85"/>
      <c r="H267" s="85"/>
      <c r="I267" s="55"/>
      <c r="J267" s="85"/>
      <c r="K267" s="85"/>
      <c r="L267" s="85"/>
      <c r="M267" s="85"/>
      <c r="N267" s="85"/>
      <c r="O267" s="85"/>
      <c r="P267" s="272"/>
      <c r="Q267" s="1952"/>
      <c r="S267" s="2899"/>
    </row>
    <row r="268" spans="2:19" s="72" customFormat="1" ht="21.75" customHeight="1" thickBot="1" x14ac:dyDescent="0.3">
      <c r="B268" s="1960"/>
      <c r="C268" s="368"/>
      <c r="D268" s="2940" t="s">
        <v>1832</v>
      </c>
      <c r="E268" s="2940"/>
      <c r="F268" s="2936" t="s">
        <v>207</v>
      </c>
      <c r="G268" s="2937"/>
      <c r="H268" s="2938"/>
      <c r="I268" s="632" t="s">
        <v>206</v>
      </c>
      <c r="J268" s="633"/>
      <c r="K268" s="633"/>
      <c r="L268" s="633"/>
      <c r="M268" s="633"/>
      <c r="N268" s="633"/>
      <c r="O268" s="357"/>
      <c r="P268" s="272"/>
      <c r="Q268" s="1952"/>
      <c r="S268" s="2899"/>
    </row>
    <row r="269" spans="2:19" ht="26.25" customHeight="1" thickTop="1" x14ac:dyDescent="0.25">
      <c r="B269" s="2058" t="str">
        <f>IF(ISBLANK(F269)=FALSE,"","w")</f>
        <v>w</v>
      </c>
      <c r="C269" s="369"/>
      <c r="D269" s="2924" t="s">
        <v>199</v>
      </c>
      <c r="E269" s="2925"/>
      <c r="F269" s="2918"/>
      <c r="G269" s="2919"/>
      <c r="H269" s="2920"/>
      <c r="I269" s="2926"/>
      <c r="J269" s="2927"/>
      <c r="K269" s="2927"/>
      <c r="L269" s="2927"/>
      <c r="M269" s="2927"/>
      <c r="N269" s="2927"/>
      <c r="O269" s="2928"/>
      <c r="P269" s="272"/>
      <c r="Q269" s="1952"/>
      <c r="S269" s="2899"/>
    </row>
    <row r="270" spans="2:19" ht="26.25" customHeight="1" x14ac:dyDescent="0.25">
      <c r="B270" s="2058" t="str">
        <f>IF(ISBLANK(F270)=FALSE,"","w")</f>
        <v>w</v>
      </c>
      <c r="C270" s="369"/>
      <c r="D270" s="2924" t="s">
        <v>197</v>
      </c>
      <c r="E270" s="2925"/>
      <c r="F270" s="2915"/>
      <c r="G270" s="2916"/>
      <c r="H270" s="2917"/>
      <c r="I270" s="2979"/>
      <c r="J270" s="2980"/>
      <c r="K270" s="2980"/>
      <c r="L270" s="2980"/>
      <c r="M270" s="2980"/>
      <c r="N270" s="2980"/>
      <c r="O270" s="2981"/>
      <c r="P270" s="272"/>
      <c r="Q270" s="1952"/>
      <c r="S270" s="2899"/>
    </row>
    <row r="271" spans="2:19" ht="26.25" customHeight="1" x14ac:dyDescent="0.25">
      <c r="B271" s="2058" t="str">
        <f>IF(ISBLANK(F271)=FALSE,"","w")</f>
        <v>w</v>
      </c>
      <c r="C271" s="369"/>
      <c r="D271" s="2961" t="s">
        <v>198</v>
      </c>
      <c r="E271" s="2962"/>
      <c r="F271" s="2915"/>
      <c r="G271" s="2916"/>
      <c r="H271" s="2917"/>
      <c r="I271" s="2979"/>
      <c r="J271" s="2980"/>
      <c r="K271" s="2980"/>
      <c r="L271" s="2980"/>
      <c r="M271" s="2980"/>
      <c r="N271" s="2980"/>
      <c r="O271" s="2981"/>
      <c r="P271" s="272"/>
      <c r="Q271" s="1952"/>
      <c r="S271" s="2899"/>
    </row>
    <row r="272" spans="2:19" ht="26.25" customHeight="1" x14ac:dyDescent="0.25">
      <c r="B272" s="2058" t="str">
        <f>IF(ISBLANK(F272)=FALSE,"","w")</f>
        <v>w</v>
      </c>
      <c r="C272" s="369"/>
      <c r="D272" s="2961" t="s">
        <v>201</v>
      </c>
      <c r="E272" s="2962"/>
      <c r="F272" s="2915"/>
      <c r="G272" s="2916"/>
      <c r="H272" s="2917"/>
      <c r="I272" s="2979"/>
      <c r="J272" s="2980"/>
      <c r="K272" s="2980"/>
      <c r="L272" s="2980"/>
      <c r="M272" s="2980"/>
      <c r="N272" s="2980"/>
      <c r="O272" s="2981"/>
      <c r="P272" s="272"/>
      <c r="Q272" s="1952"/>
      <c r="S272" s="2899"/>
    </row>
    <row r="273" spans="2:19" ht="26.25" customHeight="1" x14ac:dyDescent="0.25">
      <c r="B273" s="2058" t="str">
        <f>IF(ISBLANK(F273)=FALSE,"","w")</f>
        <v>w</v>
      </c>
      <c r="C273" s="369"/>
      <c r="D273" s="2961" t="s">
        <v>200</v>
      </c>
      <c r="E273" s="2962"/>
      <c r="F273" s="2915"/>
      <c r="G273" s="2916"/>
      <c r="H273" s="2917"/>
      <c r="I273" s="2979"/>
      <c r="J273" s="2980"/>
      <c r="K273" s="2980"/>
      <c r="L273" s="2980"/>
      <c r="M273" s="2980"/>
      <c r="N273" s="2980"/>
      <c r="O273" s="2981"/>
      <c r="P273" s="272"/>
      <c r="Q273" s="1952"/>
      <c r="S273" s="2899"/>
    </row>
    <row r="274" spans="2:19" ht="26.25" customHeight="1" x14ac:dyDescent="0.25">
      <c r="B274" s="1960"/>
      <c r="C274" s="369"/>
      <c r="D274" s="407" t="s">
        <v>224</v>
      </c>
      <c r="E274" s="729"/>
      <c r="F274" s="3211"/>
      <c r="G274" s="3212"/>
      <c r="H274" s="3213"/>
      <c r="I274" s="3208"/>
      <c r="J274" s="3209"/>
      <c r="K274" s="3209"/>
      <c r="L274" s="3209"/>
      <c r="M274" s="3209"/>
      <c r="N274" s="3209"/>
      <c r="O274" s="3210"/>
      <c r="P274" s="617"/>
      <c r="Q274" s="1952"/>
      <c r="S274" s="2899"/>
    </row>
    <row r="275" spans="2:19" ht="22.5" customHeight="1" x14ac:dyDescent="0.25">
      <c r="B275" s="1960"/>
      <c r="C275" s="364"/>
      <c r="D275" s="365"/>
      <c r="E275" s="366"/>
      <c r="F275" s="367"/>
      <c r="G275" s="366"/>
      <c r="H275" s="615"/>
      <c r="I275" s="55"/>
      <c r="J275" s="658"/>
      <c r="K275" s="615"/>
      <c r="L275" s="658"/>
      <c r="M275" s="615"/>
      <c r="N275" s="658"/>
      <c r="O275" s="615"/>
      <c r="P275" s="617"/>
      <c r="Q275" s="1952"/>
      <c r="S275" s="2899"/>
    </row>
    <row r="276" spans="2:19" ht="20.25" customHeight="1" x14ac:dyDescent="0.25">
      <c r="B276" s="1960"/>
      <c r="C276" s="3041" t="s">
        <v>1599</v>
      </c>
      <c r="D276" s="3042"/>
      <c r="E276" s="3043"/>
      <c r="F276" s="3204"/>
      <c r="G276" s="3205"/>
      <c r="H276" s="3205"/>
      <c r="I276" s="3205"/>
      <c r="J276" s="3205"/>
      <c r="K276" s="3205"/>
      <c r="L276" s="3205"/>
      <c r="M276" s="3205"/>
      <c r="N276" s="3205"/>
      <c r="O276" s="3206"/>
      <c r="P276" s="617"/>
      <c r="Q276" s="1952"/>
      <c r="S276" s="2899"/>
    </row>
    <row r="277" spans="2:19" ht="20.25" customHeight="1" x14ac:dyDescent="0.25">
      <c r="B277" s="1960"/>
      <c r="C277" s="3041"/>
      <c r="D277" s="3042"/>
      <c r="E277" s="3043"/>
      <c r="F277" s="2957"/>
      <c r="G277" s="3207"/>
      <c r="H277" s="3207"/>
      <c r="I277" s="3207"/>
      <c r="J277" s="3207"/>
      <c r="K277" s="3207"/>
      <c r="L277" s="3207"/>
      <c r="M277" s="3207"/>
      <c r="N277" s="3207"/>
      <c r="O277" s="2958"/>
      <c r="P277" s="617"/>
      <c r="Q277" s="1952"/>
      <c r="S277" s="2899"/>
    </row>
    <row r="278" spans="2:19" ht="13.5" customHeight="1" x14ac:dyDescent="0.25">
      <c r="B278" s="1960"/>
      <c r="C278" s="677"/>
      <c r="D278" s="321"/>
      <c r="E278" s="658"/>
      <c r="F278" s="615"/>
      <c r="G278" s="658"/>
      <c r="H278" s="615"/>
      <c r="I278" s="55"/>
      <c r="J278" s="658"/>
      <c r="K278" s="615"/>
      <c r="L278" s="658"/>
      <c r="M278" s="615"/>
      <c r="N278" s="658"/>
      <c r="O278" s="615"/>
      <c r="P278" s="617"/>
      <c r="Q278" s="1952"/>
      <c r="S278" s="2899"/>
    </row>
    <row r="279" spans="2:19" ht="18" customHeight="1" x14ac:dyDescent="0.25">
      <c r="B279" s="1960"/>
      <c r="C279" s="773" t="s">
        <v>1862</v>
      </c>
      <c r="D279" s="774"/>
      <c r="E279" s="775"/>
      <c r="F279" s="776"/>
      <c r="G279" s="776"/>
      <c r="H279" s="777"/>
      <c r="I279" s="778"/>
      <c r="J279" s="775"/>
      <c r="K279" s="775"/>
      <c r="L279" s="775"/>
      <c r="M279" s="776"/>
      <c r="N279" s="776"/>
      <c r="O279" s="779"/>
      <c r="P279" s="617"/>
      <c r="Q279" s="1952"/>
      <c r="S279" s="2899"/>
    </row>
    <row r="280" spans="2:19" ht="18" customHeight="1" x14ac:dyDescent="0.25">
      <c r="B280" s="1960"/>
      <c r="C280" s="781" t="s">
        <v>2047</v>
      </c>
      <c r="D280" s="774"/>
      <c r="E280" s="775"/>
      <c r="F280" s="776"/>
      <c r="G280" s="776"/>
      <c r="H280" s="777"/>
      <c r="I280" s="778"/>
      <c r="J280" s="627"/>
      <c r="K280" s="782"/>
      <c r="L280" s="775"/>
      <c r="M280" s="776"/>
      <c r="N280" s="776"/>
      <c r="O280" s="779"/>
      <c r="P280" s="617"/>
      <c r="Q280" s="1952"/>
      <c r="S280" s="2899"/>
    </row>
    <row r="281" spans="2:19" ht="16.5" customHeight="1" x14ac:dyDescent="0.25">
      <c r="B281" s="1960"/>
      <c r="C281" s="783"/>
      <c r="D281" s="774"/>
      <c r="E281" s="775"/>
      <c r="F281" s="776"/>
      <c r="G281" s="776"/>
      <c r="H281" s="777"/>
      <c r="I281" s="778"/>
      <c r="J281" s="784" t="s">
        <v>1618</v>
      </c>
      <c r="K281" s="627"/>
      <c r="L281" s="775"/>
      <c r="M281" s="776"/>
      <c r="N281" s="776"/>
      <c r="O281" s="779"/>
      <c r="P281" s="617"/>
      <c r="Q281" s="1952"/>
      <c r="S281" s="2899"/>
    </row>
    <row r="282" spans="2:19" ht="18" customHeight="1" x14ac:dyDescent="0.25">
      <c r="B282" s="1960"/>
      <c r="C282" s="614"/>
      <c r="D282" s="283"/>
      <c r="E282" s="312"/>
      <c r="F282" s="312"/>
      <c r="G282" s="312"/>
      <c r="H282" s="312"/>
      <c r="I282" s="277"/>
      <c r="J282" s="312"/>
      <c r="K282" s="312"/>
      <c r="L282" s="312"/>
      <c r="M282" s="312"/>
      <c r="N282" s="312"/>
      <c r="O282" s="312"/>
      <c r="P282" s="313"/>
      <c r="Q282" s="1952"/>
      <c r="S282" s="2899"/>
    </row>
    <row r="283" spans="2:19" ht="14.25" customHeight="1" x14ac:dyDescent="0.25">
      <c r="B283" s="1960"/>
      <c r="C283" s="2065"/>
      <c r="D283" s="1951"/>
      <c r="E283" s="1951"/>
      <c r="F283" s="1951"/>
      <c r="G283" s="1951"/>
      <c r="H283" s="1951"/>
      <c r="I283" s="1951"/>
      <c r="J283" s="1951"/>
      <c r="K283" s="1951"/>
      <c r="L283" s="1951"/>
      <c r="M283" s="1951"/>
      <c r="N283" s="1951"/>
      <c r="O283" s="1951"/>
      <c r="P283" s="1951"/>
      <c r="Q283" s="1952"/>
      <c r="S283" s="2899"/>
    </row>
    <row r="284" spans="2:19" ht="17.25" customHeight="1" x14ac:dyDescent="0.25">
      <c r="B284" s="1960"/>
      <c r="C284" s="2066" t="s">
        <v>188</v>
      </c>
      <c r="D284" s="1951"/>
      <c r="E284" s="1951"/>
      <c r="F284" s="1951"/>
      <c r="G284" s="1951"/>
      <c r="H284" s="1951"/>
      <c r="I284" s="1951"/>
      <c r="J284" s="1951"/>
      <c r="K284" s="1951"/>
      <c r="L284" s="1951"/>
      <c r="M284" s="1951"/>
      <c r="N284" s="1951"/>
      <c r="O284" s="1951"/>
      <c r="P284" s="1951"/>
      <c r="Q284" s="1952"/>
      <c r="S284" s="2899"/>
    </row>
    <row r="285" spans="2:19" ht="18" customHeight="1" x14ac:dyDescent="0.25">
      <c r="B285" s="1960"/>
      <c r="C285" s="1949"/>
      <c r="D285" s="2067"/>
      <c r="E285" s="3393" t="s">
        <v>185</v>
      </c>
      <c r="F285" s="3393"/>
      <c r="G285" s="3393"/>
      <c r="H285" s="3394"/>
      <c r="I285" s="359" t="str">
        <f>IF((OR(ISBLANK(F617),ISBLANK(F618),ISBLANK(K617),ISBLANK(K618))=FALSE),"Complété","À compléter")</f>
        <v>À compléter</v>
      </c>
      <c r="J285" s="3395" t="s">
        <v>186</v>
      </c>
      <c r="K285" s="3395"/>
      <c r="L285" s="3395"/>
      <c r="M285" s="3395"/>
      <c r="N285" s="3395"/>
      <c r="O285" s="3395"/>
      <c r="P285" s="3395"/>
      <c r="Q285" s="1952"/>
      <c r="S285" s="2899"/>
    </row>
    <row r="286" spans="2:19" ht="6.75" customHeight="1" x14ac:dyDescent="0.25">
      <c r="B286" s="1960"/>
      <c r="C286" s="1951"/>
      <c r="D286" s="2067"/>
      <c r="E286" s="2067"/>
      <c r="F286" s="2067"/>
      <c r="G286" s="2067"/>
      <c r="H286" s="2067"/>
      <c r="I286" s="1951"/>
      <c r="J286" s="2069"/>
      <c r="K286" s="2069"/>
      <c r="L286" s="2069"/>
      <c r="M286" s="2069"/>
      <c r="N286" s="2069"/>
      <c r="O286" s="2069"/>
      <c r="P286" s="2069"/>
      <c r="Q286" s="1952"/>
      <c r="S286" s="2899"/>
    </row>
    <row r="287" spans="2:19" ht="18" customHeight="1" x14ac:dyDescent="0.25">
      <c r="B287" s="1960"/>
      <c r="C287" s="1951"/>
      <c r="D287" s="3393" t="s">
        <v>1594</v>
      </c>
      <c r="E287" s="3393"/>
      <c r="F287" s="3393"/>
      <c r="G287" s="3393"/>
      <c r="H287" s="3394"/>
      <c r="I287" s="359" t="str">
        <f>IF((OR(ISBLANK(F679),ISBLANK(K679))=FALSE),"Complété","À compléter")</f>
        <v>À compléter</v>
      </c>
      <c r="J287" s="3395" t="s">
        <v>187</v>
      </c>
      <c r="K287" s="3395"/>
      <c r="L287" s="3395"/>
      <c r="M287" s="3395"/>
      <c r="N287" s="3395"/>
      <c r="O287" s="3395"/>
      <c r="P287" s="3395"/>
      <c r="Q287" s="1952"/>
      <c r="S287" s="2899"/>
    </row>
    <row r="288" spans="2:19" ht="17.25" customHeight="1" x14ac:dyDescent="0.25">
      <c r="B288" s="1960"/>
      <c r="C288" s="1951"/>
      <c r="D288" s="2068"/>
      <c r="E288" s="2068"/>
      <c r="F288" s="2068"/>
      <c r="G288" s="2068"/>
      <c r="H288" s="2068"/>
      <c r="I288" s="2072"/>
      <c r="J288" s="2070"/>
      <c r="K288" s="2070"/>
      <c r="L288" s="2070"/>
      <c r="M288" s="2070"/>
      <c r="N288" s="2070"/>
      <c r="O288" s="2070"/>
      <c r="P288" s="2070"/>
      <c r="Q288" s="1952"/>
      <c r="S288" s="2899"/>
    </row>
    <row r="289" spans="1:19" ht="18" customHeight="1" x14ac:dyDescent="0.25">
      <c r="B289" s="1960"/>
      <c r="C289" s="2071" t="s">
        <v>1573</v>
      </c>
      <c r="D289" s="2068"/>
      <c r="E289" s="2068"/>
      <c r="F289" s="2068"/>
      <c r="G289" s="1949"/>
      <c r="H289" s="3391" t="s">
        <v>1521</v>
      </c>
      <c r="I289" s="3391"/>
      <c r="J289" s="1949"/>
      <c r="K289" s="1949"/>
      <c r="L289" s="2070"/>
      <c r="M289" s="2070"/>
      <c r="N289" s="2070"/>
      <c r="O289" s="2070"/>
      <c r="P289" s="2070"/>
      <c r="Q289" s="1952"/>
      <c r="S289" s="2899"/>
    </row>
    <row r="290" spans="1:19" ht="13.5" customHeight="1" thickBot="1" x14ac:dyDescent="0.3">
      <c r="B290" s="2059"/>
      <c r="C290" s="1985"/>
      <c r="D290" s="1985"/>
      <c r="E290" s="1985"/>
      <c r="F290" s="1985"/>
      <c r="G290" s="1985"/>
      <c r="H290" s="1985"/>
      <c r="I290" s="1985"/>
      <c r="J290" s="1985"/>
      <c r="K290" s="1985"/>
      <c r="L290" s="1985"/>
      <c r="M290" s="1985"/>
      <c r="N290" s="1985"/>
      <c r="O290" s="1985"/>
      <c r="P290" s="1985"/>
      <c r="Q290" s="2060"/>
      <c r="S290" s="2904"/>
    </row>
    <row r="291" spans="1:19" ht="15.75" thickBot="1" x14ac:dyDescent="0.3">
      <c r="B291" s="699"/>
      <c r="S291" s="627"/>
    </row>
    <row r="292" spans="1:19" ht="22.5" customHeight="1" thickBot="1" x14ac:dyDescent="0.3">
      <c r="A292" s="1225"/>
      <c r="B292" s="1908" t="s">
        <v>2338</v>
      </c>
      <c r="C292" s="1908"/>
      <c r="D292" s="1908"/>
      <c r="E292" s="1908"/>
      <c r="F292" s="1908"/>
      <c r="G292" s="1908"/>
      <c r="H292" s="1908"/>
      <c r="I292" s="1908"/>
      <c r="J292" s="1908"/>
      <c r="K292" s="1908"/>
      <c r="L292" s="1913"/>
      <c r="M292" s="1913"/>
      <c r="N292" s="1913"/>
      <c r="O292" s="3398" t="s">
        <v>1641</v>
      </c>
      <c r="P292" s="3398"/>
      <c r="Q292" s="3398"/>
      <c r="S292" s="628" t="s">
        <v>1537</v>
      </c>
    </row>
    <row r="293" spans="1:19" ht="9.75" customHeight="1" thickBot="1" x14ac:dyDescent="0.3">
      <c r="S293" s="629"/>
    </row>
    <row r="294" spans="1:19" ht="8.25" customHeight="1" x14ac:dyDescent="0.25">
      <c r="B294" s="1989"/>
      <c r="C294" s="1990"/>
      <c r="D294" s="1990"/>
      <c r="E294" s="1991"/>
      <c r="F294" s="1992"/>
      <c r="G294" s="1992"/>
      <c r="H294" s="1992"/>
      <c r="I294" s="1992"/>
      <c r="J294" s="1992"/>
      <c r="K294" s="1992"/>
      <c r="L294" s="1992"/>
      <c r="M294" s="1992"/>
      <c r="N294" s="1992"/>
      <c r="O294" s="1992"/>
      <c r="P294" s="1992"/>
      <c r="Q294" s="1993"/>
      <c r="S294" s="2900"/>
    </row>
    <row r="295" spans="1:19" ht="18" customHeight="1" x14ac:dyDescent="0.25">
      <c r="B295" s="2050"/>
      <c r="C295" s="1995" t="s">
        <v>80</v>
      </c>
      <c r="D295" s="1995"/>
      <c r="E295" s="2051"/>
      <c r="F295" s="1949"/>
      <c r="G295" s="1949"/>
      <c r="H295" s="1949"/>
      <c r="I295" s="1949"/>
      <c r="J295" s="1949"/>
      <c r="K295" s="1949"/>
      <c r="L295" s="1949"/>
      <c r="M295" s="1949"/>
      <c r="N295" s="2052" t="s">
        <v>59</v>
      </c>
      <c r="O295" s="359" t="str">
        <f>IF(OR(ISBLANK(H302))=FALSE,"Complété","À compléter")</f>
        <v>À compléter</v>
      </c>
      <c r="P295" s="1949"/>
      <c r="Q295" s="2057"/>
      <c r="S295" s="2899"/>
    </row>
    <row r="296" spans="1:19" ht="8.25" customHeight="1" x14ac:dyDescent="0.25">
      <c r="B296" s="2053"/>
      <c r="C296" s="2054"/>
      <c r="D296" s="2054"/>
      <c r="E296" s="2054"/>
      <c r="F296" s="1949"/>
      <c r="G296" s="1949"/>
      <c r="H296" s="1949"/>
      <c r="I296" s="1949"/>
      <c r="J296" s="1949"/>
      <c r="K296" s="1949"/>
      <c r="L296" s="1949"/>
      <c r="M296" s="1949"/>
      <c r="N296" s="1949"/>
      <c r="O296" s="1949"/>
      <c r="P296" s="1949"/>
      <c r="Q296" s="2057"/>
      <c r="S296" s="2899"/>
    </row>
    <row r="297" spans="1:19" ht="17.25" customHeight="1" x14ac:dyDescent="0.25">
      <c r="B297" s="2053"/>
      <c r="C297" s="3392" t="s">
        <v>1590</v>
      </c>
      <c r="D297" s="3392"/>
      <c r="E297" s="3392"/>
      <c r="F297" s="3392"/>
      <c r="G297" s="3392"/>
      <c r="H297" s="3392"/>
      <c r="I297" s="3392"/>
      <c r="J297" s="3392"/>
      <c r="K297" s="3392"/>
      <c r="L297" s="3392"/>
      <c r="M297" s="3392"/>
      <c r="N297" s="1949"/>
      <c r="O297" s="1949"/>
      <c r="P297" s="1949"/>
      <c r="Q297" s="2057"/>
      <c r="S297" s="2899"/>
    </row>
    <row r="298" spans="1:19" ht="15" customHeight="1" x14ac:dyDescent="0.25">
      <c r="B298" s="2053"/>
      <c r="C298" s="2054"/>
      <c r="D298" s="2054"/>
      <c r="E298" s="2054"/>
      <c r="F298" s="1949"/>
      <c r="G298" s="1949"/>
      <c r="H298" s="1949"/>
      <c r="I298" s="1949"/>
      <c r="J298" s="1949"/>
      <c r="K298" s="1949"/>
      <c r="L298" s="1949"/>
      <c r="M298" s="1949"/>
      <c r="N298" s="1949"/>
      <c r="O298" s="1949"/>
      <c r="P298" s="1949"/>
      <c r="Q298" s="2057"/>
      <c r="S298" s="2899"/>
    </row>
    <row r="299" spans="1:19" ht="18.75" customHeight="1" x14ac:dyDescent="0.25">
      <c r="B299" s="1960"/>
      <c r="C299" s="2076" t="s">
        <v>1572</v>
      </c>
      <c r="D299" s="2000"/>
      <c r="E299" s="1951"/>
      <c r="F299" s="1951"/>
      <c r="G299" s="1951"/>
      <c r="H299" s="1951"/>
      <c r="I299" s="1951"/>
      <c r="J299" s="1951"/>
      <c r="K299" s="1951"/>
      <c r="L299" s="1951"/>
      <c r="M299" s="1951"/>
      <c r="N299" s="1951"/>
      <c r="O299" s="1951"/>
      <c r="P299" s="1951"/>
      <c r="Q299" s="1952"/>
      <c r="S299" s="2899"/>
    </row>
    <row r="300" spans="1:19" ht="6" customHeight="1" x14ac:dyDescent="0.25">
      <c r="B300" s="1960"/>
      <c r="C300" s="2063"/>
      <c r="D300" s="2000"/>
      <c r="E300" s="1951"/>
      <c r="F300" s="1951"/>
      <c r="G300" s="1951"/>
      <c r="H300" s="1951"/>
      <c r="I300" s="1951"/>
      <c r="J300" s="1951"/>
      <c r="K300" s="1951"/>
      <c r="L300" s="1951"/>
      <c r="M300" s="1951"/>
      <c r="N300" s="1951"/>
      <c r="O300" s="1951"/>
      <c r="P300" s="1951"/>
      <c r="Q300" s="1952"/>
      <c r="S300" s="2899"/>
    </row>
    <row r="301" spans="1:19" ht="14.25" customHeight="1" x14ac:dyDescent="0.25">
      <c r="B301" s="1960"/>
      <c r="C301" s="648"/>
      <c r="D301" s="265"/>
      <c r="E301" s="266"/>
      <c r="F301" s="266"/>
      <c r="G301" s="266"/>
      <c r="H301" s="266"/>
      <c r="I301" s="266"/>
      <c r="J301" s="266"/>
      <c r="K301" s="266"/>
      <c r="L301" s="266"/>
      <c r="M301" s="266"/>
      <c r="N301" s="266"/>
      <c r="O301" s="266"/>
      <c r="P301" s="267"/>
      <c r="Q301" s="1952"/>
      <c r="S301" s="2899"/>
    </row>
    <row r="302" spans="1:19" ht="15.75" customHeight="1" x14ac:dyDescent="0.25">
      <c r="B302" s="2058" t="str">
        <f>IF(ISBLANK(H302)=FALSE,"","u")</f>
        <v>u</v>
      </c>
      <c r="C302" s="2929" t="s">
        <v>2052</v>
      </c>
      <c r="D302" s="2930"/>
      <c r="E302" s="2930"/>
      <c r="F302" s="2930"/>
      <c r="G302" s="2930"/>
      <c r="H302" s="2947"/>
      <c r="I302" s="2948"/>
      <c r="J302" s="2948"/>
      <c r="K302" s="2949"/>
      <c r="L302" s="2910" t="str">
        <f>IF(OR(ISBLANK(H302),H302='MENU DÉROULANT'!C94),"","Vous pouvez donc passer à la section suivante du PGA.")</f>
        <v/>
      </c>
      <c r="M302" s="2911"/>
      <c r="N302" s="2911"/>
      <c r="O302" s="2911"/>
      <c r="P302" s="272"/>
      <c r="Q302" s="1952"/>
      <c r="S302" s="2899"/>
    </row>
    <row r="303" spans="1:19" ht="15.75" customHeight="1" x14ac:dyDescent="0.25">
      <c r="B303" s="2058" t="s">
        <v>124</v>
      </c>
      <c r="C303" s="2929"/>
      <c r="D303" s="2930"/>
      <c r="E303" s="2930"/>
      <c r="F303" s="2930"/>
      <c r="G303" s="2930"/>
      <c r="H303" s="2950"/>
      <c r="I303" s="2951"/>
      <c r="J303" s="2951"/>
      <c r="K303" s="2952"/>
      <c r="L303" s="2912" t="str">
        <f>IF(OR(ISBLANK(H302),H302='MENU DÉROULANT'!C94),"","Notez toutefois que dans ce cas, aucun visuel n'apparaitra dans le sommaire concernant la gestion de la demande à venir.")</f>
        <v/>
      </c>
      <c r="M303" s="2912"/>
      <c r="N303" s="2912"/>
      <c r="O303" s="2912"/>
      <c r="P303" s="686"/>
      <c r="Q303" s="2077"/>
      <c r="S303" s="2899"/>
    </row>
    <row r="304" spans="1:19" ht="16.5" customHeight="1" x14ac:dyDescent="0.25">
      <c r="B304" s="1960"/>
      <c r="C304" s="649"/>
      <c r="D304" s="647"/>
      <c r="E304" s="85"/>
      <c r="F304" s="85"/>
      <c r="G304" s="85"/>
      <c r="H304" s="85"/>
      <c r="I304" s="85"/>
      <c r="J304" s="85"/>
      <c r="K304" s="85"/>
      <c r="L304" s="2913"/>
      <c r="M304" s="2913"/>
      <c r="N304" s="2913"/>
      <c r="O304" s="2913"/>
      <c r="P304" s="618"/>
      <c r="Q304" s="2077"/>
      <c r="S304" s="2899"/>
    </row>
    <row r="305" spans="2:19" ht="31.5" customHeight="1" x14ac:dyDescent="0.25">
      <c r="B305" s="2058"/>
      <c r="C305" s="385"/>
      <c r="D305" s="297"/>
      <c r="E305" s="658"/>
      <c r="F305" s="2939" t="s">
        <v>130</v>
      </c>
      <c r="G305" s="2939"/>
      <c r="H305" s="2828"/>
      <c r="I305" s="2860"/>
      <c r="J305" s="2860"/>
      <c r="K305" s="2860"/>
      <c r="L305" s="2860"/>
      <c r="M305" s="2860"/>
      <c r="N305" s="2860"/>
      <c r="O305" s="2829"/>
      <c r="P305" s="617"/>
      <c r="Q305" s="1952"/>
      <c r="S305" s="2899"/>
    </row>
    <row r="306" spans="2:19" ht="15" customHeight="1" x14ac:dyDescent="0.25">
      <c r="B306" s="1960"/>
      <c r="C306" s="650"/>
      <c r="D306" s="651"/>
      <c r="E306" s="312"/>
      <c r="F306" s="312"/>
      <c r="G306" s="312"/>
      <c r="H306" s="312"/>
      <c r="I306" s="312"/>
      <c r="J306" s="312"/>
      <c r="K306" s="312"/>
      <c r="L306" s="312"/>
      <c r="M306" s="652"/>
      <c r="N306" s="652"/>
      <c r="O306" s="652"/>
      <c r="P306" s="653"/>
      <c r="Q306" s="2077"/>
      <c r="S306" s="2899"/>
    </row>
    <row r="307" spans="2:19" ht="18.75" customHeight="1" x14ac:dyDescent="0.25">
      <c r="B307" s="1960"/>
      <c r="C307" s="2000"/>
      <c r="D307" s="2000"/>
      <c r="E307" s="1951"/>
      <c r="F307" s="1951"/>
      <c r="G307" s="1951"/>
      <c r="H307" s="1951"/>
      <c r="I307" s="1951"/>
      <c r="J307" s="1951"/>
      <c r="K307" s="1951"/>
      <c r="L307" s="1951"/>
      <c r="M307" s="1951"/>
      <c r="N307" s="1951"/>
      <c r="O307" s="1951"/>
      <c r="P307" s="1951"/>
      <c r="Q307" s="1952"/>
      <c r="S307" s="2899"/>
    </row>
    <row r="308" spans="2:19" ht="10.5" customHeight="1" x14ac:dyDescent="0.25">
      <c r="B308" s="1960"/>
      <c r="C308" s="264"/>
      <c r="D308" s="265"/>
      <c r="E308" s="266"/>
      <c r="F308" s="266"/>
      <c r="G308" s="266"/>
      <c r="H308" s="266"/>
      <c r="I308" s="266"/>
      <c r="J308" s="266"/>
      <c r="K308" s="266"/>
      <c r="L308" s="266"/>
      <c r="M308" s="266"/>
      <c r="N308" s="266"/>
      <c r="O308" s="266"/>
      <c r="P308" s="267"/>
      <c r="Q308" s="1952"/>
      <c r="S308" s="2899"/>
    </row>
    <row r="309" spans="2:19" ht="21.75" customHeight="1" x14ac:dyDescent="0.25">
      <c r="B309" s="1960"/>
      <c r="C309" s="657" t="s">
        <v>1835</v>
      </c>
      <c r="D309" s="321"/>
      <c r="E309" s="85"/>
      <c r="F309" s="363"/>
      <c r="G309" s="363"/>
      <c r="H309" s="615"/>
      <c r="I309" s="55"/>
      <c r="J309" s="85"/>
      <c r="K309" s="85"/>
      <c r="L309" s="85"/>
      <c r="M309" s="363"/>
      <c r="N309" s="363"/>
      <c r="O309" s="992"/>
      <c r="P309" s="617"/>
      <c r="Q309" s="1952"/>
      <c r="S309" s="2899"/>
    </row>
    <row r="310" spans="2:19" ht="15.75" customHeight="1" x14ac:dyDescent="0.25">
      <c r="B310" s="1960"/>
      <c r="C310" s="362"/>
      <c r="D310" s="321"/>
      <c r="E310" s="85"/>
      <c r="F310" s="85"/>
      <c r="G310" s="85"/>
      <c r="H310" s="85"/>
      <c r="I310" s="55"/>
      <c r="J310" s="85"/>
      <c r="K310" s="85"/>
      <c r="L310" s="85"/>
      <c r="M310" s="85"/>
      <c r="N310" s="85"/>
      <c r="O310" s="85"/>
      <c r="P310" s="272"/>
      <c r="Q310" s="1952"/>
      <c r="S310" s="2899"/>
    </row>
    <row r="311" spans="2:19" s="72" customFormat="1" ht="21.75" customHeight="1" thickBot="1" x14ac:dyDescent="0.3">
      <c r="B311" s="1960"/>
      <c r="C311" s="368"/>
      <c r="D311" s="2940" t="s">
        <v>1834</v>
      </c>
      <c r="E311" s="2940"/>
      <c r="F311" s="2936" t="s">
        <v>210</v>
      </c>
      <c r="G311" s="2937"/>
      <c r="H311" s="2938"/>
      <c r="I311" s="632" t="s">
        <v>211</v>
      </c>
      <c r="J311" s="634"/>
      <c r="K311" s="633"/>
      <c r="L311" s="633"/>
      <c r="M311" s="633"/>
      <c r="N311" s="633"/>
      <c r="O311" s="357"/>
      <c r="P311" s="272"/>
      <c r="Q311" s="1952"/>
      <c r="S311" s="2899"/>
    </row>
    <row r="312" spans="2:19" ht="35.25" customHeight="1" thickTop="1" x14ac:dyDescent="0.25">
      <c r="B312" s="2058" t="str">
        <f>IF(ISBLANK(F312)=FALSE,"","w")</f>
        <v>w</v>
      </c>
      <c r="C312" s="369"/>
      <c r="D312" s="2924" t="s">
        <v>193</v>
      </c>
      <c r="E312" s="2925"/>
      <c r="F312" s="2918"/>
      <c r="G312" s="2919"/>
      <c r="H312" s="2920"/>
      <c r="I312" s="2926"/>
      <c r="J312" s="2927"/>
      <c r="K312" s="2927"/>
      <c r="L312" s="2927"/>
      <c r="M312" s="2927"/>
      <c r="N312" s="2927"/>
      <c r="O312" s="2928"/>
      <c r="P312" s="272"/>
      <c r="Q312" s="1952"/>
      <c r="S312" s="2899"/>
    </row>
    <row r="313" spans="2:19" ht="35.25" customHeight="1" x14ac:dyDescent="0.25">
      <c r="B313" s="2058" t="str">
        <f>IF(ISBLANK(F313)=FALSE,"","w")</f>
        <v>w</v>
      </c>
      <c r="C313" s="369"/>
      <c r="D313" s="2961" t="s">
        <v>194</v>
      </c>
      <c r="E313" s="2962"/>
      <c r="F313" s="2915"/>
      <c r="G313" s="2916"/>
      <c r="H313" s="2917"/>
      <c r="I313" s="2979"/>
      <c r="J313" s="2980"/>
      <c r="K313" s="2980"/>
      <c r="L313" s="2980"/>
      <c r="M313" s="2980"/>
      <c r="N313" s="2980"/>
      <c r="O313" s="2981"/>
      <c r="P313" s="272"/>
      <c r="Q313" s="1952"/>
      <c r="S313" s="2899"/>
    </row>
    <row r="314" spans="2:19" ht="35.25" customHeight="1" x14ac:dyDescent="0.25">
      <c r="B314" s="2058" t="str">
        <f>IF(ISBLANK(F314)=FALSE,"","w")</f>
        <v>w</v>
      </c>
      <c r="C314" s="369"/>
      <c r="D314" s="2961" t="s">
        <v>1867</v>
      </c>
      <c r="E314" s="2962"/>
      <c r="F314" s="2915"/>
      <c r="G314" s="2916"/>
      <c r="H314" s="2917"/>
      <c r="I314" s="2979"/>
      <c r="J314" s="2980"/>
      <c r="K314" s="2980"/>
      <c r="L314" s="2980"/>
      <c r="M314" s="2980"/>
      <c r="N314" s="2980"/>
      <c r="O314" s="2981"/>
      <c r="P314" s="272"/>
      <c r="Q314" s="1952"/>
      <c r="S314" s="2899"/>
    </row>
    <row r="315" spans="2:19" ht="35.25" customHeight="1" x14ac:dyDescent="0.25">
      <c r="B315" s="2058" t="str">
        <f>IF(ISBLANK(F315)=FALSE,"","w")</f>
        <v>w</v>
      </c>
      <c r="C315" s="369"/>
      <c r="D315" s="2961" t="s">
        <v>189</v>
      </c>
      <c r="E315" s="2962"/>
      <c r="F315" s="2915"/>
      <c r="G315" s="2916"/>
      <c r="H315" s="2917"/>
      <c r="I315" s="2979"/>
      <c r="J315" s="2980"/>
      <c r="K315" s="2980"/>
      <c r="L315" s="2980"/>
      <c r="M315" s="2980"/>
      <c r="N315" s="2980"/>
      <c r="O315" s="2981"/>
      <c r="P315" s="272"/>
      <c r="Q315" s="1952"/>
      <c r="S315" s="2899"/>
    </row>
    <row r="316" spans="2:19" ht="35.25" customHeight="1" x14ac:dyDescent="0.25">
      <c r="B316" s="2058" t="str">
        <f>IF(ISBLANK(F316)=FALSE,"","w")</f>
        <v>w</v>
      </c>
      <c r="C316" s="369"/>
      <c r="D316" s="2961" t="s">
        <v>190</v>
      </c>
      <c r="E316" s="2962"/>
      <c r="F316" s="2915"/>
      <c r="G316" s="2916"/>
      <c r="H316" s="2917"/>
      <c r="I316" s="2979"/>
      <c r="J316" s="2980"/>
      <c r="K316" s="2980"/>
      <c r="L316" s="2980"/>
      <c r="M316" s="2980"/>
      <c r="N316" s="2980"/>
      <c r="O316" s="2981"/>
      <c r="P316" s="272"/>
      <c r="Q316" s="1952"/>
      <c r="S316" s="2899"/>
    </row>
    <row r="317" spans="2:19" ht="35.25" customHeight="1" x14ac:dyDescent="0.25">
      <c r="B317" s="1960"/>
      <c r="C317" s="369"/>
      <c r="D317" s="407" t="s">
        <v>224</v>
      </c>
      <c r="E317" s="1039"/>
      <c r="F317" s="3211"/>
      <c r="G317" s="3212"/>
      <c r="H317" s="3213"/>
      <c r="I317" s="3208"/>
      <c r="J317" s="3209"/>
      <c r="K317" s="3209"/>
      <c r="L317" s="3209"/>
      <c r="M317" s="3209"/>
      <c r="N317" s="3209"/>
      <c r="O317" s="3210"/>
      <c r="P317" s="617"/>
      <c r="Q317" s="1952"/>
      <c r="S317" s="2899"/>
    </row>
    <row r="318" spans="2:19" ht="22.5" customHeight="1" x14ac:dyDescent="0.25">
      <c r="B318" s="1960"/>
      <c r="C318" s="364"/>
      <c r="D318" s="365"/>
      <c r="E318" s="366"/>
      <c r="F318" s="367"/>
      <c r="G318" s="366"/>
      <c r="H318" s="615"/>
      <c r="I318" s="55"/>
      <c r="J318" s="658"/>
      <c r="K318" s="615"/>
      <c r="L318" s="658"/>
      <c r="M318" s="615"/>
      <c r="N318" s="658"/>
      <c r="O318" s="615"/>
      <c r="P318" s="617"/>
      <c r="Q318" s="1952"/>
      <c r="S318" s="2899"/>
    </row>
    <row r="319" spans="2:19" ht="20.25" customHeight="1" x14ac:dyDescent="0.25">
      <c r="B319" s="1960"/>
      <c r="C319" s="3041" t="s">
        <v>1600</v>
      </c>
      <c r="D319" s="3042"/>
      <c r="E319" s="3043"/>
      <c r="F319" s="3204"/>
      <c r="G319" s="3205"/>
      <c r="H319" s="3205"/>
      <c r="I319" s="3205"/>
      <c r="J319" s="3205"/>
      <c r="K319" s="3205"/>
      <c r="L319" s="3205"/>
      <c r="M319" s="3205"/>
      <c r="N319" s="3205"/>
      <c r="O319" s="3206"/>
      <c r="P319" s="617"/>
      <c r="Q319" s="1952"/>
      <c r="S319" s="2899"/>
    </row>
    <row r="320" spans="2:19" ht="20.25" customHeight="1" x14ac:dyDescent="0.25">
      <c r="B320" s="1960"/>
      <c r="C320" s="3041"/>
      <c r="D320" s="3042"/>
      <c r="E320" s="3043"/>
      <c r="F320" s="2957"/>
      <c r="G320" s="3207"/>
      <c r="H320" s="3207"/>
      <c r="I320" s="3207"/>
      <c r="J320" s="3207"/>
      <c r="K320" s="3207"/>
      <c r="L320" s="3207"/>
      <c r="M320" s="3207"/>
      <c r="N320" s="3207"/>
      <c r="O320" s="2958"/>
      <c r="P320" s="617"/>
      <c r="Q320" s="1952"/>
      <c r="S320" s="2899"/>
    </row>
    <row r="321" spans="1:19" ht="17.25" customHeight="1" x14ac:dyDescent="0.25">
      <c r="B321" s="1960"/>
      <c r="C321" s="677"/>
      <c r="D321" s="321"/>
      <c r="E321" s="658"/>
      <c r="F321" s="615"/>
      <c r="G321" s="658"/>
      <c r="H321" s="615"/>
      <c r="I321" s="55"/>
      <c r="J321" s="658"/>
      <c r="K321" s="615"/>
      <c r="L321" s="658"/>
      <c r="M321" s="615"/>
      <c r="N321" s="658"/>
      <c r="O321" s="615"/>
      <c r="P321" s="617"/>
      <c r="Q321" s="1952"/>
      <c r="S321" s="2899"/>
    </row>
    <row r="322" spans="1:19" ht="18" customHeight="1" x14ac:dyDescent="0.25">
      <c r="B322" s="1960"/>
      <c r="C322" s="773" t="s">
        <v>1601</v>
      </c>
      <c r="D322" s="774"/>
      <c r="E322" s="775"/>
      <c r="F322" s="776"/>
      <c r="G322" s="776"/>
      <c r="H322" s="777"/>
      <c r="I322" s="778"/>
      <c r="J322" s="775"/>
      <c r="K322" s="775"/>
      <c r="L322" s="775"/>
      <c r="M322" s="776"/>
      <c r="N322" s="776"/>
      <c r="O322" s="779"/>
      <c r="P322" s="780"/>
      <c r="Q322" s="1952"/>
      <c r="S322" s="2899"/>
    </row>
    <row r="323" spans="1:19" ht="18" customHeight="1" x14ac:dyDescent="0.25">
      <c r="B323" s="1960"/>
      <c r="C323" s="781" t="s">
        <v>2047</v>
      </c>
      <c r="D323" s="774"/>
      <c r="E323" s="775"/>
      <c r="F323" s="776"/>
      <c r="G323" s="776"/>
      <c r="H323" s="777"/>
      <c r="I323" s="778"/>
      <c r="J323" s="627"/>
      <c r="K323" s="782"/>
      <c r="L323" s="775"/>
      <c r="M323" s="776"/>
      <c r="N323" s="776"/>
      <c r="O323" s="779"/>
      <c r="P323" s="780"/>
      <c r="Q323" s="1952"/>
      <c r="S323" s="2899"/>
    </row>
    <row r="324" spans="1:19" ht="16.5" customHeight="1" x14ac:dyDescent="0.25">
      <c r="B324" s="1960"/>
      <c r="C324" s="783"/>
      <c r="D324" s="774"/>
      <c r="E324" s="775"/>
      <c r="F324" s="776"/>
      <c r="G324" s="776"/>
      <c r="H324" s="777"/>
      <c r="I324" s="778"/>
      <c r="J324" s="784" t="s">
        <v>1618</v>
      </c>
      <c r="K324" s="627"/>
      <c r="L324" s="775"/>
      <c r="M324" s="776"/>
      <c r="N324" s="776"/>
      <c r="O324" s="779"/>
      <c r="P324" s="780"/>
      <c r="Q324" s="1952"/>
      <c r="S324" s="2899"/>
    </row>
    <row r="325" spans="1:19" ht="18" customHeight="1" x14ac:dyDescent="0.25">
      <c r="B325" s="1960"/>
      <c r="C325" s="614"/>
      <c r="D325" s="283"/>
      <c r="E325" s="312"/>
      <c r="F325" s="312"/>
      <c r="G325" s="312"/>
      <c r="H325" s="312"/>
      <c r="I325" s="277"/>
      <c r="J325" s="312"/>
      <c r="K325" s="312"/>
      <c r="L325" s="312"/>
      <c r="M325" s="312"/>
      <c r="N325" s="312"/>
      <c r="O325" s="312"/>
      <c r="P325" s="313"/>
      <c r="Q325" s="1952"/>
      <c r="S325" s="2899"/>
    </row>
    <row r="326" spans="1:19" ht="18.75" customHeight="1" x14ac:dyDescent="0.25">
      <c r="B326" s="1960"/>
      <c r="C326" s="2065"/>
      <c r="D326" s="1951"/>
      <c r="E326" s="1951"/>
      <c r="F326" s="1951"/>
      <c r="G326" s="1951"/>
      <c r="H326" s="1951"/>
      <c r="I326" s="1951"/>
      <c r="J326" s="1951"/>
      <c r="K326" s="1951"/>
      <c r="L326" s="1951"/>
      <c r="M326" s="1951"/>
      <c r="N326" s="1951"/>
      <c r="O326" s="1951"/>
      <c r="P326" s="1951"/>
      <c r="Q326" s="1952"/>
      <c r="S326" s="2899"/>
    </row>
    <row r="327" spans="1:19" ht="17.25" customHeight="1" x14ac:dyDescent="0.25">
      <c r="B327" s="1960"/>
      <c r="C327" s="2066" t="s">
        <v>188</v>
      </c>
      <c r="D327" s="1951"/>
      <c r="E327" s="1951"/>
      <c r="F327" s="1951"/>
      <c r="G327" s="1951"/>
      <c r="H327" s="1951"/>
      <c r="I327" s="1951"/>
      <c r="J327" s="1951"/>
      <c r="K327" s="1951"/>
      <c r="L327" s="1951"/>
      <c r="M327" s="1951"/>
      <c r="N327" s="1951"/>
      <c r="O327" s="1951"/>
      <c r="P327" s="1951"/>
      <c r="Q327" s="1952"/>
      <c r="S327" s="2899"/>
    </row>
    <row r="328" spans="1:19" ht="18" customHeight="1" x14ac:dyDescent="0.25">
      <c r="B328" s="1960"/>
      <c r="C328" s="1949"/>
      <c r="D328" s="2067"/>
      <c r="E328" s="3393" t="s">
        <v>185</v>
      </c>
      <c r="F328" s="3393"/>
      <c r="G328" s="3393"/>
      <c r="H328" s="3394"/>
      <c r="I328" s="359" t="str">
        <f>IF((OR(ISBLANK(F622),ISBLANK(K622))=FALSE),"Complété","À compléter")</f>
        <v>À compléter</v>
      </c>
      <c r="J328" s="3395" t="s">
        <v>186</v>
      </c>
      <c r="K328" s="3395"/>
      <c r="L328" s="3395"/>
      <c r="M328" s="3395"/>
      <c r="N328" s="3395"/>
      <c r="O328" s="3395"/>
      <c r="P328" s="3395"/>
      <c r="Q328" s="1952"/>
      <c r="S328" s="2899"/>
    </row>
    <row r="329" spans="1:19" ht="6.75" customHeight="1" x14ac:dyDescent="0.25">
      <c r="B329" s="1960"/>
      <c r="C329" s="1951"/>
      <c r="D329" s="2067"/>
      <c r="E329" s="2067"/>
      <c r="F329" s="2067"/>
      <c r="G329" s="2067"/>
      <c r="H329" s="2067"/>
      <c r="I329" s="1951"/>
      <c r="J329" s="2069"/>
      <c r="K329" s="2069"/>
      <c r="L329" s="2069"/>
      <c r="M329" s="2069"/>
      <c r="N329" s="2069"/>
      <c r="O329" s="2069"/>
      <c r="P329" s="2069"/>
      <c r="Q329" s="1952"/>
      <c r="S329" s="2899"/>
    </row>
    <row r="330" spans="1:19" ht="18" customHeight="1" x14ac:dyDescent="0.25">
      <c r="B330" s="1960"/>
      <c r="C330" s="1951"/>
      <c r="D330" s="3393" t="s">
        <v>1594</v>
      </c>
      <c r="E330" s="3393"/>
      <c r="F330" s="3393"/>
      <c r="G330" s="3393"/>
      <c r="H330" s="3394"/>
      <c r="I330" s="359" t="str">
        <f>IF((OR(ISBLANK(F682),ISBLANK(K682))=FALSE),"Complété","À compléter")</f>
        <v>À compléter</v>
      </c>
      <c r="J330" s="3395" t="s">
        <v>187</v>
      </c>
      <c r="K330" s="3395"/>
      <c r="L330" s="3395"/>
      <c r="M330" s="3395"/>
      <c r="N330" s="3395"/>
      <c r="O330" s="3395"/>
      <c r="P330" s="3395"/>
      <c r="Q330" s="1952"/>
      <c r="S330" s="2899"/>
    </row>
    <row r="331" spans="1:19" ht="17.25" customHeight="1" x14ac:dyDescent="0.25">
      <c r="B331" s="1960"/>
      <c r="C331" s="1951"/>
      <c r="D331" s="2068"/>
      <c r="E331" s="2068"/>
      <c r="F331" s="2068"/>
      <c r="G331" s="2068"/>
      <c r="H331" s="2068"/>
      <c r="I331" s="2072"/>
      <c r="J331" s="2070"/>
      <c r="K331" s="2070"/>
      <c r="L331" s="2070"/>
      <c r="M331" s="2070"/>
      <c r="N331" s="2070"/>
      <c r="O331" s="2070"/>
      <c r="P331" s="2070"/>
      <c r="Q331" s="1952"/>
      <c r="S331" s="2899"/>
    </row>
    <row r="332" spans="1:19" ht="18" customHeight="1" x14ac:dyDescent="0.25">
      <c r="B332" s="1960"/>
      <c r="C332" s="2071" t="s">
        <v>1573</v>
      </c>
      <c r="D332" s="2068"/>
      <c r="E332" s="2068"/>
      <c r="F332" s="2068"/>
      <c r="G332" s="1949"/>
      <c r="H332" s="3391" t="s">
        <v>1506</v>
      </c>
      <c r="I332" s="3391"/>
      <c r="J332" s="1949"/>
      <c r="K332" s="1949"/>
      <c r="L332" s="2070"/>
      <c r="M332" s="2070"/>
      <c r="N332" s="2070"/>
      <c r="O332" s="2070"/>
      <c r="P332" s="2070"/>
      <c r="Q332" s="1952"/>
      <c r="S332" s="2899"/>
    </row>
    <row r="333" spans="1:19" ht="17.25" customHeight="1" thickBot="1" x14ac:dyDescent="0.3">
      <c r="B333" s="2059"/>
      <c r="C333" s="1985"/>
      <c r="D333" s="1985"/>
      <c r="E333" s="1985"/>
      <c r="F333" s="1985"/>
      <c r="G333" s="1985"/>
      <c r="H333" s="1985"/>
      <c r="I333" s="1985"/>
      <c r="J333" s="1985"/>
      <c r="K333" s="1985"/>
      <c r="L333" s="1985"/>
      <c r="M333" s="1985"/>
      <c r="N333" s="1985"/>
      <c r="O333" s="1985"/>
      <c r="P333" s="1985"/>
      <c r="Q333" s="2060"/>
      <c r="S333" s="2904"/>
    </row>
    <row r="334" spans="1:19" ht="9.75" customHeight="1" thickBot="1" x14ac:dyDescent="0.3">
      <c r="B334" s="699"/>
      <c r="S334" s="627"/>
    </row>
    <row r="335" spans="1:19" ht="22.5" customHeight="1" thickBot="1" x14ac:dyDescent="0.3">
      <c r="A335" s="1225"/>
      <c r="B335" s="1908" t="s">
        <v>81</v>
      </c>
      <c r="C335" s="1908"/>
      <c r="D335" s="1908"/>
      <c r="E335" s="1908"/>
      <c r="F335" s="1908"/>
      <c r="G335" s="1908"/>
      <c r="H335" s="1908"/>
      <c r="I335" s="1908"/>
      <c r="J335" s="1908"/>
      <c r="K335" s="1908"/>
      <c r="L335" s="1913"/>
      <c r="M335" s="1913"/>
      <c r="N335" s="1913"/>
      <c r="O335" s="3398" t="s">
        <v>1641</v>
      </c>
      <c r="P335" s="3398"/>
      <c r="Q335" s="3398"/>
      <c r="S335" s="628" t="s">
        <v>1537</v>
      </c>
    </row>
    <row r="336" spans="1:19" ht="9.75" customHeight="1" thickBot="1" x14ac:dyDescent="0.3">
      <c r="S336" s="629"/>
    </row>
    <row r="337" spans="2:19" ht="8.25" customHeight="1" x14ac:dyDescent="0.25">
      <c r="B337" s="1989"/>
      <c r="C337" s="1990"/>
      <c r="D337" s="1990"/>
      <c r="E337" s="1991"/>
      <c r="F337" s="1992"/>
      <c r="G337" s="1992"/>
      <c r="H337" s="1992"/>
      <c r="I337" s="1992"/>
      <c r="J337" s="1992"/>
      <c r="K337" s="1992"/>
      <c r="L337" s="1992"/>
      <c r="M337" s="1992"/>
      <c r="N337" s="1992"/>
      <c r="O337" s="1992"/>
      <c r="P337" s="1992"/>
      <c r="Q337" s="1993"/>
      <c r="S337" s="2900"/>
    </row>
    <row r="338" spans="2:19" ht="18" customHeight="1" x14ac:dyDescent="0.25">
      <c r="B338" s="1994"/>
      <c r="C338" s="1995" t="s">
        <v>82</v>
      </c>
      <c r="D338" s="1995"/>
      <c r="E338" s="2062"/>
      <c r="F338" s="2078"/>
      <c r="G338" s="2079"/>
      <c r="H338" s="2080"/>
      <c r="I338" s="1997"/>
      <c r="J338" s="1997"/>
      <c r="K338" s="1997"/>
      <c r="L338" s="1997"/>
      <c r="M338" s="1997"/>
      <c r="N338" s="2052" t="s">
        <v>59</v>
      </c>
      <c r="O338" s="359" t="str">
        <f>IF((COUNTBLANK(B348:B366)=ROWS(B348:B366)),"Complété","À compléter")</f>
        <v>À compléter</v>
      </c>
      <c r="P338" s="1997"/>
      <c r="Q338" s="1998"/>
      <c r="S338" s="2899"/>
    </row>
    <row r="339" spans="2:19" ht="6.75" customHeight="1" x14ac:dyDescent="0.25">
      <c r="B339" s="1994"/>
      <c r="C339" s="1996"/>
      <c r="D339" s="1996"/>
      <c r="E339" s="1996"/>
      <c r="F339" s="1997"/>
      <c r="G339" s="1997"/>
      <c r="H339" s="1997"/>
      <c r="I339" s="1997"/>
      <c r="J339" s="1997"/>
      <c r="K339" s="1997"/>
      <c r="L339" s="1997"/>
      <c r="M339" s="1997"/>
      <c r="N339" s="1997"/>
      <c r="O339" s="1997"/>
      <c r="P339" s="1997"/>
      <c r="Q339" s="1998"/>
      <c r="S339" s="2899"/>
    </row>
    <row r="340" spans="2:19" ht="17.25" customHeight="1" x14ac:dyDescent="0.25">
      <c r="B340" s="2053"/>
      <c r="C340" s="3392" t="s">
        <v>1590</v>
      </c>
      <c r="D340" s="3392"/>
      <c r="E340" s="3392"/>
      <c r="F340" s="3392"/>
      <c r="G340" s="3392"/>
      <c r="H340" s="3392"/>
      <c r="I340" s="3392"/>
      <c r="J340" s="3392"/>
      <c r="K340" s="3392"/>
      <c r="L340" s="3392"/>
      <c r="M340" s="3392"/>
      <c r="N340" s="1949"/>
      <c r="O340" s="1949"/>
      <c r="P340" s="1949"/>
      <c r="Q340" s="2057"/>
      <c r="S340" s="2899"/>
    </row>
    <row r="341" spans="2:19" ht="15" customHeight="1" x14ac:dyDescent="0.25">
      <c r="B341" s="2053"/>
      <c r="C341" s="2054"/>
      <c r="D341" s="2054"/>
      <c r="E341" s="2054"/>
      <c r="F341" s="1949"/>
      <c r="G341" s="1949"/>
      <c r="H341" s="1949"/>
      <c r="I341" s="1949"/>
      <c r="J341" s="1949"/>
      <c r="K341" s="1949"/>
      <c r="L341" s="1949"/>
      <c r="M341" s="1949"/>
      <c r="N341" s="1949"/>
      <c r="O341" s="1949"/>
      <c r="P341" s="1949"/>
      <c r="Q341" s="2057"/>
      <c r="S341" s="2899"/>
    </row>
    <row r="342" spans="2:19" ht="19.5" customHeight="1" x14ac:dyDescent="0.25">
      <c r="B342" s="1960"/>
      <c r="C342" s="2081" t="s">
        <v>2054</v>
      </c>
      <c r="D342" s="2000"/>
      <c r="E342" s="1949"/>
      <c r="F342" s="1949"/>
      <c r="G342" s="2076" t="s">
        <v>1616</v>
      </c>
      <c r="H342" s="2082"/>
      <c r="I342" s="1949"/>
      <c r="J342" s="1951"/>
      <c r="K342" s="1951"/>
      <c r="L342" s="1951"/>
      <c r="M342" s="1951"/>
      <c r="N342" s="1951"/>
      <c r="O342" s="1951"/>
      <c r="P342" s="1951"/>
      <c r="Q342" s="1952"/>
      <c r="S342" s="2899"/>
    </row>
    <row r="343" spans="2:19" ht="23.25" customHeight="1" x14ac:dyDescent="0.25">
      <c r="B343" s="1960"/>
      <c r="C343" s="2055"/>
      <c r="D343" s="2000"/>
      <c r="E343" s="2082"/>
      <c r="F343" s="1949"/>
      <c r="G343" s="2083" t="s">
        <v>2055</v>
      </c>
      <c r="H343" s="1949"/>
      <c r="I343" s="1949"/>
      <c r="J343" s="1951"/>
      <c r="K343" s="1951"/>
      <c r="L343" s="1951"/>
      <c r="M343" s="1951"/>
      <c r="N343" s="1951"/>
      <c r="O343" s="1951"/>
      <c r="P343" s="1951"/>
      <c r="Q343" s="1952"/>
      <c r="S343" s="2899"/>
    </row>
    <row r="344" spans="2:19" ht="16.5" customHeight="1" x14ac:dyDescent="0.25">
      <c r="B344" s="1960"/>
      <c r="C344" s="2056" t="s">
        <v>1551</v>
      </c>
      <c r="D344" s="2001"/>
      <c r="E344" s="1951"/>
      <c r="F344" s="1951"/>
      <c r="G344" s="1951"/>
      <c r="H344" s="1951"/>
      <c r="I344" s="1951"/>
      <c r="J344" s="1951"/>
      <c r="K344" s="1951"/>
      <c r="L344" s="1951"/>
      <c r="M344" s="1951"/>
      <c r="N344" s="1951"/>
      <c r="O344" s="1951"/>
      <c r="P344" s="1951"/>
      <c r="Q344" s="1952"/>
      <c r="S344" s="2899"/>
    </row>
    <row r="345" spans="2:19" ht="18.75" customHeight="1" x14ac:dyDescent="0.25">
      <c r="B345" s="1960"/>
      <c r="C345" s="2084" t="s">
        <v>1605</v>
      </c>
      <c r="D345" s="2001"/>
      <c r="E345" s="1951"/>
      <c r="F345" s="1951"/>
      <c r="G345" s="1951"/>
      <c r="H345" s="1951"/>
      <c r="I345" s="1951"/>
      <c r="J345" s="1951"/>
      <c r="K345" s="1951"/>
      <c r="L345" s="1951"/>
      <c r="M345" s="1951"/>
      <c r="N345" s="1951"/>
      <c r="O345" s="1951"/>
      <c r="P345" s="1951"/>
      <c r="Q345" s="1952"/>
      <c r="S345" s="2899"/>
    </row>
    <row r="346" spans="2:19" ht="17.25" customHeight="1" x14ac:dyDescent="0.25">
      <c r="B346" s="1960"/>
      <c r="C346" s="2085" t="s">
        <v>1777</v>
      </c>
      <c r="D346" s="2000"/>
      <c r="E346" s="1951"/>
      <c r="F346" s="1951"/>
      <c r="G346" s="1951"/>
      <c r="H346" s="1951"/>
      <c r="I346" s="1951"/>
      <c r="J346" s="1951"/>
      <c r="K346" s="1951"/>
      <c r="L346" s="1951"/>
      <c r="M346" s="1951"/>
      <c r="N346" s="1951"/>
      <c r="O346" s="1951"/>
      <c r="P346" s="1951"/>
      <c r="Q346" s="1952"/>
      <c r="S346" s="2899"/>
    </row>
    <row r="347" spans="2:19" ht="20.25" customHeight="1" x14ac:dyDescent="0.25">
      <c r="B347" s="1960"/>
      <c r="C347" s="2000"/>
      <c r="D347" s="2000"/>
      <c r="E347" s="1951"/>
      <c r="F347" s="1951"/>
      <c r="G347" s="1951"/>
      <c r="H347" s="1951"/>
      <c r="I347" s="1951"/>
      <c r="J347" s="1951"/>
      <c r="K347" s="1951"/>
      <c r="L347" s="1951"/>
      <c r="M347" s="1951"/>
      <c r="N347" s="1951"/>
      <c r="O347" s="1951"/>
      <c r="P347" s="1951"/>
      <c r="Q347" s="1952"/>
      <c r="S347" s="2899"/>
    </row>
    <row r="348" spans="2:19" ht="6" customHeight="1" x14ac:dyDescent="0.25">
      <c r="B348" s="1960"/>
      <c r="C348" s="264"/>
      <c r="D348" s="265"/>
      <c r="E348" s="266"/>
      <c r="F348" s="266"/>
      <c r="G348" s="266"/>
      <c r="H348" s="266"/>
      <c r="I348" s="266"/>
      <c r="J348" s="266"/>
      <c r="K348" s="266"/>
      <c r="L348" s="266"/>
      <c r="M348" s="266"/>
      <c r="N348" s="266"/>
      <c r="O348" s="266"/>
      <c r="P348" s="267"/>
      <c r="Q348" s="1952"/>
      <c r="S348" s="2899"/>
    </row>
    <row r="349" spans="2:19" ht="10.5" customHeight="1" x14ac:dyDescent="0.25">
      <c r="B349" s="1960"/>
      <c r="C349" s="3215" t="s">
        <v>2016</v>
      </c>
      <c r="D349" s="321"/>
      <c r="E349" s="85"/>
      <c r="F349" s="2939"/>
      <c r="G349" s="2939"/>
      <c r="H349" s="501"/>
      <c r="I349" s="55"/>
      <c r="J349" s="85"/>
      <c r="K349" s="85"/>
      <c r="L349" s="85"/>
      <c r="M349" s="2939"/>
      <c r="N349" s="2939"/>
      <c r="O349" s="501"/>
      <c r="P349" s="617"/>
      <c r="Q349" s="1952"/>
      <c r="S349" s="2899"/>
    </row>
    <row r="350" spans="2:19" ht="8.25" customHeight="1" x14ac:dyDescent="0.25">
      <c r="B350" s="1960"/>
      <c r="C350" s="3215"/>
      <c r="D350" s="321"/>
      <c r="E350" s="85"/>
      <c r="F350" s="85"/>
      <c r="G350" s="85"/>
      <c r="H350" s="85"/>
      <c r="I350" s="55"/>
      <c r="J350" s="85"/>
      <c r="K350" s="85"/>
      <c r="L350" s="85"/>
      <c r="M350" s="85"/>
      <c r="N350" s="85"/>
      <c r="O350" s="85"/>
      <c r="P350" s="272"/>
      <c r="Q350" s="1952"/>
      <c r="S350" s="2899"/>
    </row>
    <row r="351" spans="2:19" ht="17.25" customHeight="1" x14ac:dyDescent="0.25">
      <c r="B351" s="2058" t="str">
        <f>IF(OR(ISBLANK(F351),ISBLANK(H351),ISBLANK(K351),ISBLANK(M351),ISBLANK(O351))=FALSE,"","u")</f>
        <v>u</v>
      </c>
      <c r="C351" s="3215"/>
      <c r="D351" s="321"/>
      <c r="E351" s="658" t="s">
        <v>1</v>
      </c>
      <c r="F351" s="575"/>
      <c r="G351" s="658" t="s">
        <v>2</v>
      </c>
      <c r="H351" s="575"/>
      <c r="I351" s="55"/>
      <c r="J351" s="658" t="s">
        <v>5</v>
      </c>
      <c r="K351" s="575"/>
      <c r="L351" s="658" t="s">
        <v>3</v>
      </c>
      <c r="M351" s="575"/>
      <c r="N351" s="658" t="s">
        <v>4</v>
      </c>
      <c r="O351" s="575"/>
      <c r="P351" s="617"/>
      <c r="Q351" s="1952"/>
      <c r="S351" s="2899"/>
    </row>
    <row r="352" spans="2:19" s="325" customFormat="1" ht="11.25" customHeight="1" x14ac:dyDescent="0.2">
      <c r="B352" s="1960"/>
      <c r="C352" s="3215"/>
      <c r="D352" s="675"/>
      <c r="E352" s="658"/>
      <c r="F352" s="615"/>
      <c r="G352" s="658"/>
      <c r="H352" s="615"/>
      <c r="I352" s="324"/>
      <c r="J352" s="658"/>
      <c r="K352" s="615"/>
      <c r="L352" s="658"/>
      <c r="M352" s="615"/>
      <c r="N352" s="658"/>
      <c r="O352" s="615"/>
      <c r="P352" s="617"/>
      <c r="Q352" s="1952"/>
      <c r="S352" s="2899"/>
    </row>
    <row r="353" spans="2:19" s="325" customFormat="1" ht="17.25" customHeight="1" x14ac:dyDescent="0.2">
      <c r="B353" s="1960"/>
      <c r="C353" s="323"/>
      <c r="D353" s="675"/>
      <c r="E353" s="658"/>
      <c r="F353" s="2939" t="s">
        <v>1466</v>
      </c>
      <c r="G353" s="2985"/>
      <c r="H353" s="728">
        <f>F351+H351</f>
        <v>0</v>
      </c>
      <c r="I353" s="324"/>
      <c r="J353" s="658"/>
      <c r="K353" s="615"/>
      <c r="L353" s="658"/>
      <c r="M353" s="2939" t="s">
        <v>1467</v>
      </c>
      <c r="N353" s="2985"/>
      <c r="O353" s="728">
        <f>K351+M351+O351</f>
        <v>0</v>
      </c>
      <c r="P353" s="617"/>
      <c r="Q353" s="1952"/>
      <c r="S353" s="2899"/>
    </row>
    <row r="354" spans="2:19" s="325" customFormat="1" ht="11.25" customHeight="1" x14ac:dyDescent="0.2">
      <c r="B354" s="1960"/>
      <c r="C354" s="323"/>
      <c r="D354" s="675"/>
      <c r="E354" s="658"/>
      <c r="F354" s="615"/>
      <c r="G354" s="658"/>
      <c r="H354" s="615"/>
      <c r="I354" s="324"/>
      <c r="J354" s="658"/>
      <c r="K354" s="615"/>
      <c r="L354" s="658"/>
      <c r="M354" s="615"/>
      <c r="N354" s="658"/>
      <c r="O354" s="615"/>
      <c r="P354" s="617"/>
      <c r="Q354" s="1952"/>
      <c r="S354" s="2899"/>
    </row>
    <row r="355" spans="2:19" s="325" customFormat="1" ht="32.25" customHeight="1" x14ac:dyDescent="0.2">
      <c r="B355" s="1960"/>
      <c r="C355" s="323"/>
      <c r="D355" s="675"/>
      <c r="E355" s="326" t="s">
        <v>131</v>
      </c>
      <c r="F355" s="727">
        <f>F351+H351+K351+M351+O351</f>
        <v>0</v>
      </c>
      <c r="G355" s="3248" t="s">
        <v>130</v>
      </c>
      <c r="H355" s="2939"/>
      <c r="I355" s="2828"/>
      <c r="J355" s="2860"/>
      <c r="K355" s="2860"/>
      <c r="L355" s="2860"/>
      <c r="M355" s="2860"/>
      <c r="N355" s="2860"/>
      <c r="O355" s="2829"/>
      <c r="P355" s="617"/>
      <c r="Q355" s="1952"/>
      <c r="S355" s="2899"/>
    </row>
    <row r="356" spans="2:19" s="325" customFormat="1" ht="10.5" customHeight="1" x14ac:dyDescent="0.2">
      <c r="B356" s="1960"/>
      <c r="C356" s="678"/>
      <c r="D356" s="679"/>
      <c r="E356" s="278"/>
      <c r="F356" s="289"/>
      <c r="G356" s="278"/>
      <c r="H356" s="289"/>
      <c r="I356" s="327"/>
      <c r="J356" s="278"/>
      <c r="K356" s="289"/>
      <c r="L356" s="278"/>
      <c r="M356" s="289"/>
      <c r="N356" s="278"/>
      <c r="O356" s="289"/>
      <c r="P356" s="279"/>
      <c r="Q356" s="1952"/>
      <c r="S356" s="2899"/>
    </row>
    <row r="357" spans="2:19" ht="14.25" customHeight="1" x14ac:dyDescent="0.25">
      <c r="B357" s="1960"/>
      <c r="C357" s="1951"/>
      <c r="D357" s="1951"/>
      <c r="E357" s="1951"/>
      <c r="F357" s="1951"/>
      <c r="G357" s="1951"/>
      <c r="H357" s="1951"/>
      <c r="I357" s="1951"/>
      <c r="J357" s="1951"/>
      <c r="K357" s="1951"/>
      <c r="L357" s="1951"/>
      <c r="M357" s="1951"/>
      <c r="N357" s="1951"/>
      <c r="O357" s="1951"/>
      <c r="P357" s="1951"/>
      <c r="Q357" s="1952"/>
      <c r="S357" s="2899"/>
    </row>
    <row r="358" spans="2:19" ht="6" customHeight="1" x14ac:dyDescent="0.25">
      <c r="B358" s="1960"/>
      <c r="C358" s="264"/>
      <c r="D358" s="265"/>
      <c r="E358" s="266"/>
      <c r="F358" s="266"/>
      <c r="G358" s="266"/>
      <c r="H358" s="266"/>
      <c r="I358" s="266"/>
      <c r="J358" s="266"/>
      <c r="K358" s="266"/>
      <c r="L358" s="266"/>
      <c r="M358" s="266"/>
      <c r="N358" s="266"/>
      <c r="O358" s="266"/>
      <c r="P358" s="267"/>
      <c r="Q358" s="1952"/>
      <c r="S358" s="2899"/>
    </row>
    <row r="359" spans="2:19" ht="10.5" customHeight="1" x14ac:dyDescent="0.25">
      <c r="B359" s="1960"/>
      <c r="C359" s="3215" t="s">
        <v>2025</v>
      </c>
      <c r="D359" s="321"/>
      <c r="E359" s="85"/>
      <c r="F359" s="2939"/>
      <c r="G359" s="2939"/>
      <c r="H359" s="501"/>
      <c r="I359" s="55"/>
      <c r="J359" s="85"/>
      <c r="K359" s="85"/>
      <c r="L359" s="85"/>
      <c r="M359" s="2939"/>
      <c r="N359" s="2939"/>
      <c r="O359" s="501"/>
      <c r="P359" s="617"/>
      <c r="Q359" s="1952"/>
      <c r="S359" s="2899"/>
    </row>
    <row r="360" spans="2:19" ht="8.25" customHeight="1" x14ac:dyDescent="0.25">
      <c r="B360" s="1960"/>
      <c r="C360" s="3215"/>
      <c r="D360" s="321"/>
      <c r="E360" s="85"/>
      <c r="F360" s="85"/>
      <c r="G360" s="85"/>
      <c r="H360" s="85"/>
      <c r="I360" s="55"/>
      <c r="J360" s="85"/>
      <c r="K360" s="85"/>
      <c r="L360" s="85"/>
      <c r="M360" s="85"/>
      <c r="N360" s="85"/>
      <c r="O360" s="85"/>
      <c r="P360" s="272"/>
      <c r="Q360" s="1952"/>
      <c r="S360" s="2899"/>
    </row>
    <row r="361" spans="2:19" ht="17.25" customHeight="1" x14ac:dyDescent="0.25">
      <c r="B361" s="2058" t="str">
        <f>IF(OR(ISBLANK(F361),ISBLANK(H361),ISBLANK(K361),ISBLANK(M361),ISBLANK(O361))=FALSE,"","u")</f>
        <v>u</v>
      </c>
      <c r="C361" s="3215"/>
      <c r="D361" s="321"/>
      <c r="E361" s="658" t="s">
        <v>1</v>
      </c>
      <c r="F361" s="575"/>
      <c r="G361" s="658" t="s">
        <v>2</v>
      </c>
      <c r="H361" s="575"/>
      <c r="I361" s="55"/>
      <c r="J361" s="658" t="s">
        <v>5</v>
      </c>
      <c r="K361" s="575"/>
      <c r="L361" s="658" t="s">
        <v>3</v>
      </c>
      <c r="M361" s="575"/>
      <c r="N361" s="658" t="s">
        <v>4</v>
      </c>
      <c r="O361" s="575"/>
      <c r="P361" s="617"/>
      <c r="Q361" s="1952"/>
      <c r="S361" s="2899"/>
    </row>
    <row r="362" spans="2:19" s="325" customFormat="1" ht="11.25" customHeight="1" x14ac:dyDescent="0.2">
      <c r="B362" s="1960"/>
      <c r="C362" s="323"/>
      <c r="D362" s="675"/>
      <c r="E362" s="658"/>
      <c r="F362" s="615"/>
      <c r="G362" s="658"/>
      <c r="H362" s="615"/>
      <c r="I362" s="324"/>
      <c r="J362" s="658"/>
      <c r="K362" s="615"/>
      <c r="L362" s="658"/>
      <c r="M362" s="615"/>
      <c r="N362" s="658"/>
      <c r="O362" s="615"/>
      <c r="P362" s="617"/>
      <c r="Q362" s="1952"/>
      <c r="S362" s="2899"/>
    </row>
    <row r="363" spans="2:19" s="325" customFormat="1" ht="17.25" customHeight="1" x14ac:dyDescent="0.2">
      <c r="B363" s="1960"/>
      <c r="C363" s="323"/>
      <c r="D363" s="675"/>
      <c r="E363" s="658"/>
      <c r="F363" s="2939" t="s">
        <v>1466</v>
      </c>
      <c r="G363" s="2985"/>
      <c r="H363" s="728">
        <f>F361+H361</f>
        <v>0</v>
      </c>
      <c r="I363" s="324"/>
      <c r="J363" s="658"/>
      <c r="K363" s="615"/>
      <c r="L363" s="658"/>
      <c r="M363" s="2939" t="s">
        <v>1467</v>
      </c>
      <c r="N363" s="2985"/>
      <c r="O363" s="728">
        <f>K361+M361+O361</f>
        <v>0</v>
      </c>
      <c r="P363" s="617"/>
      <c r="Q363" s="1952"/>
      <c r="S363" s="2899"/>
    </row>
    <row r="364" spans="2:19" s="325" customFormat="1" ht="11.25" customHeight="1" x14ac:dyDescent="0.2">
      <c r="B364" s="1960"/>
      <c r="C364" s="323"/>
      <c r="D364" s="675"/>
      <c r="E364" s="658"/>
      <c r="F364" s="615"/>
      <c r="G364" s="658"/>
      <c r="H364" s="615"/>
      <c r="I364" s="324"/>
      <c r="J364" s="658"/>
      <c r="K364" s="615"/>
      <c r="L364" s="658"/>
      <c r="M364" s="615"/>
      <c r="N364" s="658"/>
      <c r="O364" s="615"/>
      <c r="P364" s="617"/>
      <c r="Q364" s="1952"/>
      <c r="S364" s="2899"/>
    </row>
    <row r="365" spans="2:19" s="325" customFormat="1" ht="32.25" customHeight="1" x14ac:dyDescent="0.2">
      <c r="B365" s="1960"/>
      <c r="C365" s="323"/>
      <c r="D365" s="675"/>
      <c r="E365" s="326" t="s">
        <v>131</v>
      </c>
      <c r="F365" s="727">
        <f>F361+H361+K361+M361+O361</f>
        <v>0</v>
      </c>
      <c r="G365" s="3248" t="s">
        <v>130</v>
      </c>
      <c r="H365" s="2939"/>
      <c r="I365" s="2828"/>
      <c r="J365" s="2860"/>
      <c r="K365" s="2860"/>
      <c r="L365" s="2860"/>
      <c r="M365" s="2860"/>
      <c r="N365" s="2860"/>
      <c r="O365" s="2829"/>
      <c r="P365" s="617"/>
      <c r="Q365" s="1952"/>
      <c r="S365" s="2899"/>
    </row>
    <row r="366" spans="2:19" ht="12" customHeight="1" x14ac:dyDescent="0.25">
      <c r="B366" s="1960"/>
      <c r="C366" s="282"/>
      <c r="D366" s="283"/>
      <c r="E366" s="278"/>
      <c r="F366" s="289"/>
      <c r="G366" s="278"/>
      <c r="H366" s="289"/>
      <c r="I366" s="277"/>
      <c r="J366" s="278"/>
      <c r="K366" s="289"/>
      <c r="L366" s="278"/>
      <c r="M366" s="289"/>
      <c r="N366" s="278"/>
      <c r="O366" s="289"/>
      <c r="P366" s="279"/>
      <c r="Q366" s="1952"/>
      <c r="S366" s="2899"/>
    </row>
    <row r="367" spans="2:19" ht="15.75" customHeight="1" x14ac:dyDescent="0.25">
      <c r="B367" s="1960"/>
      <c r="C367" s="2065"/>
      <c r="D367" s="1951"/>
      <c r="E367" s="1951"/>
      <c r="F367" s="1951"/>
      <c r="G367" s="1951"/>
      <c r="H367" s="1951"/>
      <c r="I367" s="1951"/>
      <c r="J367" s="1951"/>
      <c r="K367" s="1951"/>
      <c r="L367" s="1951"/>
      <c r="M367" s="1951"/>
      <c r="N367" s="1951"/>
      <c r="O367" s="1951"/>
      <c r="P367" s="1951"/>
      <c r="Q367" s="1952"/>
      <c r="S367" s="2899"/>
    </row>
    <row r="368" spans="2:19" ht="17.25" customHeight="1" x14ac:dyDescent="0.25">
      <c r="B368" s="1960"/>
      <c r="C368" s="2055" t="s">
        <v>188</v>
      </c>
      <c r="D368" s="1951"/>
      <c r="E368" s="1951"/>
      <c r="F368" s="1951"/>
      <c r="G368" s="1951"/>
      <c r="H368" s="1951"/>
      <c r="I368" s="1951"/>
      <c r="J368" s="1951"/>
      <c r="K368" s="1951"/>
      <c r="L368" s="1951"/>
      <c r="M368" s="1951"/>
      <c r="N368" s="1951"/>
      <c r="O368" s="1951"/>
      <c r="P368" s="1951"/>
      <c r="Q368" s="1952"/>
      <c r="S368" s="2899"/>
    </row>
    <row r="369" spans="1:19" ht="18" customHeight="1" x14ac:dyDescent="0.25">
      <c r="B369" s="1960"/>
      <c r="C369" s="1949"/>
      <c r="D369" s="2067"/>
      <c r="E369" s="3393" t="s">
        <v>185</v>
      </c>
      <c r="F369" s="3393"/>
      <c r="G369" s="3393"/>
      <c r="H369" s="3394"/>
      <c r="I369" s="359" t="str">
        <f>IF((OR(ISBLANK(F625),ISBLANK(F630),ISBLANK(K625),ISBLANK(K630))=FALSE),"Complété","À compléter")</f>
        <v>À compléter</v>
      </c>
      <c r="J369" s="3395" t="s">
        <v>186</v>
      </c>
      <c r="K369" s="3395"/>
      <c r="L369" s="3395"/>
      <c r="M369" s="3395"/>
      <c r="N369" s="3395"/>
      <c r="O369" s="3395"/>
      <c r="P369" s="3395"/>
      <c r="Q369" s="1952"/>
      <c r="S369" s="2899"/>
    </row>
    <row r="370" spans="1:19" ht="6.75" customHeight="1" x14ac:dyDescent="0.25">
      <c r="B370" s="1960"/>
      <c r="C370" s="1951"/>
      <c r="D370" s="2067"/>
      <c r="E370" s="2067"/>
      <c r="F370" s="2067"/>
      <c r="G370" s="2067"/>
      <c r="H370" s="2067"/>
      <c r="I370" s="1951"/>
      <c r="J370" s="2069"/>
      <c r="K370" s="2069"/>
      <c r="L370" s="2069"/>
      <c r="M370" s="2069"/>
      <c r="N370" s="2069"/>
      <c r="O370" s="2069"/>
      <c r="P370" s="2069"/>
      <c r="Q370" s="1952"/>
      <c r="S370" s="2899"/>
    </row>
    <row r="371" spans="1:19" ht="18" customHeight="1" x14ac:dyDescent="0.25">
      <c r="B371" s="1960"/>
      <c r="C371" s="1951"/>
      <c r="D371" s="3393" t="s">
        <v>1594</v>
      </c>
      <c r="E371" s="3393"/>
      <c r="F371" s="3393"/>
      <c r="G371" s="3393"/>
      <c r="H371" s="3394"/>
      <c r="I371" s="359" t="str">
        <f>IF((OR(ISBLANK(F685),ISBLANK(F689),ISBLANK(K685),ISBLANK(K689))=FALSE),"Complété","À compléter")</f>
        <v>À compléter</v>
      </c>
      <c r="J371" s="3395" t="s">
        <v>187</v>
      </c>
      <c r="K371" s="3395"/>
      <c r="L371" s="3395"/>
      <c r="M371" s="3395"/>
      <c r="N371" s="3395"/>
      <c r="O371" s="3395"/>
      <c r="P371" s="3395"/>
      <c r="Q371" s="1952"/>
      <c r="S371" s="2899"/>
    </row>
    <row r="372" spans="1:19" ht="22.5" customHeight="1" thickBot="1" x14ac:dyDescent="0.3">
      <c r="B372" s="1982"/>
      <c r="C372" s="1987"/>
      <c r="D372" s="1987"/>
      <c r="E372" s="1987"/>
      <c r="F372" s="1987"/>
      <c r="G372" s="1987"/>
      <c r="H372" s="1987"/>
      <c r="I372" s="1987"/>
      <c r="J372" s="1987"/>
      <c r="K372" s="1987"/>
      <c r="L372" s="1987"/>
      <c r="M372" s="1987"/>
      <c r="N372" s="1987"/>
      <c r="O372" s="1987"/>
      <c r="P372" s="1987"/>
      <c r="Q372" s="1988"/>
      <c r="S372" s="2899"/>
    </row>
    <row r="373" spans="1:19" ht="9.75" customHeight="1" thickBot="1" x14ac:dyDescent="0.3">
      <c r="B373" s="699"/>
      <c r="S373" s="2899"/>
    </row>
    <row r="374" spans="1:19" ht="8.25" customHeight="1" x14ac:dyDescent="0.25">
      <c r="B374" s="1989"/>
      <c r="C374" s="1990"/>
      <c r="D374" s="1990"/>
      <c r="E374" s="1991"/>
      <c r="F374" s="1992"/>
      <c r="G374" s="1992"/>
      <c r="H374" s="1992"/>
      <c r="I374" s="1992"/>
      <c r="J374" s="1992"/>
      <c r="K374" s="1992"/>
      <c r="L374" s="1992"/>
      <c r="M374" s="1992"/>
      <c r="N374" s="1992"/>
      <c r="O374" s="1992"/>
      <c r="P374" s="1992"/>
      <c r="Q374" s="1993"/>
      <c r="S374" s="2899"/>
    </row>
    <row r="375" spans="1:19" ht="18" customHeight="1" x14ac:dyDescent="0.25">
      <c r="A375" s="1225"/>
      <c r="B375" s="1994"/>
      <c r="C375" s="1995" t="s">
        <v>83</v>
      </c>
      <c r="D375" s="1995"/>
      <c r="E375" s="1996"/>
      <c r="F375" s="2075"/>
      <c r="G375" s="1949"/>
      <c r="H375" s="2075"/>
      <c r="I375" s="1949"/>
      <c r="J375" s="2075"/>
      <c r="K375" s="1997"/>
      <c r="L375" s="1997"/>
      <c r="M375" s="1997"/>
      <c r="N375" s="2052" t="s">
        <v>59</v>
      </c>
      <c r="O375" s="359" t="str">
        <f>IF(COUNTIF(B407:B494,"u")=0,"Complété","À compléter")</f>
        <v>À compléter</v>
      </c>
      <c r="P375" s="1997"/>
      <c r="Q375" s="1998"/>
      <c r="S375" s="2899"/>
    </row>
    <row r="376" spans="1:19" ht="6.75" customHeight="1" x14ac:dyDescent="0.25">
      <c r="B376" s="1994"/>
      <c r="C376" s="1996"/>
      <c r="D376" s="1996"/>
      <c r="E376" s="1996"/>
      <c r="F376" s="1997"/>
      <c r="G376" s="1997"/>
      <c r="H376" s="1997"/>
      <c r="I376" s="1997"/>
      <c r="J376" s="1997"/>
      <c r="K376" s="1997"/>
      <c r="L376" s="1997"/>
      <c r="M376" s="1997"/>
      <c r="N376" s="1997"/>
      <c r="O376" s="1997"/>
      <c r="P376" s="1997"/>
      <c r="Q376" s="1998"/>
      <c r="S376" s="2899"/>
    </row>
    <row r="377" spans="1:19" ht="17.25" customHeight="1" x14ac:dyDescent="0.25">
      <c r="B377" s="2053"/>
      <c r="C377" s="3392" t="s">
        <v>1590</v>
      </c>
      <c r="D377" s="3392"/>
      <c r="E377" s="3392"/>
      <c r="F377" s="3392"/>
      <c r="G377" s="3392"/>
      <c r="H377" s="3392"/>
      <c r="I377" s="3392"/>
      <c r="J377" s="3392"/>
      <c r="K377" s="3392"/>
      <c r="L377" s="3392"/>
      <c r="M377" s="3392"/>
      <c r="N377" s="1949"/>
      <c r="O377" s="1949"/>
      <c r="P377" s="1949"/>
      <c r="Q377" s="2057"/>
      <c r="S377" s="2899"/>
    </row>
    <row r="378" spans="1:19" ht="11.25" customHeight="1" x14ac:dyDescent="0.25">
      <c r="B378" s="2053"/>
      <c r="C378" s="2054"/>
      <c r="D378" s="2054"/>
      <c r="E378" s="2054"/>
      <c r="F378" s="1949"/>
      <c r="G378" s="1949"/>
      <c r="H378" s="1949"/>
      <c r="I378" s="1949"/>
      <c r="J378" s="1949"/>
      <c r="K378" s="1949"/>
      <c r="L378" s="1949"/>
      <c r="M378" s="1949"/>
      <c r="N378" s="1949"/>
      <c r="O378" s="1949"/>
      <c r="P378" s="1949"/>
      <c r="Q378" s="2057"/>
      <c r="S378" s="2899"/>
    </row>
    <row r="379" spans="1:19" ht="17.25" customHeight="1" x14ac:dyDescent="0.25">
      <c r="B379" s="1960"/>
      <c r="C379" s="2086" t="s">
        <v>1557</v>
      </c>
      <c r="D379" s="2000"/>
      <c r="E379" s="1951"/>
      <c r="F379" s="1951"/>
      <c r="G379" s="1949"/>
      <c r="H379" s="1949" t="s">
        <v>1614</v>
      </c>
      <c r="I379" s="1951"/>
      <c r="J379" s="1951"/>
      <c r="K379" s="1951"/>
      <c r="L379" s="1951"/>
      <c r="M379" s="1951"/>
      <c r="N379" s="1951"/>
      <c r="O379" s="1951"/>
      <c r="P379" s="1951"/>
      <c r="Q379" s="1952"/>
      <c r="S379" s="2899"/>
    </row>
    <row r="380" spans="1:19" ht="25.5" customHeight="1" x14ac:dyDescent="0.25">
      <c r="B380" s="1960"/>
      <c r="C380" s="2055"/>
      <c r="D380" s="2000"/>
      <c r="E380" s="1951"/>
      <c r="F380" s="1951"/>
      <c r="G380" s="1949"/>
      <c r="H380" s="2087" t="s">
        <v>2055</v>
      </c>
      <c r="I380" s="1951"/>
      <c r="J380" s="1951"/>
      <c r="K380" s="1951"/>
      <c r="L380" s="1951"/>
      <c r="M380" s="1951"/>
      <c r="N380" s="1951"/>
      <c r="O380" s="1951"/>
      <c r="P380" s="1951"/>
      <c r="Q380" s="1952"/>
      <c r="S380" s="2899"/>
    </row>
    <row r="381" spans="1:19" ht="16.5" customHeight="1" x14ac:dyDescent="0.25">
      <c r="B381" s="1960"/>
      <c r="C381" s="2088" t="s">
        <v>1553</v>
      </c>
      <c r="D381" s="2001"/>
      <c r="E381" s="1951"/>
      <c r="F381" s="1951"/>
      <c r="G381" s="1951"/>
      <c r="H381" s="1951"/>
      <c r="I381" s="1951"/>
      <c r="J381" s="1951"/>
      <c r="K381" s="1951"/>
      <c r="L381" s="1951"/>
      <c r="M381" s="1951"/>
      <c r="N381" s="1951"/>
      <c r="O381" s="1951"/>
      <c r="P381" s="1951"/>
      <c r="Q381" s="1952"/>
      <c r="S381" s="2899"/>
    </row>
    <row r="382" spans="1:19" ht="18.75" customHeight="1" x14ac:dyDescent="0.25">
      <c r="B382" s="1960"/>
      <c r="C382" s="2089" t="s">
        <v>1613</v>
      </c>
      <c r="D382" s="2001"/>
      <c r="E382" s="1951"/>
      <c r="F382" s="1951"/>
      <c r="G382" s="1951"/>
      <c r="H382" s="1951"/>
      <c r="I382" s="1951"/>
      <c r="J382" s="1951"/>
      <c r="K382" s="1951"/>
      <c r="L382" s="1951"/>
      <c r="M382" s="1951"/>
      <c r="N382" s="1951"/>
      <c r="O382" s="1951"/>
      <c r="P382" s="1951"/>
      <c r="Q382" s="1952"/>
      <c r="S382" s="2899"/>
    </row>
    <row r="383" spans="1:19" ht="17.25" customHeight="1" x14ac:dyDescent="0.25">
      <c r="B383" s="1960"/>
      <c r="C383" s="2090"/>
      <c r="D383" s="2001"/>
      <c r="E383" s="1951"/>
      <c r="F383" s="1951"/>
      <c r="G383" s="1951"/>
      <c r="H383" s="1951"/>
      <c r="I383" s="1951"/>
      <c r="J383" s="1951"/>
      <c r="K383" s="1951"/>
      <c r="L383" s="1951"/>
      <c r="M383" s="1951"/>
      <c r="N383" s="1951"/>
      <c r="O383" s="1951"/>
      <c r="P383" s="1951"/>
      <c r="Q383" s="1952"/>
      <c r="S383" s="2899"/>
    </row>
    <row r="384" spans="1:19" ht="12" customHeight="1" x14ac:dyDescent="0.25">
      <c r="B384" s="1960"/>
      <c r="C384" s="328"/>
      <c r="D384" s="329"/>
      <c r="E384" s="266"/>
      <c r="F384" s="266"/>
      <c r="G384" s="266"/>
      <c r="H384" s="266"/>
      <c r="I384" s="266"/>
      <c r="J384" s="266"/>
      <c r="K384" s="266"/>
      <c r="L384" s="266"/>
      <c r="M384" s="266"/>
      <c r="N384" s="266"/>
      <c r="O384" s="266"/>
      <c r="P384" s="267"/>
      <c r="Q384" s="1952"/>
      <c r="S384" s="2899"/>
    </row>
    <row r="385" spans="2:19" ht="20.25" customHeight="1" x14ac:dyDescent="0.25">
      <c r="B385" s="1960"/>
      <c r="C385" s="613" t="s">
        <v>1554</v>
      </c>
      <c r="D385" s="496"/>
      <c r="E385" s="496"/>
      <c r="F385" s="496"/>
      <c r="G385" s="496"/>
      <c r="H385" s="496"/>
      <c r="I385" s="496"/>
      <c r="J385" s="496"/>
      <c r="K385" s="496"/>
      <c r="L385" s="496"/>
      <c r="M385" s="496"/>
      <c r="N385" s="496"/>
      <c r="O385" s="496"/>
      <c r="P385" s="272"/>
      <c r="Q385" s="1952"/>
      <c r="S385" s="2899"/>
    </row>
    <row r="386" spans="2:19" ht="20.25" customHeight="1" x14ac:dyDescent="0.25">
      <c r="B386" s="1960"/>
      <c r="C386" s="498" t="s">
        <v>1438</v>
      </c>
      <c r="D386" s="612" t="s">
        <v>1868</v>
      </c>
      <c r="E386" s="496"/>
      <c r="F386" s="496"/>
      <c r="G386" s="496"/>
      <c r="H386" s="496"/>
      <c r="I386" s="496"/>
      <c r="J386" s="496"/>
      <c r="K386" s="496"/>
      <c r="L386" s="496"/>
      <c r="M386" s="496"/>
      <c r="N386" s="496"/>
      <c r="O386" s="496"/>
      <c r="P386" s="272"/>
      <c r="Q386" s="1952"/>
      <c r="S386" s="2899"/>
    </row>
    <row r="387" spans="2:19" ht="20.25" customHeight="1" x14ac:dyDescent="0.25">
      <c r="B387" s="1960"/>
      <c r="C387" s="498" t="s">
        <v>1438</v>
      </c>
      <c r="D387" s="612" t="s">
        <v>1579</v>
      </c>
      <c r="E387" s="496"/>
      <c r="F387" s="496"/>
      <c r="G387" s="496"/>
      <c r="H387" s="496"/>
      <c r="I387" s="496"/>
      <c r="J387" s="496"/>
      <c r="K387" s="496"/>
      <c r="L387" s="496"/>
      <c r="M387" s="496"/>
      <c r="N387" s="496"/>
      <c r="O387" s="496"/>
      <c r="P387" s="272"/>
      <c r="Q387" s="1952"/>
      <c r="S387" s="2899"/>
    </row>
    <row r="388" spans="2:19" ht="15.75" customHeight="1" x14ac:dyDescent="0.25">
      <c r="B388" s="1960"/>
      <c r="C388" s="498"/>
      <c r="D388" s="497" t="s">
        <v>1580</v>
      </c>
      <c r="E388" s="496"/>
      <c r="F388" s="496"/>
      <c r="G388" s="496"/>
      <c r="H388" s="496"/>
      <c r="I388" s="496"/>
      <c r="J388" s="496"/>
      <c r="K388" s="496"/>
      <c r="L388" s="496"/>
      <c r="M388" s="496"/>
      <c r="N388" s="496"/>
      <c r="O388" s="496"/>
      <c r="P388" s="272"/>
      <c r="Q388" s="1952"/>
      <c r="S388" s="2899"/>
    </row>
    <row r="389" spans="2:19" ht="7.5" customHeight="1" x14ac:dyDescent="0.25">
      <c r="B389" s="1960"/>
      <c r="C389" s="498"/>
      <c r="D389" s="497"/>
      <c r="E389" s="496"/>
      <c r="F389" s="496"/>
      <c r="G389" s="496"/>
      <c r="H389" s="496"/>
      <c r="I389" s="496"/>
      <c r="J389" s="496"/>
      <c r="K389" s="496"/>
      <c r="L389" s="496"/>
      <c r="M389" s="496"/>
      <c r="N389" s="496"/>
      <c r="O389" s="496"/>
      <c r="P389" s="272"/>
      <c r="Q389" s="1952"/>
      <c r="S389" s="2899"/>
    </row>
    <row r="390" spans="2:19" ht="15" customHeight="1" x14ac:dyDescent="0.25">
      <c r="B390" s="1960"/>
      <c r="C390" s="104"/>
      <c r="D390" s="684" t="s">
        <v>1581</v>
      </c>
      <c r="E390" s="496"/>
      <c r="F390" s="496"/>
      <c r="G390" s="496"/>
      <c r="H390" s="496"/>
      <c r="I390" s="496"/>
      <c r="J390" s="496"/>
      <c r="K390" s="496"/>
      <c r="L390" s="496"/>
      <c r="M390" s="496"/>
      <c r="N390" s="496"/>
      <c r="O390" s="496"/>
      <c r="P390" s="272"/>
      <c r="Q390" s="1952"/>
      <c r="S390" s="2899"/>
    </row>
    <row r="391" spans="2:19" ht="20.25" customHeight="1" x14ac:dyDescent="0.25">
      <c r="B391" s="1960"/>
      <c r="C391" s="104"/>
      <c r="D391" s="684" t="s">
        <v>1582</v>
      </c>
      <c r="E391" s="496"/>
      <c r="F391" s="496"/>
      <c r="G391" s="496"/>
      <c r="H391" s="496"/>
      <c r="I391" s="496"/>
      <c r="J391" s="496"/>
      <c r="K391" s="496"/>
      <c r="L391" s="496"/>
      <c r="M391" s="496"/>
      <c r="N391" s="496"/>
      <c r="O391" s="496"/>
      <c r="P391" s="272"/>
      <c r="Q391" s="1952"/>
      <c r="S391" s="2899"/>
    </row>
    <row r="392" spans="2:19" ht="18.75" customHeight="1" x14ac:dyDescent="0.3">
      <c r="B392" s="1960"/>
      <c r="C392" s="104"/>
      <c r="D392" s="682" t="s">
        <v>1438</v>
      </c>
      <c r="E392" s="631" t="s">
        <v>1555</v>
      </c>
      <c r="F392" s="496"/>
      <c r="G392" s="496"/>
      <c r="H392" s="496"/>
      <c r="I392" s="496"/>
      <c r="J392" s="496"/>
      <c r="K392" s="496"/>
      <c r="L392" s="496"/>
      <c r="M392" s="496"/>
      <c r="N392" s="496"/>
      <c r="O392" s="496"/>
      <c r="P392" s="272"/>
      <c r="Q392" s="1952"/>
      <c r="S392" s="2899"/>
    </row>
    <row r="393" spans="2:19" ht="18.75" customHeight="1" x14ac:dyDescent="0.25">
      <c r="B393" s="1960"/>
      <c r="C393" s="104"/>
      <c r="D393" s="683"/>
      <c r="E393" s="497" t="s">
        <v>1610</v>
      </c>
      <c r="F393" s="496"/>
      <c r="G393" s="496"/>
      <c r="H393" s="496"/>
      <c r="I393" s="496"/>
      <c r="J393" s="496"/>
      <c r="K393" s="496"/>
      <c r="L393" s="496"/>
      <c r="M393" s="496"/>
      <c r="N393" s="496"/>
      <c r="O393" s="496"/>
      <c r="P393" s="272"/>
      <c r="Q393" s="1952"/>
      <c r="S393" s="2899"/>
    </row>
    <row r="394" spans="2:19" ht="18.75" customHeight="1" x14ac:dyDescent="0.25">
      <c r="B394" s="1960"/>
      <c r="C394" s="104"/>
      <c r="D394" s="683" t="s">
        <v>1438</v>
      </c>
      <c r="E394" s="499" t="s">
        <v>1611</v>
      </c>
      <c r="F394" s="496"/>
      <c r="G394" s="496"/>
      <c r="H394" s="496"/>
      <c r="I394" s="496"/>
      <c r="J394" s="496"/>
      <c r="K394" s="496"/>
      <c r="L394" s="496"/>
      <c r="M394" s="496"/>
      <c r="N394" s="496"/>
      <c r="O394" s="496"/>
      <c r="P394" s="272"/>
      <c r="Q394" s="1952"/>
      <c r="S394" s="2899"/>
    </row>
    <row r="395" spans="2:19" ht="18.75" customHeight="1" x14ac:dyDescent="0.25">
      <c r="B395" s="1960"/>
      <c r="C395" s="104"/>
      <c r="D395" s="683" t="s">
        <v>1438</v>
      </c>
      <c r="E395" s="499" t="s">
        <v>1612</v>
      </c>
      <c r="F395" s="496"/>
      <c r="G395" s="496"/>
      <c r="H395" s="496"/>
      <c r="I395" s="496"/>
      <c r="J395" s="496"/>
      <c r="K395" s="496"/>
      <c r="L395" s="496"/>
      <c r="M395" s="496"/>
      <c r="N395" s="496"/>
      <c r="O395" s="496"/>
      <c r="P395" s="272"/>
      <c r="Q395" s="1952"/>
      <c r="S395" s="2899"/>
    </row>
    <row r="396" spans="2:19" ht="9" customHeight="1" x14ac:dyDescent="0.25">
      <c r="B396" s="1960"/>
      <c r="C396" s="104"/>
      <c r="D396" s="683"/>
      <c r="E396" s="499"/>
      <c r="F396" s="496"/>
      <c r="G396" s="496"/>
      <c r="H396" s="496"/>
      <c r="I396" s="496"/>
      <c r="J396" s="496"/>
      <c r="K396" s="496"/>
      <c r="L396" s="496"/>
      <c r="M396" s="496"/>
      <c r="N396" s="496"/>
      <c r="O396" s="496"/>
      <c r="P396" s="272"/>
      <c r="Q396" s="1952"/>
      <c r="S396" s="2899"/>
    </row>
    <row r="397" spans="2:19" ht="20.25" customHeight="1" x14ac:dyDescent="0.25">
      <c r="B397" s="1960"/>
      <c r="C397" s="613" t="s">
        <v>1606</v>
      </c>
      <c r="D397" s="496"/>
      <c r="E397" s="496"/>
      <c r="F397" s="496"/>
      <c r="G397" s="496"/>
      <c r="H397" s="496"/>
      <c r="I397" s="496"/>
      <c r="J397" s="496"/>
      <c r="K397" s="496"/>
      <c r="L397" s="496"/>
      <c r="M397" s="496"/>
      <c r="N397" s="496"/>
      <c r="O397" s="496"/>
      <c r="P397" s="272"/>
      <c r="Q397" s="1952"/>
      <c r="S397" s="2899"/>
    </row>
    <row r="398" spans="2:19" ht="20.25" customHeight="1" x14ac:dyDescent="0.25">
      <c r="B398" s="1960"/>
      <c r="C398" s="498" t="s">
        <v>1438</v>
      </c>
      <c r="D398" s="612" t="s">
        <v>1869</v>
      </c>
      <c r="E398" s="496"/>
      <c r="F398" s="496"/>
      <c r="G398" s="496"/>
      <c r="H398" s="496"/>
      <c r="I398" s="496"/>
      <c r="J398" s="496"/>
      <c r="K398" s="496"/>
      <c r="L398" s="496"/>
      <c r="M398" s="496"/>
      <c r="N398" s="496"/>
      <c r="O398" s="496"/>
      <c r="P398" s="272"/>
      <c r="Q398" s="1952"/>
      <c r="S398" s="2899"/>
    </row>
    <row r="399" spans="2:19" ht="6" customHeight="1" x14ac:dyDescent="0.25">
      <c r="B399" s="1960"/>
      <c r="C399" s="498"/>
      <c r="D399" s="499"/>
      <c r="E399" s="496"/>
      <c r="F399" s="496"/>
      <c r="G399" s="496"/>
      <c r="H399" s="496"/>
      <c r="I399" s="496"/>
      <c r="J399" s="496"/>
      <c r="K399" s="496"/>
      <c r="L399" s="496"/>
      <c r="M399" s="496"/>
      <c r="N399" s="496"/>
      <c r="O399" s="496"/>
      <c r="P399" s="272"/>
      <c r="Q399" s="1952"/>
      <c r="S399" s="2899"/>
    </row>
    <row r="400" spans="2:19" ht="26.25" customHeight="1" x14ac:dyDescent="0.25">
      <c r="B400" s="1960"/>
      <c r="C400" s="932" t="s">
        <v>1607</v>
      </c>
      <c r="D400" s="497"/>
      <c r="E400" s="496"/>
      <c r="F400" s="496"/>
      <c r="G400" s="496"/>
      <c r="H400" s="496"/>
      <c r="I400" s="496"/>
      <c r="J400" s="496"/>
      <c r="K400" s="496"/>
      <c r="L400" s="496"/>
      <c r="M400" s="496"/>
      <c r="N400" s="496"/>
      <c r="O400" s="496"/>
      <c r="P400" s="272"/>
      <c r="Q400" s="1952"/>
      <c r="S400" s="2899"/>
    </row>
    <row r="401" spans="2:34" ht="21.75" customHeight="1" x14ac:dyDescent="0.25">
      <c r="B401" s="1960"/>
      <c r="C401" s="773" t="s">
        <v>1870</v>
      </c>
      <c r="D401" s="497"/>
      <c r="E401" s="496"/>
      <c r="F401" s="496"/>
      <c r="G401" s="496"/>
      <c r="H401" s="496"/>
      <c r="I401" s="496"/>
      <c r="J401" s="496"/>
      <c r="K401" s="496"/>
      <c r="L401" s="496"/>
      <c r="M401" s="496"/>
      <c r="N401" s="496"/>
      <c r="O401" s="496"/>
      <c r="P401" s="272"/>
      <c r="Q401" s="1952"/>
      <c r="S401" s="2899"/>
    </row>
    <row r="402" spans="2:34" ht="16.5" customHeight="1" x14ac:dyDescent="0.25">
      <c r="B402" s="1960"/>
      <c r="C402" s="933" t="s">
        <v>1689</v>
      </c>
      <c r="D402" s="497"/>
      <c r="E402" s="496"/>
      <c r="F402" s="496"/>
      <c r="G402" s="496"/>
      <c r="H402" s="496"/>
      <c r="I402" s="496"/>
      <c r="J402" s="496"/>
      <c r="K402" s="496"/>
      <c r="L402" s="496"/>
      <c r="M402" s="496"/>
      <c r="N402" s="496"/>
      <c r="O402" s="496"/>
      <c r="P402" s="272"/>
      <c r="Q402" s="1952"/>
      <c r="S402" s="2899"/>
    </row>
    <row r="403" spans="2:34" ht="23.25" customHeight="1" x14ac:dyDescent="0.25">
      <c r="B403" s="1960"/>
      <c r="C403" s="934" t="s">
        <v>1583</v>
      </c>
      <c r="D403" s="497"/>
      <c r="E403" s="496"/>
      <c r="F403" s="496"/>
      <c r="G403" s="496"/>
      <c r="H403" s="496"/>
      <c r="I403" s="496"/>
      <c r="J403" s="496"/>
      <c r="K403" s="496"/>
      <c r="L403" s="496"/>
      <c r="M403" s="496"/>
      <c r="N403" s="496"/>
      <c r="O403" s="496"/>
      <c r="P403" s="272"/>
      <c r="Q403" s="1952"/>
      <c r="S403" s="2899"/>
    </row>
    <row r="404" spans="2:34" ht="13.5" customHeight="1" x14ac:dyDescent="0.25">
      <c r="B404" s="1960"/>
      <c r="C404" s="330"/>
      <c r="D404" s="331"/>
      <c r="E404" s="312"/>
      <c r="F404" s="312"/>
      <c r="G404" s="312"/>
      <c r="H404" s="312"/>
      <c r="I404" s="312"/>
      <c r="J404" s="312"/>
      <c r="K404" s="312"/>
      <c r="L404" s="312"/>
      <c r="M404" s="312"/>
      <c r="N404" s="312"/>
      <c r="O404" s="312"/>
      <c r="P404" s="313"/>
      <c r="Q404" s="1952"/>
      <c r="S404" s="2899"/>
    </row>
    <row r="405" spans="2:34" ht="16.5" customHeight="1" x14ac:dyDescent="0.25">
      <c r="B405" s="1960"/>
      <c r="C405" s="3396"/>
      <c r="D405" s="3396"/>
      <c r="E405" s="3396"/>
      <c r="F405" s="3396"/>
      <c r="G405" s="3396"/>
      <c r="H405" s="2091"/>
      <c r="I405" s="2091"/>
      <c r="J405" s="3397"/>
      <c r="K405" s="3397"/>
      <c r="L405" s="2091"/>
      <c r="M405" s="3397"/>
      <c r="N405" s="3397"/>
      <c r="O405" s="2091"/>
      <c r="P405" s="2091"/>
      <c r="Q405" s="1952"/>
      <c r="S405" s="2899"/>
    </row>
    <row r="406" spans="2:34" ht="18" customHeight="1" thickBot="1" x14ac:dyDescent="0.3">
      <c r="B406" s="1960"/>
      <c r="C406" s="2000"/>
      <c r="D406" s="2000"/>
      <c r="E406" s="1951"/>
      <c r="F406" s="1951"/>
      <c r="G406" s="1951"/>
      <c r="H406" s="1951"/>
      <c r="I406" s="1951"/>
      <c r="J406" s="1951"/>
      <c r="K406" s="1951"/>
      <c r="L406" s="1951"/>
      <c r="M406" s="1951"/>
      <c r="N406" s="1951"/>
      <c r="O406" s="1951"/>
      <c r="P406" s="1951"/>
      <c r="Q406" s="1952"/>
      <c r="S406" s="2899"/>
    </row>
    <row r="407" spans="2:34" ht="30" customHeight="1" x14ac:dyDescent="0.25">
      <c r="B407" s="1960"/>
      <c r="C407" s="3192" t="s">
        <v>2057</v>
      </c>
      <c r="D407" s="3193"/>
      <c r="E407" s="3193"/>
      <c r="F407" s="3194"/>
      <c r="G407" s="2095"/>
      <c r="H407" s="2095"/>
      <c r="I407" s="2095"/>
      <c r="J407" s="2095"/>
      <c r="K407" s="2095"/>
      <c r="L407" s="2095"/>
      <c r="M407" s="2095"/>
      <c r="N407" s="2095"/>
      <c r="O407" s="2096"/>
      <c r="P407" s="2095"/>
      <c r="Q407" s="1952"/>
      <c r="S407" s="2899"/>
    </row>
    <row r="408" spans="2:34" ht="3" customHeight="1" thickBot="1" x14ac:dyDescent="0.3">
      <c r="B408" s="1960"/>
      <c r="C408" s="1094"/>
      <c r="D408" s="1093"/>
      <c r="E408" s="1093"/>
      <c r="F408" s="1095"/>
      <c r="G408" s="1987"/>
      <c r="H408" s="1987"/>
      <c r="I408" s="1987"/>
      <c r="J408" s="1987"/>
      <c r="K408" s="1987"/>
      <c r="L408" s="1987"/>
      <c r="M408" s="1987"/>
      <c r="N408" s="1987"/>
      <c r="O408" s="1987"/>
      <c r="P408" s="1987"/>
      <c r="Q408" s="1952"/>
      <c r="S408" s="2899"/>
    </row>
    <row r="409" spans="2:34" ht="19.5" customHeight="1" x14ac:dyDescent="0.25">
      <c r="B409" s="1960"/>
      <c r="C409" s="3032" t="s">
        <v>253</v>
      </c>
      <c r="D409" s="3033"/>
      <c r="E409" s="3169" t="s">
        <v>1541</v>
      </c>
      <c r="F409" s="3170"/>
      <c r="G409" s="3170"/>
      <c r="H409" s="3170"/>
      <c r="I409" s="3170"/>
      <c r="J409" s="3170"/>
      <c r="K409" s="3170"/>
      <c r="L409" s="3170"/>
      <c r="M409" s="3170"/>
      <c r="N409" s="3251"/>
      <c r="O409" s="3180" t="s">
        <v>79</v>
      </c>
      <c r="P409" s="3181"/>
      <c r="Q409" s="1952"/>
      <c r="S409" s="2899"/>
      <c r="T409" s="3201"/>
      <c r="U409" s="3202"/>
      <c r="V409" s="3202"/>
      <c r="W409" s="3202"/>
      <c r="X409" s="3202"/>
      <c r="Y409" s="3202"/>
      <c r="Z409" s="3202"/>
      <c r="AA409" s="3202"/>
      <c r="AB409" s="3202"/>
      <c r="AC409" s="3202"/>
      <c r="AD409" s="3202"/>
      <c r="AE409" s="3201"/>
      <c r="AF409" s="3201"/>
      <c r="AG409" s="3201"/>
      <c r="AH409" s="3201"/>
    </row>
    <row r="410" spans="2:34" ht="19.5" customHeight="1" thickBot="1" x14ac:dyDescent="0.3">
      <c r="B410" s="1960"/>
      <c r="C410" s="3034"/>
      <c r="D410" s="3035"/>
      <c r="E410" s="489">
        <f>IF(E51="",0,E51)</f>
        <v>0</v>
      </c>
      <c r="F410" s="318">
        <f t="shared" ref="F410:N410" si="1">E410+1</f>
        <v>1</v>
      </c>
      <c r="G410" s="318">
        <f t="shared" si="1"/>
        <v>2</v>
      </c>
      <c r="H410" s="318">
        <f t="shared" si="1"/>
        <v>3</v>
      </c>
      <c r="I410" s="318">
        <f t="shared" si="1"/>
        <v>4</v>
      </c>
      <c r="J410" s="318">
        <f t="shared" si="1"/>
        <v>5</v>
      </c>
      <c r="K410" s="318">
        <f t="shared" si="1"/>
        <v>6</v>
      </c>
      <c r="L410" s="318">
        <f t="shared" si="1"/>
        <v>7</v>
      </c>
      <c r="M410" s="318">
        <f t="shared" si="1"/>
        <v>8</v>
      </c>
      <c r="N410" s="318">
        <f t="shared" si="1"/>
        <v>9</v>
      </c>
      <c r="O410" s="2973"/>
      <c r="P410" s="3203"/>
      <c r="Q410" s="1952"/>
      <c r="S410" s="2899"/>
      <c r="T410" s="3201"/>
      <c r="U410" s="332"/>
      <c r="V410" s="333"/>
      <c r="W410" s="333"/>
      <c r="X410" s="333"/>
      <c r="Y410" s="333"/>
      <c r="Z410" s="333"/>
      <c r="AA410" s="333"/>
      <c r="AB410" s="333"/>
      <c r="AC410" s="333"/>
      <c r="AD410" s="333"/>
      <c r="AE410" s="3201"/>
      <c r="AF410" s="3201"/>
      <c r="AG410" s="3201"/>
      <c r="AH410" s="3201"/>
    </row>
    <row r="411" spans="2:34" ht="22.5" customHeight="1" thickTop="1" thickBot="1" x14ac:dyDescent="0.3">
      <c r="B411" s="1960"/>
      <c r="C411" s="1096" t="s">
        <v>55</v>
      </c>
      <c r="D411" s="760" t="s">
        <v>6</v>
      </c>
      <c r="E411" s="761">
        <f t="shared" ref="E411:N411" si="2">E412+E419</f>
        <v>0</v>
      </c>
      <c r="F411" s="762">
        <f t="shared" si="2"/>
        <v>0</v>
      </c>
      <c r="G411" s="762">
        <f t="shared" si="2"/>
        <v>0</v>
      </c>
      <c r="H411" s="762">
        <f t="shared" si="2"/>
        <v>0</v>
      </c>
      <c r="I411" s="762">
        <f t="shared" si="2"/>
        <v>0</v>
      </c>
      <c r="J411" s="762">
        <f t="shared" si="2"/>
        <v>0</v>
      </c>
      <c r="K411" s="762">
        <f t="shared" si="2"/>
        <v>0</v>
      </c>
      <c r="L411" s="762">
        <f t="shared" si="2"/>
        <v>0</v>
      </c>
      <c r="M411" s="762">
        <f t="shared" si="2"/>
        <v>0</v>
      </c>
      <c r="N411" s="763">
        <f t="shared" si="2"/>
        <v>0</v>
      </c>
      <c r="O411" s="3165">
        <f t="shared" ref="O411:O449" si="3">SUM(E411:N411)</f>
        <v>0</v>
      </c>
      <c r="P411" s="3166"/>
      <c r="Q411" s="1952"/>
      <c r="S411" s="2899"/>
      <c r="T411" s="675"/>
      <c r="U411" s="332"/>
      <c r="V411" s="333"/>
      <c r="W411" s="333"/>
      <c r="X411" s="333"/>
      <c r="Y411" s="333"/>
      <c r="Z411" s="333"/>
      <c r="AA411" s="333"/>
      <c r="AB411" s="333"/>
      <c r="AC411" s="333"/>
      <c r="AD411" s="333"/>
      <c r="AE411" s="675"/>
      <c r="AF411" s="675"/>
      <c r="AG411" s="675"/>
      <c r="AH411" s="675"/>
    </row>
    <row r="412" spans="2:34" ht="22.5" customHeight="1" x14ac:dyDescent="0.25">
      <c r="B412" s="1960"/>
      <c r="C412" s="1099" t="s">
        <v>1</v>
      </c>
      <c r="D412" s="754" t="s">
        <v>1536</v>
      </c>
      <c r="E412" s="755">
        <f>SUM(E413:E414)</f>
        <v>0</v>
      </c>
      <c r="F412" s="756">
        <f t="shared" ref="F412:N412" si="4">SUM(F413:F414)</f>
        <v>0</v>
      </c>
      <c r="G412" s="756">
        <f t="shared" si="4"/>
        <v>0</v>
      </c>
      <c r="H412" s="756">
        <f t="shared" si="4"/>
        <v>0</v>
      </c>
      <c r="I412" s="756">
        <f t="shared" si="4"/>
        <v>0</v>
      </c>
      <c r="J412" s="756">
        <f t="shared" si="4"/>
        <v>0</v>
      </c>
      <c r="K412" s="756">
        <f t="shared" si="4"/>
        <v>0</v>
      </c>
      <c r="L412" s="756">
        <f t="shared" si="4"/>
        <v>0</v>
      </c>
      <c r="M412" s="756">
        <f t="shared" si="4"/>
        <v>0</v>
      </c>
      <c r="N412" s="756">
        <f t="shared" si="4"/>
        <v>0</v>
      </c>
      <c r="O412" s="3146">
        <f t="shared" si="3"/>
        <v>0</v>
      </c>
      <c r="P412" s="3147"/>
      <c r="Q412" s="1952"/>
      <c r="S412" s="2899"/>
      <c r="T412" s="675"/>
      <c r="U412" s="332"/>
      <c r="V412" s="333"/>
      <c r="W412" s="333"/>
      <c r="X412" s="333"/>
      <c r="Y412" s="333"/>
      <c r="Z412" s="333"/>
      <c r="AA412" s="333"/>
      <c r="AB412" s="333"/>
      <c r="AC412" s="333"/>
      <c r="AD412" s="333"/>
      <c r="AE412" s="675"/>
      <c r="AF412" s="675"/>
      <c r="AG412" s="675"/>
      <c r="AH412" s="675"/>
    </row>
    <row r="413" spans="2:34" ht="18" customHeight="1" x14ac:dyDescent="0.25">
      <c r="B413" s="2058" t="str">
        <f>IF(COUNTBLANK(E413:N413)&lt;10,"","u")</f>
        <v>u</v>
      </c>
      <c r="C413" s="1175" t="s">
        <v>1578</v>
      </c>
      <c r="D413" s="609"/>
      <c r="E413" s="607"/>
      <c r="F413" s="608"/>
      <c r="G413" s="608"/>
      <c r="H413" s="608"/>
      <c r="I413" s="608"/>
      <c r="J413" s="608"/>
      <c r="K413" s="608"/>
      <c r="L413" s="608"/>
      <c r="M413" s="608"/>
      <c r="N413" s="608"/>
      <c r="O413" s="3098">
        <f t="shared" si="3"/>
        <v>0</v>
      </c>
      <c r="P413" s="3099"/>
      <c r="Q413" s="1952"/>
      <c r="S413" s="2899"/>
      <c r="T413" s="334"/>
      <c r="U413" s="240"/>
      <c r="V413" s="240"/>
      <c r="W413" s="240"/>
      <c r="X413" s="240"/>
      <c r="Y413" s="240"/>
      <c r="Z413" s="240"/>
      <c r="AA413" s="240"/>
      <c r="AB413" s="240"/>
      <c r="AC413" s="240"/>
      <c r="AD413" s="240"/>
      <c r="AE413" s="240"/>
      <c r="AF413" s="240"/>
      <c r="AG413" s="240"/>
      <c r="AH413" s="240"/>
    </row>
    <row r="414" spans="2:34" ht="18" customHeight="1" x14ac:dyDescent="0.25">
      <c r="B414" s="2058" t="str">
        <f>IF(COUNTBLANK(E414:N414)&lt;10,"","u")</f>
        <v>u</v>
      </c>
      <c r="C414" s="1098" t="s">
        <v>1588</v>
      </c>
      <c r="D414" s="740" t="s">
        <v>87</v>
      </c>
      <c r="E414" s="741"/>
      <c r="F414" s="742"/>
      <c r="G414" s="742"/>
      <c r="H414" s="742"/>
      <c r="I414" s="742"/>
      <c r="J414" s="742"/>
      <c r="K414" s="742"/>
      <c r="L414" s="742"/>
      <c r="M414" s="742"/>
      <c r="N414" s="742"/>
      <c r="O414" s="3199">
        <f t="shared" ref="O414:O417" si="5">SUM(E414:N414)</f>
        <v>0</v>
      </c>
      <c r="P414" s="3200"/>
      <c r="Q414" s="1952"/>
      <c r="S414" s="2899"/>
      <c r="T414" s="334"/>
      <c r="U414" s="240"/>
      <c r="V414" s="240"/>
      <c r="W414" s="240"/>
      <c r="X414" s="240"/>
      <c r="Y414" s="240"/>
      <c r="Z414" s="240"/>
      <c r="AA414" s="240"/>
      <c r="AB414" s="240"/>
      <c r="AC414" s="240"/>
      <c r="AD414" s="240"/>
      <c r="AE414" s="240"/>
      <c r="AF414" s="240"/>
      <c r="AG414" s="240"/>
      <c r="AH414" s="240"/>
    </row>
    <row r="415" spans="2:34" ht="18" customHeight="1" x14ac:dyDescent="0.25">
      <c r="B415" s="2058" t="str">
        <f>IF(COUNTBLANK(E415:N415)&lt;10,"","w")</f>
        <v>w</v>
      </c>
      <c r="C415" s="3037" t="s">
        <v>1574</v>
      </c>
      <c r="D415" s="3038"/>
      <c r="E415" s="744"/>
      <c r="F415" s="745"/>
      <c r="G415" s="745"/>
      <c r="H415" s="745"/>
      <c r="I415" s="745"/>
      <c r="J415" s="745"/>
      <c r="K415" s="745"/>
      <c r="L415" s="745"/>
      <c r="M415" s="745"/>
      <c r="N415" s="746"/>
      <c r="O415" s="3161">
        <f t="shared" si="5"/>
        <v>0</v>
      </c>
      <c r="P415" s="3162"/>
      <c r="Q415" s="1952"/>
      <c r="S415" s="2899"/>
      <c r="T415" s="334"/>
      <c r="U415" s="240"/>
      <c r="V415" s="240"/>
      <c r="W415" s="240"/>
      <c r="X415" s="240"/>
      <c r="Y415" s="240"/>
      <c r="Z415" s="240"/>
      <c r="AA415" s="240"/>
      <c r="AB415" s="240"/>
      <c r="AC415" s="240"/>
      <c r="AD415" s="240"/>
      <c r="AE415" s="240"/>
      <c r="AF415" s="240"/>
      <c r="AG415" s="240"/>
      <c r="AH415" s="240"/>
    </row>
    <row r="416" spans="2:34" ht="18" customHeight="1" x14ac:dyDescent="0.25">
      <c r="B416" s="2058" t="str">
        <f>IF(COUNTBLANK(E416:N416)&lt;10,"","w")</f>
        <v>w</v>
      </c>
      <c r="C416" s="3044" t="s">
        <v>1575</v>
      </c>
      <c r="D416" s="3045"/>
      <c r="E416" s="732"/>
      <c r="F416" s="733"/>
      <c r="G416" s="733"/>
      <c r="H416" s="733"/>
      <c r="I416" s="733"/>
      <c r="J416" s="733"/>
      <c r="K416" s="733"/>
      <c r="L416" s="733"/>
      <c r="M416" s="733"/>
      <c r="N416" s="734"/>
      <c r="O416" s="3138">
        <f t="shared" si="5"/>
        <v>0</v>
      </c>
      <c r="P416" s="3139"/>
      <c r="Q416" s="1952"/>
      <c r="S416" s="2899"/>
    </row>
    <row r="417" spans="2:34" ht="18" customHeight="1" x14ac:dyDescent="0.25">
      <c r="B417" s="2058" t="str">
        <f>IF(COUNTBLANK(E417:N417)&lt;10,"","w")</f>
        <v>w</v>
      </c>
      <c r="C417" s="3039" t="s">
        <v>1577</v>
      </c>
      <c r="D417" s="3040"/>
      <c r="E417" s="751"/>
      <c r="F417" s="752"/>
      <c r="G417" s="752"/>
      <c r="H417" s="752"/>
      <c r="I417" s="752"/>
      <c r="J417" s="752"/>
      <c r="K417" s="752"/>
      <c r="L417" s="752"/>
      <c r="M417" s="752"/>
      <c r="N417" s="753"/>
      <c r="O417" s="3197">
        <f t="shared" si="5"/>
        <v>0</v>
      </c>
      <c r="P417" s="3198"/>
      <c r="Q417" s="1952"/>
      <c r="S417" s="2899"/>
    </row>
    <row r="418" spans="2:34" ht="18" customHeight="1" thickBot="1" x14ac:dyDescent="0.3">
      <c r="B418" s="2058" t="str">
        <f>IF(COUNTBLANK(E418:N418)&lt;10,"","w")</f>
        <v>w</v>
      </c>
      <c r="C418" s="3246" t="s">
        <v>1576</v>
      </c>
      <c r="D418" s="3247"/>
      <c r="E418" s="768"/>
      <c r="F418" s="769"/>
      <c r="G418" s="769"/>
      <c r="H418" s="769"/>
      <c r="I418" s="769"/>
      <c r="J418" s="769"/>
      <c r="K418" s="769"/>
      <c r="L418" s="769"/>
      <c r="M418" s="769"/>
      <c r="N418" s="770"/>
      <c r="O418" s="3152">
        <f>SUM(E418:N418)</f>
        <v>0</v>
      </c>
      <c r="P418" s="3153"/>
      <c r="Q418" s="1952"/>
      <c r="S418" s="2899"/>
    </row>
    <row r="419" spans="2:34" ht="22.5" customHeight="1" x14ac:dyDescent="0.25">
      <c r="B419" s="1960"/>
      <c r="C419" s="1097" t="s">
        <v>2</v>
      </c>
      <c r="D419" s="750" t="s">
        <v>1536</v>
      </c>
      <c r="E419" s="748">
        <f>SUM(E420:E421)</f>
        <v>0</v>
      </c>
      <c r="F419" s="749">
        <f t="shared" ref="F419:N419" si="6">SUM(F420:F421)</f>
        <v>0</v>
      </c>
      <c r="G419" s="749">
        <f t="shared" si="6"/>
        <v>0</v>
      </c>
      <c r="H419" s="749">
        <f t="shared" si="6"/>
        <v>0</v>
      </c>
      <c r="I419" s="749">
        <f t="shared" si="6"/>
        <v>0</v>
      </c>
      <c r="J419" s="749">
        <f t="shared" si="6"/>
        <v>0</v>
      </c>
      <c r="K419" s="749">
        <f t="shared" si="6"/>
        <v>0</v>
      </c>
      <c r="L419" s="749">
        <f t="shared" si="6"/>
        <v>0</v>
      </c>
      <c r="M419" s="749">
        <f t="shared" si="6"/>
        <v>0</v>
      </c>
      <c r="N419" s="749">
        <f t="shared" si="6"/>
        <v>0</v>
      </c>
      <c r="O419" s="3148">
        <f t="shared" si="3"/>
        <v>0</v>
      </c>
      <c r="P419" s="3149"/>
      <c r="Q419" s="1952"/>
      <c r="S419" s="2899"/>
      <c r="T419" s="675"/>
      <c r="U419" s="332"/>
      <c r="V419" s="333"/>
      <c r="W419" s="333"/>
      <c r="X419" s="333"/>
      <c r="Y419" s="333"/>
      <c r="Z419" s="333"/>
      <c r="AA419" s="333"/>
      <c r="AB419" s="333"/>
      <c r="AC419" s="333"/>
      <c r="AD419" s="333"/>
      <c r="AE419" s="675"/>
      <c r="AF419" s="675"/>
      <c r="AG419" s="675"/>
      <c r="AH419" s="675"/>
    </row>
    <row r="420" spans="2:34" ht="18" customHeight="1" x14ac:dyDescent="0.25">
      <c r="B420" s="2058" t="str">
        <f>IF(COUNTBLANK(E420:N420)&lt;10,"","u")</f>
        <v>u</v>
      </c>
      <c r="C420" s="1175" t="s">
        <v>1578</v>
      </c>
      <c r="D420" s="358"/>
      <c r="E420" s="579"/>
      <c r="F420" s="580"/>
      <c r="G420" s="580"/>
      <c r="H420" s="580"/>
      <c r="I420" s="580"/>
      <c r="J420" s="580"/>
      <c r="K420" s="580"/>
      <c r="L420" s="580"/>
      <c r="M420" s="580"/>
      <c r="N420" s="580"/>
      <c r="O420" s="3188">
        <f t="shared" si="3"/>
        <v>0</v>
      </c>
      <c r="P420" s="3189"/>
      <c r="Q420" s="1952"/>
      <c r="S420" s="2899"/>
      <c r="T420" s="334"/>
      <c r="U420" s="240"/>
      <c r="V420" s="240"/>
      <c r="W420" s="240"/>
      <c r="X420" s="240"/>
      <c r="Y420" s="240"/>
      <c r="Z420" s="240"/>
      <c r="AA420" s="240"/>
      <c r="AB420" s="240"/>
      <c r="AC420" s="240"/>
      <c r="AD420" s="240"/>
      <c r="AE420" s="240"/>
      <c r="AF420" s="240"/>
      <c r="AG420" s="240"/>
      <c r="AH420" s="240"/>
    </row>
    <row r="421" spans="2:34" ht="18" customHeight="1" x14ac:dyDescent="0.25">
      <c r="B421" s="2058" t="str">
        <f>IF(COUNTBLANK(E421:N421)&lt;10,"","u")</f>
        <v>u</v>
      </c>
      <c r="C421" s="1180" t="s">
        <v>1588</v>
      </c>
      <c r="D421" s="990" t="s">
        <v>87</v>
      </c>
      <c r="E421" s="989"/>
      <c r="F421" s="738"/>
      <c r="G421" s="738"/>
      <c r="H421" s="738"/>
      <c r="I421" s="738"/>
      <c r="J421" s="738"/>
      <c r="K421" s="738"/>
      <c r="L421" s="738"/>
      <c r="M421" s="738"/>
      <c r="N421" s="738"/>
      <c r="O421" s="3195">
        <f t="shared" ref="O421:O424" si="7">SUM(E421:N421)</f>
        <v>0</v>
      </c>
      <c r="P421" s="3196"/>
      <c r="Q421" s="1952"/>
      <c r="S421" s="2899"/>
      <c r="T421" s="334"/>
      <c r="U421" s="240"/>
      <c r="V421" s="240"/>
      <c r="W421" s="240"/>
      <c r="X421" s="240"/>
      <c r="Y421" s="240"/>
      <c r="Z421" s="240"/>
      <c r="AA421" s="240"/>
      <c r="AB421" s="240"/>
      <c r="AC421" s="240"/>
      <c r="AD421" s="240"/>
      <c r="AE421" s="240"/>
      <c r="AF421" s="240"/>
      <c r="AG421" s="240"/>
      <c r="AH421" s="240"/>
    </row>
    <row r="422" spans="2:34" ht="18" customHeight="1" x14ac:dyDescent="0.25">
      <c r="B422" s="2058" t="str">
        <f>IF(COUNTBLANK(E422:N422)&lt;10,"","w")</f>
        <v>w</v>
      </c>
      <c r="C422" s="3240" t="s">
        <v>1574</v>
      </c>
      <c r="D422" s="3241"/>
      <c r="E422" s="735"/>
      <c r="F422" s="736"/>
      <c r="G422" s="736"/>
      <c r="H422" s="736"/>
      <c r="I422" s="736"/>
      <c r="J422" s="736"/>
      <c r="K422" s="736"/>
      <c r="L422" s="736"/>
      <c r="M422" s="736"/>
      <c r="N422" s="737"/>
      <c r="O422" s="3252">
        <f t="shared" si="7"/>
        <v>0</v>
      </c>
      <c r="P422" s="3253"/>
      <c r="Q422" s="1952"/>
      <c r="S422" s="2899"/>
      <c r="T422" s="334"/>
      <c r="U422" s="240"/>
      <c r="V422" s="240"/>
      <c r="W422" s="240"/>
      <c r="X422" s="240"/>
      <c r="Y422" s="240"/>
      <c r="Z422" s="240"/>
      <c r="AA422" s="240"/>
      <c r="AB422" s="240"/>
      <c r="AC422" s="240"/>
      <c r="AD422" s="240"/>
      <c r="AE422" s="240"/>
      <c r="AF422" s="240"/>
      <c r="AG422" s="240"/>
      <c r="AH422" s="240"/>
    </row>
    <row r="423" spans="2:34" ht="18" customHeight="1" x14ac:dyDescent="0.25">
      <c r="B423" s="2058" t="str">
        <f>IF(COUNTBLANK(E423:N423)&lt;10,"","w")</f>
        <v>w</v>
      </c>
      <c r="C423" s="3242" t="s">
        <v>1575</v>
      </c>
      <c r="D423" s="3243"/>
      <c r="E423" s="732"/>
      <c r="F423" s="733"/>
      <c r="G423" s="733"/>
      <c r="H423" s="733"/>
      <c r="I423" s="733"/>
      <c r="J423" s="733"/>
      <c r="K423" s="733"/>
      <c r="L423" s="733"/>
      <c r="M423" s="733"/>
      <c r="N423" s="734"/>
      <c r="O423" s="3138">
        <f t="shared" si="7"/>
        <v>0</v>
      </c>
      <c r="P423" s="3139"/>
      <c r="Q423" s="1952"/>
      <c r="S423" s="2899"/>
    </row>
    <row r="424" spans="2:34" ht="18" customHeight="1" x14ac:dyDescent="0.25">
      <c r="B424" s="2058" t="str">
        <f>IF(COUNTBLANK(E424:N424)&lt;10,"","w")</f>
        <v>w</v>
      </c>
      <c r="C424" s="3263" t="s">
        <v>1577</v>
      </c>
      <c r="D424" s="3264"/>
      <c r="E424" s="751"/>
      <c r="F424" s="752"/>
      <c r="G424" s="752"/>
      <c r="H424" s="752"/>
      <c r="I424" s="752"/>
      <c r="J424" s="752"/>
      <c r="K424" s="752"/>
      <c r="L424" s="752"/>
      <c r="M424" s="752"/>
      <c r="N424" s="753"/>
      <c r="O424" s="3197">
        <f t="shared" si="7"/>
        <v>0</v>
      </c>
      <c r="P424" s="3198"/>
      <c r="Q424" s="1952"/>
      <c r="S424" s="2899"/>
    </row>
    <row r="425" spans="2:34" ht="18" customHeight="1" thickBot="1" x14ac:dyDescent="0.3">
      <c r="B425" s="2058" t="str">
        <f>IF(COUNTBLANK(E425:N425)&lt;10,"","w")</f>
        <v>w</v>
      </c>
      <c r="C425" s="3263" t="s">
        <v>1576</v>
      </c>
      <c r="D425" s="3264"/>
      <c r="E425" s="751"/>
      <c r="F425" s="752"/>
      <c r="G425" s="752"/>
      <c r="H425" s="752"/>
      <c r="I425" s="752"/>
      <c r="J425" s="752"/>
      <c r="K425" s="752"/>
      <c r="L425" s="752"/>
      <c r="M425" s="752"/>
      <c r="N425" s="753"/>
      <c r="O425" s="3197">
        <f>SUM(E425:N425)</f>
        <v>0</v>
      </c>
      <c r="P425" s="3198"/>
      <c r="Q425" s="1952"/>
      <c r="S425" s="2899"/>
    </row>
    <row r="426" spans="2:34" ht="37.5" customHeight="1" thickBot="1" x14ac:dyDescent="0.3">
      <c r="B426" s="1960"/>
      <c r="C426" s="3061" t="s">
        <v>130</v>
      </c>
      <c r="D426" s="3062"/>
      <c r="E426" s="3158"/>
      <c r="F426" s="3159"/>
      <c r="G426" s="3159"/>
      <c r="H426" s="3159"/>
      <c r="I426" s="3159"/>
      <c r="J426" s="3159"/>
      <c r="K426" s="3159"/>
      <c r="L426" s="3159"/>
      <c r="M426" s="3159"/>
      <c r="N426" s="3159"/>
      <c r="O426" s="3159"/>
      <c r="P426" s="3160"/>
      <c r="Q426" s="1952"/>
      <c r="S426" s="2899"/>
    </row>
    <row r="427" spans="2:34" ht="22.5" customHeight="1" thickBot="1" x14ac:dyDescent="0.3">
      <c r="B427" s="2092"/>
      <c r="C427" s="1178" t="s">
        <v>123</v>
      </c>
      <c r="D427" s="1179" t="s">
        <v>6</v>
      </c>
      <c r="E427" s="1101">
        <f t="shared" ref="E427:N427" si="8">E428+E430+E429</f>
        <v>0</v>
      </c>
      <c r="F427" s="1102">
        <f t="shared" si="8"/>
        <v>0</v>
      </c>
      <c r="G427" s="1102">
        <f t="shared" si="8"/>
        <v>0</v>
      </c>
      <c r="H427" s="1102">
        <f t="shared" si="8"/>
        <v>0</v>
      </c>
      <c r="I427" s="1102">
        <f t="shared" si="8"/>
        <v>0</v>
      </c>
      <c r="J427" s="1102">
        <f t="shared" si="8"/>
        <v>0</v>
      </c>
      <c r="K427" s="1102">
        <f t="shared" si="8"/>
        <v>0</v>
      </c>
      <c r="L427" s="1102">
        <f t="shared" si="8"/>
        <v>0</v>
      </c>
      <c r="M427" s="1102">
        <f t="shared" si="8"/>
        <v>0</v>
      </c>
      <c r="N427" s="1103">
        <f t="shared" si="8"/>
        <v>0</v>
      </c>
      <c r="O427" s="3244">
        <f t="shared" si="3"/>
        <v>0</v>
      </c>
      <c r="P427" s="3245"/>
      <c r="Q427" s="2094"/>
      <c r="S427" s="2899"/>
      <c r="T427" s="334"/>
      <c r="U427" s="240"/>
      <c r="V427" s="240"/>
      <c r="W427" s="240"/>
      <c r="X427" s="240"/>
      <c r="Y427" s="240"/>
      <c r="Z427" s="240"/>
      <c r="AA427" s="240"/>
      <c r="AB427" s="240"/>
      <c r="AC427" s="240"/>
      <c r="AD427" s="240"/>
      <c r="AE427" s="240"/>
      <c r="AF427" s="240"/>
      <c r="AG427" s="240"/>
      <c r="AH427" s="240"/>
    </row>
    <row r="428" spans="2:34" ht="18" customHeight="1" x14ac:dyDescent="0.25">
      <c r="B428" s="2058" t="str">
        <f>IF(COUNTBLANK(E428:N428)&lt;10,"","u")</f>
        <v>u</v>
      </c>
      <c r="C428" s="3142" t="s">
        <v>1578</v>
      </c>
      <c r="D428" s="3143"/>
      <c r="E428" s="1112"/>
      <c r="F428" s="1113"/>
      <c r="G428" s="1113"/>
      <c r="H428" s="1113"/>
      <c r="I428" s="1113"/>
      <c r="J428" s="1113"/>
      <c r="K428" s="1113"/>
      <c r="L428" s="1113"/>
      <c r="M428" s="1113"/>
      <c r="N428" s="1114"/>
      <c r="O428" s="3249">
        <f t="shared" si="3"/>
        <v>0</v>
      </c>
      <c r="P428" s="3250"/>
      <c r="Q428" s="2094"/>
      <c r="S428" s="2899"/>
      <c r="T428" s="334"/>
      <c r="U428" s="240"/>
      <c r="V428" s="240"/>
      <c r="W428" s="240"/>
      <c r="X428" s="240"/>
      <c r="Y428" s="240"/>
      <c r="Z428" s="240"/>
      <c r="AA428" s="240"/>
      <c r="AB428" s="240"/>
      <c r="AC428" s="240"/>
      <c r="AD428" s="240"/>
      <c r="AE428" s="240"/>
      <c r="AF428" s="240"/>
      <c r="AG428" s="240"/>
      <c r="AH428" s="240"/>
    </row>
    <row r="429" spans="2:34" ht="18" customHeight="1" x14ac:dyDescent="0.25">
      <c r="B429" s="2058" t="str">
        <f>IF(COUNTBLANK(E429:N429)&lt;10,"","u")</f>
        <v>u</v>
      </c>
      <c r="C429" s="1173" t="s">
        <v>1437</v>
      </c>
      <c r="D429" s="1174"/>
      <c r="E429" s="579"/>
      <c r="F429" s="580"/>
      <c r="G429" s="580"/>
      <c r="H429" s="580"/>
      <c r="I429" s="580"/>
      <c r="J429" s="580"/>
      <c r="K429" s="580"/>
      <c r="L429" s="580"/>
      <c r="M429" s="580"/>
      <c r="N429" s="581"/>
      <c r="O429" s="3188">
        <f>SUM(E429:N429)</f>
        <v>0</v>
      </c>
      <c r="P429" s="3189"/>
      <c r="Q429" s="2094"/>
      <c r="S429" s="2899"/>
      <c r="T429" s="334"/>
      <c r="U429" s="240"/>
      <c r="V429" s="240"/>
      <c r="W429" s="240"/>
      <c r="X429" s="240"/>
      <c r="Y429" s="240"/>
      <c r="Z429" s="240"/>
      <c r="AA429" s="240"/>
      <c r="AB429" s="240"/>
      <c r="AC429" s="240"/>
      <c r="AD429" s="240"/>
      <c r="AE429" s="240"/>
      <c r="AF429" s="240"/>
      <c r="AG429" s="240"/>
      <c r="AH429" s="240"/>
    </row>
    <row r="430" spans="2:34" ht="18" customHeight="1" x14ac:dyDescent="0.25">
      <c r="B430" s="2058" t="str">
        <f>IF(COUNTBLANK(E430:N430)&lt;10,"","u")</f>
        <v>u</v>
      </c>
      <c r="C430" s="1181" t="s">
        <v>1588</v>
      </c>
      <c r="D430" s="990" t="s">
        <v>87</v>
      </c>
      <c r="E430" s="1115"/>
      <c r="F430" s="1116"/>
      <c r="G430" s="1116"/>
      <c r="H430" s="1116"/>
      <c r="I430" s="1116"/>
      <c r="J430" s="1116"/>
      <c r="K430" s="1116"/>
      <c r="L430" s="1116"/>
      <c r="M430" s="1116"/>
      <c r="N430" s="1117"/>
      <c r="O430" s="3199">
        <f t="shared" ref="O430:O432" si="9">SUM(E430:N430)</f>
        <v>0</v>
      </c>
      <c r="P430" s="3200"/>
      <c r="Q430" s="1952"/>
      <c r="S430" s="2899"/>
      <c r="T430" s="334"/>
      <c r="U430" s="240"/>
      <c r="V430" s="240"/>
      <c r="W430" s="240"/>
      <c r="X430" s="240"/>
      <c r="Y430" s="240"/>
      <c r="Z430" s="240"/>
      <c r="AA430" s="240"/>
      <c r="AB430" s="240"/>
      <c r="AC430" s="240"/>
      <c r="AD430" s="240"/>
      <c r="AE430" s="240"/>
      <c r="AF430" s="240"/>
      <c r="AG430" s="240"/>
      <c r="AH430" s="240"/>
    </row>
    <row r="431" spans="2:34" ht="18" customHeight="1" x14ac:dyDescent="0.25">
      <c r="B431" s="2058" t="str">
        <f>IF(COUNTBLANK(E431:N431)&lt;10,"","w")</f>
        <v>w</v>
      </c>
      <c r="C431" s="3037" t="s">
        <v>1575</v>
      </c>
      <c r="D431" s="3038"/>
      <c r="E431" s="744"/>
      <c r="F431" s="745"/>
      <c r="G431" s="745"/>
      <c r="H431" s="745"/>
      <c r="I431" s="745"/>
      <c r="J431" s="745"/>
      <c r="K431" s="745"/>
      <c r="L431" s="745"/>
      <c r="M431" s="745"/>
      <c r="N431" s="746"/>
      <c r="O431" s="3161">
        <f t="shared" si="9"/>
        <v>0</v>
      </c>
      <c r="P431" s="3162"/>
      <c r="Q431" s="2094"/>
      <c r="S431" s="2899"/>
    </row>
    <row r="432" spans="2:34" ht="18" customHeight="1" x14ac:dyDescent="0.25">
      <c r="B432" s="2058" t="str">
        <f>IF(COUNTBLANK(E432:N432)&lt;10,"","w")</f>
        <v>w</v>
      </c>
      <c r="C432" s="3039" t="s">
        <v>1577</v>
      </c>
      <c r="D432" s="3040"/>
      <c r="E432" s="751"/>
      <c r="F432" s="752"/>
      <c r="G432" s="752"/>
      <c r="H432" s="752"/>
      <c r="I432" s="752"/>
      <c r="J432" s="752"/>
      <c r="K432" s="752"/>
      <c r="L432" s="752"/>
      <c r="M432" s="752"/>
      <c r="N432" s="753"/>
      <c r="O432" s="3197">
        <f t="shared" si="9"/>
        <v>0</v>
      </c>
      <c r="P432" s="3198"/>
      <c r="Q432" s="2094"/>
      <c r="S432" s="2899"/>
    </row>
    <row r="433" spans="1:34" ht="18" customHeight="1" thickBot="1" x14ac:dyDescent="0.3">
      <c r="B433" s="2058" t="str">
        <f>IF(COUNTBLANK(E433:N433)&lt;10,"","w")</f>
        <v>w</v>
      </c>
      <c r="C433" s="3039" t="s">
        <v>1576</v>
      </c>
      <c r="D433" s="3040"/>
      <c r="E433" s="751"/>
      <c r="F433" s="752"/>
      <c r="G433" s="752"/>
      <c r="H433" s="752"/>
      <c r="I433" s="752"/>
      <c r="J433" s="752"/>
      <c r="K433" s="752"/>
      <c r="L433" s="752"/>
      <c r="M433" s="752"/>
      <c r="N433" s="753"/>
      <c r="O433" s="3197">
        <f>SUM(E433:N433)</f>
        <v>0</v>
      </c>
      <c r="P433" s="3198"/>
      <c r="Q433" s="2094"/>
      <c r="S433" s="2899"/>
    </row>
    <row r="434" spans="1:34" ht="37.5" customHeight="1" thickBot="1" x14ac:dyDescent="0.3">
      <c r="B434" s="1960"/>
      <c r="C434" s="3061" t="s">
        <v>130</v>
      </c>
      <c r="D434" s="3062"/>
      <c r="E434" s="3158"/>
      <c r="F434" s="3159"/>
      <c r="G434" s="3159"/>
      <c r="H434" s="3159"/>
      <c r="I434" s="3159"/>
      <c r="J434" s="3159"/>
      <c r="K434" s="3159"/>
      <c r="L434" s="3159"/>
      <c r="M434" s="3159"/>
      <c r="N434" s="3159"/>
      <c r="O434" s="3159"/>
      <c r="P434" s="3160"/>
      <c r="Q434" s="1952"/>
      <c r="S434" s="2899"/>
    </row>
    <row r="435" spans="1:34" ht="22.5" customHeight="1" thickBot="1" x14ac:dyDescent="0.3">
      <c r="B435" s="1960"/>
      <c r="C435" s="1178" t="s">
        <v>133</v>
      </c>
      <c r="D435" s="1179" t="s">
        <v>6</v>
      </c>
      <c r="E435" s="1101">
        <f t="shared" ref="E435:N435" si="10">E436+E442</f>
        <v>0</v>
      </c>
      <c r="F435" s="1102">
        <f t="shared" si="10"/>
        <v>0</v>
      </c>
      <c r="G435" s="1102">
        <f t="shared" si="10"/>
        <v>0</v>
      </c>
      <c r="H435" s="1102">
        <f t="shared" si="10"/>
        <v>0</v>
      </c>
      <c r="I435" s="1102">
        <f t="shared" si="10"/>
        <v>0</v>
      </c>
      <c r="J435" s="1102">
        <f t="shared" si="10"/>
        <v>0</v>
      </c>
      <c r="K435" s="1102">
        <f t="shared" si="10"/>
        <v>0</v>
      </c>
      <c r="L435" s="1102">
        <f t="shared" si="10"/>
        <v>0</v>
      </c>
      <c r="M435" s="1102">
        <f t="shared" si="10"/>
        <v>0</v>
      </c>
      <c r="N435" s="1103">
        <f t="shared" si="10"/>
        <v>0</v>
      </c>
      <c r="O435" s="3244">
        <f t="shared" si="3"/>
        <v>0</v>
      </c>
      <c r="P435" s="3245"/>
      <c r="Q435" s="1952"/>
      <c r="S435" s="2899"/>
      <c r="T435" s="676"/>
      <c r="U435" s="11"/>
      <c r="V435" s="11"/>
      <c r="W435" s="11"/>
      <c r="X435" s="11"/>
      <c r="Y435" s="11"/>
      <c r="Z435" s="11"/>
      <c r="AA435" s="11"/>
      <c r="AB435" s="11"/>
      <c r="AC435" s="11"/>
      <c r="AD435" s="11"/>
      <c r="AE435" s="11"/>
    </row>
    <row r="436" spans="1:34" ht="22.5" customHeight="1" x14ac:dyDescent="0.25">
      <c r="B436" s="1960"/>
      <c r="C436" s="1099" t="s">
        <v>3</v>
      </c>
      <c r="D436" s="754" t="s">
        <v>1536</v>
      </c>
      <c r="E436" s="755">
        <f>SUM(E437:E438)</f>
        <v>0</v>
      </c>
      <c r="F436" s="756">
        <f t="shared" ref="F436:N436" si="11">SUM(F437:F438)</f>
        <v>0</v>
      </c>
      <c r="G436" s="756">
        <f t="shared" si="11"/>
        <v>0</v>
      </c>
      <c r="H436" s="756">
        <f t="shared" si="11"/>
        <v>0</v>
      </c>
      <c r="I436" s="756">
        <f t="shared" si="11"/>
        <v>0</v>
      </c>
      <c r="J436" s="756">
        <f t="shared" si="11"/>
        <v>0</v>
      </c>
      <c r="K436" s="756">
        <f t="shared" si="11"/>
        <v>0</v>
      </c>
      <c r="L436" s="756">
        <f t="shared" si="11"/>
        <v>0</v>
      </c>
      <c r="M436" s="756">
        <f t="shared" si="11"/>
        <v>0</v>
      </c>
      <c r="N436" s="756">
        <f t="shared" si="11"/>
        <v>0</v>
      </c>
      <c r="O436" s="3146">
        <f t="shared" ref="O436:O437" si="12">SUM(E436:N436)</f>
        <v>0</v>
      </c>
      <c r="P436" s="3147"/>
      <c r="Q436" s="1952"/>
      <c r="S436" s="2899"/>
      <c r="T436" s="675"/>
      <c r="U436" s="332"/>
      <c r="V436" s="333"/>
      <c r="W436" s="333"/>
      <c r="X436" s="333"/>
      <c r="Y436" s="333"/>
      <c r="Z436" s="333"/>
      <c r="AA436" s="333"/>
      <c r="AB436" s="333"/>
      <c r="AC436" s="333"/>
      <c r="AD436" s="333"/>
      <c r="AE436" s="675"/>
      <c r="AF436" s="675"/>
      <c r="AG436" s="675"/>
      <c r="AH436" s="675"/>
    </row>
    <row r="437" spans="1:34" ht="18" customHeight="1" x14ac:dyDescent="0.25">
      <c r="B437" s="2058" t="str">
        <f>IF(COUNTBLANK(E437:N437)&lt;10,"","u")</f>
        <v>u</v>
      </c>
      <c r="C437" s="3142" t="s">
        <v>1578</v>
      </c>
      <c r="D437" s="3143"/>
      <c r="E437" s="579"/>
      <c r="F437" s="580"/>
      <c r="G437" s="580"/>
      <c r="H437" s="580"/>
      <c r="I437" s="580"/>
      <c r="J437" s="580"/>
      <c r="K437" s="580"/>
      <c r="L437" s="580"/>
      <c r="M437" s="580"/>
      <c r="N437" s="581"/>
      <c r="O437" s="3167">
        <f t="shared" si="12"/>
        <v>0</v>
      </c>
      <c r="P437" s="3168"/>
      <c r="Q437" s="1952"/>
      <c r="S437" s="2899"/>
      <c r="T437" s="334"/>
      <c r="U437" s="240"/>
      <c r="V437" s="240"/>
      <c r="W437" s="240"/>
      <c r="X437" s="240"/>
      <c r="Y437" s="240"/>
      <c r="Z437" s="240"/>
      <c r="AA437" s="240"/>
      <c r="AB437" s="240"/>
      <c r="AC437" s="240"/>
      <c r="AD437" s="240"/>
      <c r="AE437" s="240"/>
      <c r="AF437" s="240"/>
      <c r="AG437" s="240"/>
      <c r="AH437" s="240"/>
    </row>
    <row r="438" spans="1:34" ht="18" customHeight="1" x14ac:dyDescent="0.25">
      <c r="B438" s="2058" t="str">
        <f>IF(COUNTBLANK(E438:N438)&lt;10,"","u")</f>
        <v>u</v>
      </c>
      <c r="C438" s="1098" t="s">
        <v>1588</v>
      </c>
      <c r="D438" s="990" t="s">
        <v>87</v>
      </c>
      <c r="E438" s="1118"/>
      <c r="F438" s="738"/>
      <c r="G438" s="738"/>
      <c r="H438" s="738"/>
      <c r="I438" s="738"/>
      <c r="J438" s="738"/>
      <c r="K438" s="738"/>
      <c r="L438" s="738"/>
      <c r="M438" s="738"/>
      <c r="N438" s="739"/>
      <c r="O438" s="3167">
        <f t="shared" ref="O438:O440" si="13">SUM(E438:N438)</f>
        <v>0</v>
      </c>
      <c r="P438" s="3168"/>
      <c r="Q438" s="1952"/>
      <c r="S438" s="2899"/>
      <c r="T438" s="334"/>
      <c r="U438" s="240"/>
      <c r="V438" s="240"/>
      <c r="W438" s="240"/>
      <c r="X438" s="240"/>
      <c r="Y438" s="240"/>
      <c r="Z438" s="240"/>
      <c r="AA438" s="240"/>
      <c r="AB438" s="240"/>
      <c r="AC438" s="240"/>
      <c r="AD438" s="240"/>
      <c r="AE438" s="240"/>
      <c r="AF438" s="240"/>
      <c r="AG438" s="240"/>
      <c r="AH438" s="240"/>
    </row>
    <row r="439" spans="1:34" ht="18" customHeight="1" x14ac:dyDescent="0.25">
      <c r="B439" s="2058" t="str">
        <f>IF(COUNTBLANK(E439:N439)&lt;10,"","w")</f>
        <v>w</v>
      </c>
      <c r="C439" s="3037" t="s">
        <v>1575</v>
      </c>
      <c r="D439" s="3038"/>
      <c r="E439" s="747"/>
      <c r="F439" s="745"/>
      <c r="G439" s="745"/>
      <c r="H439" s="745"/>
      <c r="I439" s="745"/>
      <c r="J439" s="745"/>
      <c r="K439" s="745"/>
      <c r="L439" s="745"/>
      <c r="M439" s="745"/>
      <c r="N439" s="746"/>
      <c r="O439" s="3161">
        <f t="shared" si="13"/>
        <v>0</v>
      </c>
      <c r="P439" s="3162"/>
      <c r="Q439" s="1952"/>
      <c r="S439" s="2899"/>
    </row>
    <row r="440" spans="1:34" ht="18" customHeight="1" x14ac:dyDescent="0.25">
      <c r="A440" s="28" t="s">
        <v>124</v>
      </c>
      <c r="B440" s="2058" t="str">
        <f>IF(COUNTBLANK(E440:N440)&lt;10,"","w")</f>
        <v>w</v>
      </c>
      <c r="C440" s="3039" t="s">
        <v>1577</v>
      </c>
      <c r="D440" s="3040"/>
      <c r="E440" s="751"/>
      <c r="F440" s="752"/>
      <c r="G440" s="752"/>
      <c r="H440" s="752"/>
      <c r="I440" s="752"/>
      <c r="J440" s="752"/>
      <c r="K440" s="752"/>
      <c r="L440" s="752"/>
      <c r="M440" s="752"/>
      <c r="N440" s="753"/>
      <c r="O440" s="3197">
        <f t="shared" si="13"/>
        <v>0</v>
      </c>
      <c r="P440" s="3198"/>
      <c r="Q440" s="1952"/>
      <c r="S440" s="2899"/>
    </row>
    <row r="441" spans="1:34" ht="18" customHeight="1" thickBot="1" x14ac:dyDescent="0.3">
      <c r="B441" s="2058" t="str">
        <f>IF(COUNTBLANK(E441:N441)&lt;10,"","w")</f>
        <v>w</v>
      </c>
      <c r="C441" s="3246" t="s">
        <v>1576</v>
      </c>
      <c r="D441" s="3247"/>
      <c r="E441" s="768"/>
      <c r="F441" s="769"/>
      <c r="G441" s="769"/>
      <c r="H441" s="769"/>
      <c r="I441" s="769"/>
      <c r="J441" s="769"/>
      <c r="K441" s="769"/>
      <c r="L441" s="769"/>
      <c r="M441" s="769"/>
      <c r="N441" s="770"/>
      <c r="O441" s="3152">
        <f>SUM(E441:N441)</f>
        <v>0</v>
      </c>
      <c r="P441" s="3153"/>
      <c r="Q441" s="1952"/>
      <c r="S441" s="2899"/>
    </row>
    <row r="442" spans="1:34" ht="22.5" customHeight="1" x14ac:dyDescent="0.25">
      <c r="B442" s="1960"/>
      <c r="C442" s="1097" t="s">
        <v>4</v>
      </c>
      <c r="D442" s="750" t="s">
        <v>1536</v>
      </c>
      <c r="E442" s="748">
        <f>SUM(E443:E444)</f>
        <v>0</v>
      </c>
      <c r="F442" s="749">
        <f t="shared" ref="F442:N442" si="14">SUM(F443:F444)</f>
        <v>0</v>
      </c>
      <c r="G442" s="749">
        <f t="shared" si="14"/>
        <v>0</v>
      </c>
      <c r="H442" s="749">
        <f t="shared" si="14"/>
        <v>0</v>
      </c>
      <c r="I442" s="749">
        <f t="shared" si="14"/>
        <v>0</v>
      </c>
      <c r="J442" s="749">
        <f t="shared" si="14"/>
        <v>0</v>
      </c>
      <c r="K442" s="749">
        <f t="shared" si="14"/>
        <v>0</v>
      </c>
      <c r="L442" s="749">
        <f t="shared" si="14"/>
        <v>0</v>
      </c>
      <c r="M442" s="749">
        <f t="shared" si="14"/>
        <v>0</v>
      </c>
      <c r="N442" s="749">
        <f t="shared" si="14"/>
        <v>0</v>
      </c>
      <c r="O442" s="3148">
        <f>SUM(E442:N442)</f>
        <v>0</v>
      </c>
      <c r="P442" s="3149"/>
      <c r="Q442" s="1952"/>
      <c r="S442" s="2899"/>
      <c r="T442" s="675"/>
      <c r="U442" s="332"/>
      <c r="V442" s="333"/>
      <c r="W442" s="333"/>
      <c r="X442" s="333"/>
      <c r="Y442" s="333"/>
      <c r="Z442" s="333"/>
      <c r="AA442" s="333"/>
      <c r="AB442" s="333"/>
      <c r="AC442" s="333"/>
      <c r="AD442" s="333"/>
      <c r="AE442" s="675"/>
      <c r="AF442" s="675"/>
      <c r="AG442" s="675"/>
      <c r="AH442" s="675"/>
    </row>
    <row r="443" spans="1:34" ht="18" customHeight="1" x14ac:dyDescent="0.25">
      <c r="B443" s="2058" t="str">
        <f>IF(COUNTBLANK(E443:N443)&lt;10,"","u")</f>
        <v>u</v>
      </c>
      <c r="C443" s="3254" t="s">
        <v>1578</v>
      </c>
      <c r="D443" s="3255"/>
      <c r="E443" s="579"/>
      <c r="F443" s="580"/>
      <c r="G443" s="580"/>
      <c r="H443" s="580"/>
      <c r="I443" s="580"/>
      <c r="J443" s="580"/>
      <c r="K443" s="580"/>
      <c r="L443" s="580"/>
      <c r="M443" s="580"/>
      <c r="N443" s="581"/>
      <c r="O443" s="3167">
        <f>SUM(E443:N443)</f>
        <v>0</v>
      </c>
      <c r="P443" s="3168"/>
      <c r="Q443" s="1952"/>
      <c r="S443" s="2899"/>
      <c r="T443" s="334"/>
      <c r="U443" s="240"/>
      <c r="V443" s="240"/>
      <c r="W443" s="240"/>
      <c r="X443" s="240"/>
      <c r="Y443" s="240"/>
      <c r="Z443" s="240"/>
      <c r="AA443" s="240"/>
      <c r="AB443" s="240"/>
      <c r="AC443" s="240"/>
      <c r="AD443" s="240"/>
      <c r="AE443" s="240"/>
      <c r="AF443" s="240"/>
      <c r="AG443" s="240"/>
      <c r="AH443" s="240"/>
    </row>
    <row r="444" spans="1:34" ht="18" customHeight="1" x14ac:dyDescent="0.25">
      <c r="B444" s="2058" t="str">
        <f>IF(COUNTBLANK(E444:N444)&lt;10,"","u")</f>
        <v>u</v>
      </c>
      <c r="C444" s="1098" t="s">
        <v>1588</v>
      </c>
      <c r="D444" s="990" t="s">
        <v>87</v>
      </c>
      <c r="E444" s="1118"/>
      <c r="F444" s="738"/>
      <c r="G444" s="738"/>
      <c r="H444" s="738"/>
      <c r="I444" s="738"/>
      <c r="J444" s="738"/>
      <c r="K444" s="738"/>
      <c r="L444" s="738"/>
      <c r="M444" s="738"/>
      <c r="N444" s="739"/>
      <c r="O444" s="3167">
        <f t="shared" ref="O444:O446" si="15">SUM(E444:N444)</f>
        <v>0</v>
      </c>
      <c r="P444" s="3168"/>
      <c r="Q444" s="1952"/>
      <c r="S444" s="2899"/>
      <c r="T444" s="334"/>
      <c r="U444" s="240"/>
      <c r="V444" s="240"/>
      <c r="W444" s="240"/>
      <c r="X444" s="240"/>
      <c r="Y444" s="240"/>
      <c r="Z444" s="240"/>
      <c r="AA444" s="240"/>
      <c r="AB444" s="240"/>
      <c r="AC444" s="240"/>
      <c r="AD444" s="240"/>
      <c r="AE444" s="240"/>
      <c r="AF444" s="240"/>
      <c r="AG444" s="240"/>
      <c r="AH444" s="240"/>
    </row>
    <row r="445" spans="1:34" ht="18" customHeight="1" x14ac:dyDescent="0.25">
      <c r="B445" s="2058" t="str">
        <f>IF(COUNTBLANK(E445:N445)&lt;10,"","w")</f>
        <v>w</v>
      </c>
      <c r="C445" s="3037" t="s">
        <v>1575</v>
      </c>
      <c r="D445" s="3038"/>
      <c r="E445" s="744"/>
      <c r="F445" s="745"/>
      <c r="G445" s="745"/>
      <c r="H445" s="745"/>
      <c r="I445" s="745"/>
      <c r="J445" s="745"/>
      <c r="K445" s="745"/>
      <c r="L445" s="745"/>
      <c r="M445" s="745"/>
      <c r="N445" s="746"/>
      <c r="O445" s="3161">
        <f t="shared" si="15"/>
        <v>0</v>
      </c>
      <c r="P445" s="3162"/>
      <c r="Q445" s="1952"/>
      <c r="S445" s="2899"/>
    </row>
    <row r="446" spans="1:34" ht="18" customHeight="1" x14ac:dyDescent="0.25">
      <c r="B446" s="2058" t="str">
        <f>IF(COUNTBLANK(E446:N446)&lt;10,"","w")</f>
        <v>w</v>
      </c>
      <c r="C446" s="3039" t="s">
        <v>1577</v>
      </c>
      <c r="D446" s="3040"/>
      <c r="E446" s="751"/>
      <c r="F446" s="752"/>
      <c r="G446" s="752"/>
      <c r="H446" s="752"/>
      <c r="I446" s="752"/>
      <c r="J446" s="752"/>
      <c r="K446" s="752"/>
      <c r="L446" s="752"/>
      <c r="M446" s="752"/>
      <c r="N446" s="753"/>
      <c r="O446" s="3197">
        <f t="shared" si="15"/>
        <v>0</v>
      </c>
      <c r="P446" s="3198"/>
      <c r="Q446" s="1952"/>
      <c r="S446" s="2899"/>
    </row>
    <row r="447" spans="1:34" ht="18" customHeight="1" thickBot="1" x14ac:dyDescent="0.3">
      <c r="B447" s="2058" t="str">
        <f>IF(COUNTBLANK(E447:N447)&lt;10,"","w")</f>
        <v>w</v>
      </c>
      <c r="C447" s="3039" t="s">
        <v>1576</v>
      </c>
      <c r="D447" s="3040"/>
      <c r="E447" s="751"/>
      <c r="F447" s="752"/>
      <c r="G447" s="752"/>
      <c r="H447" s="752"/>
      <c r="I447" s="752"/>
      <c r="J447" s="752"/>
      <c r="K447" s="752"/>
      <c r="L447" s="752"/>
      <c r="M447" s="752"/>
      <c r="N447" s="753"/>
      <c r="O447" s="3197">
        <f>SUM(E447:N447)</f>
        <v>0</v>
      </c>
      <c r="P447" s="3198"/>
      <c r="Q447" s="1952"/>
      <c r="S447" s="2899"/>
    </row>
    <row r="448" spans="1:34" ht="37.5" customHeight="1" thickBot="1" x14ac:dyDescent="0.3">
      <c r="B448" s="1960"/>
      <c r="C448" s="3061" t="s">
        <v>130</v>
      </c>
      <c r="D448" s="3062"/>
      <c r="E448" s="3158"/>
      <c r="F448" s="3159"/>
      <c r="G448" s="3159"/>
      <c r="H448" s="3159"/>
      <c r="I448" s="3159"/>
      <c r="J448" s="3159"/>
      <c r="K448" s="3159"/>
      <c r="L448" s="3159"/>
      <c r="M448" s="3159"/>
      <c r="N448" s="3159"/>
      <c r="O448" s="3159"/>
      <c r="P448" s="3160"/>
      <c r="Q448" s="1952"/>
      <c r="S448" s="2899"/>
    </row>
    <row r="449" spans="2:34" ht="30" customHeight="1" thickBot="1" x14ac:dyDescent="0.3">
      <c r="B449" s="1960"/>
      <c r="C449" s="3256" t="s">
        <v>2059</v>
      </c>
      <c r="D449" s="3257"/>
      <c r="E449" s="1182">
        <f t="shared" ref="E449:N449" si="16">E411+E427+E435</f>
        <v>0</v>
      </c>
      <c r="F449" s="1183">
        <f t="shared" si="16"/>
        <v>0</v>
      </c>
      <c r="G449" s="1183">
        <f t="shared" si="16"/>
        <v>0</v>
      </c>
      <c r="H449" s="1183">
        <f t="shared" si="16"/>
        <v>0</v>
      </c>
      <c r="I449" s="1183">
        <f t="shared" si="16"/>
        <v>0</v>
      </c>
      <c r="J449" s="1183">
        <f t="shared" si="16"/>
        <v>0</v>
      </c>
      <c r="K449" s="1183">
        <f t="shared" si="16"/>
        <v>0</v>
      </c>
      <c r="L449" s="1183">
        <f t="shared" si="16"/>
        <v>0</v>
      </c>
      <c r="M449" s="1183">
        <f t="shared" si="16"/>
        <v>0</v>
      </c>
      <c r="N449" s="1184">
        <f t="shared" si="16"/>
        <v>0</v>
      </c>
      <c r="O449" s="3258">
        <f t="shared" si="3"/>
        <v>0</v>
      </c>
      <c r="P449" s="3259"/>
      <c r="Q449" s="1952"/>
      <c r="S449" s="2899"/>
      <c r="T449" s="335"/>
      <c r="U449" s="11"/>
      <c r="V449" s="11"/>
      <c r="W449" s="11"/>
      <c r="X449" s="11"/>
      <c r="Y449" s="11"/>
      <c r="Z449" s="11"/>
      <c r="AA449" s="11"/>
      <c r="AB449" s="11"/>
      <c r="AC449" s="11"/>
      <c r="AD449" s="11"/>
      <c r="AE449" s="11"/>
    </row>
    <row r="450" spans="2:34" x14ac:dyDescent="0.25">
      <c r="B450" s="1960"/>
      <c r="C450" s="1951"/>
      <c r="D450" s="1951"/>
      <c r="E450" s="1951"/>
      <c r="F450" s="2093"/>
      <c r="G450" s="2093"/>
      <c r="H450" s="1951"/>
      <c r="I450" s="2093"/>
      <c r="J450" s="2093"/>
      <c r="K450" s="1951"/>
      <c r="L450" s="2093"/>
      <c r="M450" s="1951"/>
      <c r="N450" s="2093"/>
      <c r="O450" s="2093"/>
      <c r="P450" s="2093"/>
      <c r="Q450" s="1952"/>
      <c r="S450" s="2899"/>
    </row>
    <row r="451" spans="2:34" ht="15.75" thickBot="1" x14ac:dyDescent="0.3">
      <c r="B451" s="1960"/>
      <c r="C451" s="1951"/>
      <c r="D451" s="1951"/>
      <c r="E451" s="1951"/>
      <c r="F451" s="2093"/>
      <c r="G451" s="2093"/>
      <c r="H451" s="1951"/>
      <c r="I451" s="2093"/>
      <c r="J451" s="2093"/>
      <c r="K451" s="1951"/>
      <c r="L451" s="2093"/>
      <c r="M451" s="1951"/>
      <c r="N451" s="2093"/>
      <c r="O451" s="2093"/>
      <c r="P451" s="2093"/>
      <c r="Q451" s="1952"/>
      <c r="S451" s="1075"/>
    </row>
    <row r="452" spans="2:34" ht="30" customHeight="1" x14ac:dyDescent="0.25">
      <c r="B452" s="1960"/>
      <c r="C452" s="3192" t="s">
        <v>2058</v>
      </c>
      <c r="D452" s="3193"/>
      <c r="E452" s="3193"/>
      <c r="F452" s="3194"/>
      <c r="G452" s="2095"/>
      <c r="H452" s="2095"/>
      <c r="I452" s="2095"/>
      <c r="J452" s="2095"/>
      <c r="K452" s="2095"/>
      <c r="L452" s="2095"/>
      <c r="M452" s="2095"/>
      <c r="N452" s="2095"/>
      <c r="O452" s="2096"/>
      <c r="P452" s="2095"/>
      <c r="Q452" s="1952"/>
      <c r="S452" s="2899"/>
    </row>
    <row r="453" spans="2:34" ht="3" customHeight="1" thickBot="1" x14ac:dyDescent="0.3">
      <c r="B453" s="1960"/>
      <c r="C453" s="1094"/>
      <c r="D453" s="1093"/>
      <c r="E453" s="1093"/>
      <c r="F453" s="1095"/>
      <c r="G453" s="1987"/>
      <c r="H453" s="1987"/>
      <c r="I453" s="1987"/>
      <c r="J453" s="1987"/>
      <c r="K453" s="1987"/>
      <c r="L453" s="1987"/>
      <c r="M453" s="1987"/>
      <c r="N453" s="1987"/>
      <c r="O453" s="1987"/>
      <c r="P453" s="1987"/>
      <c r="Q453" s="1952"/>
      <c r="S453" s="2899"/>
    </row>
    <row r="454" spans="2:34" ht="19.5" customHeight="1" x14ac:dyDescent="0.25">
      <c r="B454" s="1960"/>
      <c r="C454" s="3032" t="s">
        <v>253</v>
      </c>
      <c r="D454" s="3033"/>
      <c r="E454" s="3169" t="s">
        <v>1540</v>
      </c>
      <c r="F454" s="3170"/>
      <c r="G454" s="3170"/>
      <c r="H454" s="3170"/>
      <c r="I454" s="3170"/>
      <c r="J454" s="3170"/>
      <c r="K454" s="3170"/>
      <c r="L454" s="3170"/>
      <c r="M454" s="3170"/>
      <c r="N454" s="3251"/>
      <c r="O454" s="3180" t="s">
        <v>79</v>
      </c>
      <c r="P454" s="3181"/>
      <c r="Q454" s="1952"/>
      <c r="S454" s="2899"/>
    </row>
    <row r="455" spans="2:34" ht="19.5" customHeight="1" thickBot="1" x14ac:dyDescent="0.3">
      <c r="B455" s="1960"/>
      <c r="C455" s="3150"/>
      <c r="D455" s="3151"/>
      <c r="E455" s="757">
        <f>IF(E51="",0,E51)</f>
        <v>0</v>
      </c>
      <c r="F455" s="758">
        <f t="shared" ref="F455:N455" si="17">E455+1</f>
        <v>1</v>
      </c>
      <c r="G455" s="758">
        <f t="shared" si="17"/>
        <v>2</v>
      </c>
      <c r="H455" s="758">
        <f t="shared" si="17"/>
        <v>3</v>
      </c>
      <c r="I455" s="758">
        <f t="shared" si="17"/>
        <v>4</v>
      </c>
      <c r="J455" s="758">
        <f t="shared" si="17"/>
        <v>5</v>
      </c>
      <c r="K455" s="758">
        <f t="shared" si="17"/>
        <v>6</v>
      </c>
      <c r="L455" s="758">
        <f t="shared" si="17"/>
        <v>7</v>
      </c>
      <c r="M455" s="758">
        <f t="shared" si="17"/>
        <v>8</v>
      </c>
      <c r="N455" s="759">
        <f t="shared" si="17"/>
        <v>9</v>
      </c>
      <c r="O455" s="3182"/>
      <c r="P455" s="3183"/>
      <c r="Q455" s="1952"/>
      <c r="S455" s="2899"/>
    </row>
    <row r="456" spans="2:34" ht="22.5" customHeight="1" thickBot="1" x14ac:dyDescent="0.3">
      <c r="B456" s="1960"/>
      <c r="C456" s="1096" t="s">
        <v>55</v>
      </c>
      <c r="D456" s="760" t="s">
        <v>6</v>
      </c>
      <c r="E456" s="761">
        <f t="shared" ref="E456:N456" si="18">E457+E464</f>
        <v>0</v>
      </c>
      <c r="F456" s="762">
        <f t="shared" si="18"/>
        <v>0</v>
      </c>
      <c r="G456" s="762">
        <f t="shared" si="18"/>
        <v>0</v>
      </c>
      <c r="H456" s="762">
        <f t="shared" si="18"/>
        <v>0</v>
      </c>
      <c r="I456" s="762">
        <f t="shared" si="18"/>
        <v>0</v>
      </c>
      <c r="J456" s="762">
        <f t="shared" si="18"/>
        <v>0</v>
      </c>
      <c r="K456" s="762">
        <f t="shared" si="18"/>
        <v>0</v>
      </c>
      <c r="L456" s="762">
        <f t="shared" si="18"/>
        <v>0</v>
      </c>
      <c r="M456" s="762">
        <f t="shared" si="18"/>
        <v>0</v>
      </c>
      <c r="N456" s="763">
        <f t="shared" si="18"/>
        <v>0</v>
      </c>
      <c r="O456" s="3165">
        <f>SUM(E456:N456)</f>
        <v>0</v>
      </c>
      <c r="P456" s="3166"/>
      <c r="Q456" s="1952"/>
      <c r="S456" s="2899"/>
      <c r="T456" s="675"/>
      <c r="U456" s="332"/>
      <c r="V456" s="333"/>
      <c r="W456" s="333"/>
      <c r="X456" s="333"/>
      <c r="Y456" s="333"/>
      <c r="Z456" s="333"/>
      <c r="AA456" s="333"/>
      <c r="AB456" s="333"/>
      <c r="AC456" s="333"/>
      <c r="AD456" s="333"/>
      <c r="AE456" s="675"/>
      <c r="AF456" s="675"/>
      <c r="AG456" s="675"/>
      <c r="AH456" s="675"/>
    </row>
    <row r="457" spans="2:34" ht="22.5" customHeight="1" x14ac:dyDescent="0.25">
      <c r="B457" s="1960"/>
      <c r="C457" s="1097" t="s">
        <v>1</v>
      </c>
      <c r="D457" s="750" t="s">
        <v>1536</v>
      </c>
      <c r="E457" s="748">
        <f>SUM(E458:E459)</f>
        <v>0</v>
      </c>
      <c r="F457" s="749">
        <f t="shared" ref="F457:N457" si="19">SUM(F458:F459)</f>
        <v>0</v>
      </c>
      <c r="G457" s="749">
        <f t="shared" si="19"/>
        <v>0</v>
      </c>
      <c r="H457" s="749">
        <f t="shared" si="19"/>
        <v>0</v>
      </c>
      <c r="I457" s="749">
        <f t="shared" si="19"/>
        <v>0</v>
      </c>
      <c r="J457" s="749">
        <f t="shared" si="19"/>
        <v>0</v>
      </c>
      <c r="K457" s="749">
        <f t="shared" si="19"/>
        <v>0</v>
      </c>
      <c r="L457" s="749">
        <f t="shared" si="19"/>
        <v>0</v>
      </c>
      <c r="M457" s="749">
        <f t="shared" si="19"/>
        <v>0</v>
      </c>
      <c r="N457" s="749">
        <f t="shared" si="19"/>
        <v>0</v>
      </c>
      <c r="O457" s="3148">
        <f>SUM(E457:N457)</f>
        <v>0</v>
      </c>
      <c r="P457" s="3149"/>
      <c r="Q457" s="1952"/>
      <c r="S457" s="2899"/>
      <c r="T457" s="675"/>
      <c r="U457" s="332"/>
      <c r="V457" s="333"/>
      <c r="W457" s="333"/>
      <c r="X457" s="333"/>
      <c r="Y457" s="333"/>
      <c r="Z457" s="333"/>
      <c r="AA457" s="333"/>
      <c r="AB457" s="333"/>
      <c r="AC457" s="333"/>
      <c r="AD457" s="333"/>
      <c r="AE457" s="675"/>
      <c r="AF457" s="675"/>
      <c r="AG457" s="675"/>
      <c r="AH457" s="675"/>
    </row>
    <row r="458" spans="2:34" ht="18" customHeight="1" x14ac:dyDescent="0.25">
      <c r="B458" s="2058" t="str">
        <f>IF(COUNTBLANK(E458:N458)&lt;10,"","u")</f>
        <v>u</v>
      </c>
      <c r="C458" s="3254" t="s">
        <v>1578</v>
      </c>
      <c r="D458" s="3255"/>
      <c r="E458" s="585"/>
      <c r="F458" s="586"/>
      <c r="G458" s="586"/>
      <c r="H458" s="586"/>
      <c r="I458" s="586"/>
      <c r="J458" s="586"/>
      <c r="K458" s="586"/>
      <c r="L458" s="586"/>
      <c r="M458" s="586"/>
      <c r="N458" s="587"/>
      <c r="O458" s="3167">
        <f>SUM(E458:N458)</f>
        <v>0</v>
      </c>
      <c r="P458" s="3168"/>
      <c r="Q458" s="1952"/>
      <c r="S458" s="2899"/>
    </row>
    <row r="459" spans="2:34" ht="18" customHeight="1" x14ac:dyDescent="0.25">
      <c r="B459" s="2058" t="str">
        <f>IF(COUNTBLANK(E459:N459)&lt;10,"","u")</f>
        <v>u</v>
      </c>
      <c r="C459" s="1098" t="s">
        <v>1588</v>
      </c>
      <c r="D459" s="990" t="s">
        <v>87</v>
      </c>
      <c r="E459" s="741"/>
      <c r="F459" s="742"/>
      <c r="G459" s="742"/>
      <c r="H459" s="742"/>
      <c r="I459" s="742"/>
      <c r="J459" s="742"/>
      <c r="K459" s="742"/>
      <c r="L459" s="742"/>
      <c r="M459" s="742"/>
      <c r="N459" s="743"/>
      <c r="O459" s="3167">
        <f t="shared" ref="O459:O462" si="20">SUM(E459:N459)</f>
        <v>0</v>
      </c>
      <c r="P459" s="3168"/>
      <c r="Q459" s="1952"/>
      <c r="S459" s="2899"/>
      <c r="T459" s="334"/>
      <c r="U459" s="240"/>
      <c r="V459" s="240"/>
      <c r="W459" s="240"/>
      <c r="X459" s="240"/>
      <c r="Y459" s="240"/>
      <c r="Z459" s="240"/>
      <c r="AA459" s="240"/>
      <c r="AB459" s="240"/>
      <c r="AC459" s="240"/>
      <c r="AD459" s="240"/>
      <c r="AE459" s="240"/>
      <c r="AF459" s="240"/>
      <c r="AG459" s="240"/>
      <c r="AH459" s="240"/>
    </row>
    <row r="460" spans="2:34" ht="18" customHeight="1" x14ac:dyDescent="0.25">
      <c r="B460" s="2058" t="str">
        <f>IF(COUNTBLANK(E460:N460)&lt;10,"","w")</f>
        <v>w</v>
      </c>
      <c r="C460" s="3037" t="s">
        <v>1574</v>
      </c>
      <c r="D460" s="3038"/>
      <c r="E460" s="744"/>
      <c r="F460" s="745"/>
      <c r="G460" s="745"/>
      <c r="H460" s="745"/>
      <c r="I460" s="745"/>
      <c r="J460" s="745"/>
      <c r="K460" s="745"/>
      <c r="L460" s="745"/>
      <c r="M460" s="745"/>
      <c r="N460" s="746"/>
      <c r="O460" s="3161">
        <f t="shared" si="20"/>
        <v>0</v>
      </c>
      <c r="P460" s="3162"/>
      <c r="Q460" s="1952"/>
      <c r="S460" s="2899"/>
      <c r="T460" s="334"/>
      <c r="U460" s="240"/>
      <c r="V460" s="240"/>
      <c r="W460" s="240"/>
      <c r="X460" s="240"/>
      <c r="Y460" s="240"/>
      <c r="Z460" s="240"/>
      <c r="AA460" s="240"/>
      <c r="AB460" s="240"/>
      <c r="AC460" s="240"/>
      <c r="AD460" s="240"/>
      <c r="AE460" s="240"/>
      <c r="AF460" s="240"/>
      <c r="AG460" s="240"/>
      <c r="AH460" s="240"/>
    </row>
    <row r="461" spans="2:34" ht="18" customHeight="1" x14ac:dyDescent="0.25">
      <c r="B461" s="2058" t="str">
        <f>IF(COUNTBLANK(E461:N461)&lt;10,"","w")</f>
        <v>w</v>
      </c>
      <c r="C461" s="3044" t="s">
        <v>1575</v>
      </c>
      <c r="D461" s="3045"/>
      <c r="E461" s="732"/>
      <c r="F461" s="733"/>
      <c r="G461" s="733"/>
      <c r="H461" s="733"/>
      <c r="I461" s="733"/>
      <c r="J461" s="733"/>
      <c r="K461" s="733"/>
      <c r="L461" s="733"/>
      <c r="M461" s="733"/>
      <c r="N461" s="734"/>
      <c r="O461" s="3138">
        <f t="shared" si="20"/>
        <v>0</v>
      </c>
      <c r="P461" s="3139"/>
      <c r="Q461" s="1952"/>
      <c r="S461" s="2899"/>
    </row>
    <row r="462" spans="2:34" ht="18" customHeight="1" x14ac:dyDescent="0.25">
      <c r="B462" s="2058" t="str">
        <f>IF(COUNTBLANK(E462:N462)&lt;10,"","w")</f>
        <v>w</v>
      </c>
      <c r="C462" s="3039" t="s">
        <v>1577</v>
      </c>
      <c r="D462" s="3040"/>
      <c r="E462" s="751"/>
      <c r="F462" s="752"/>
      <c r="G462" s="752"/>
      <c r="H462" s="752"/>
      <c r="I462" s="752"/>
      <c r="J462" s="752"/>
      <c r="K462" s="752"/>
      <c r="L462" s="752"/>
      <c r="M462" s="752"/>
      <c r="N462" s="753"/>
      <c r="O462" s="3197">
        <f t="shared" si="20"/>
        <v>0</v>
      </c>
      <c r="P462" s="3198"/>
      <c r="Q462" s="1952"/>
      <c r="S462" s="2899"/>
    </row>
    <row r="463" spans="2:34" ht="18" customHeight="1" thickBot="1" x14ac:dyDescent="0.3">
      <c r="B463" s="2058" t="str">
        <f>IF(COUNTBLANK(E463:N463)&lt;10,"","w")</f>
        <v>w</v>
      </c>
      <c r="C463" s="3044" t="s">
        <v>1576</v>
      </c>
      <c r="D463" s="3045"/>
      <c r="E463" s="732"/>
      <c r="F463" s="733"/>
      <c r="G463" s="733"/>
      <c r="H463" s="733"/>
      <c r="I463" s="733"/>
      <c r="J463" s="733"/>
      <c r="K463" s="733"/>
      <c r="L463" s="733"/>
      <c r="M463" s="733"/>
      <c r="N463" s="734"/>
      <c r="O463" s="3138">
        <f>SUM(E463:N463)</f>
        <v>0</v>
      </c>
      <c r="P463" s="3139"/>
      <c r="Q463" s="1952"/>
      <c r="S463" s="2899"/>
    </row>
    <row r="464" spans="2:34" ht="22.5" customHeight="1" x14ac:dyDescent="0.25">
      <c r="B464" s="1960"/>
      <c r="C464" s="1099" t="s">
        <v>2</v>
      </c>
      <c r="D464" s="754" t="s">
        <v>1536</v>
      </c>
      <c r="E464" s="755">
        <f>SUM(E465:E466)</f>
        <v>0</v>
      </c>
      <c r="F464" s="756">
        <f t="shared" ref="F464:N464" si="21">SUM(F465:F466)</f>
        <v>0</v>
      </c>
      <c r="G464" s="756">
        <f t="shared" si="21"/>
        <v>0</v>
      </c>
      <c r="H464" s="756">
        <f t="shared" si="21"/>
        <v>0</v>
      </c>
      <c r="I464" s="756">
        <f t="shared" si="21"/>
        <v>0</v>
      </c>
      <c r="J464" s="756">
        <f t="shared" si="21"/>
        <v>0</v>
      </c>
      <c r="K464" s="756">
        <f t="shared" si="21"/>
        <v>0</v>
      </c>
      <c r="L464" s="756">
        <f t="shared" si="21"/>
        <v>0</v>
      </c>
      <c r="M464" s="756">
        <f t="shared" si="21"/>
        <v>0</v>
      </c>
      <c r="N464" s="756">
        <f t="shared" si="21"/>
        <v>0</v>
      </c>
      <c r="O464" s="3146">
        <f>SUM(E464:N464)</f>
        <v>0</v>
      </c>
      <c r="P464" s="3147"/>
      <c r="Q464" s="1952"/>
      <c r="S464" s="2899"/>
      <c r="T464" s="675"/>
      <c r="U464" s="332"/>
      <c r="V464" s="333"/>
      <c r="W464" s="333"/>
      <c r="X464" s="333"/>
      <c r="Y464" s="333"/>
      <c r="Z464" s="333"/>
      <c r="AA464" s="333"/>
      <c r="AB464" s="333"/>
      <c r="AC464" s="333"/>
      <c r="AD464" s="333"/>
      <c r="AE464" s="675"/>
      <c r="AF464" s="675"/>
      <c r="AG464" s="675"/>
      <c r="AH464" s="675"/>
    </row>
    <row r="465" spans="2:34" ht="18" customHeight="1" x14ac:dyDescent="0.25">
      <c r="B465" s="2058" t="str">
        <f>IF(COUNTBLANK(E465:N465)&lt;10,"","u")</f>
        <v>u</v>
      </c>
      <c r="C465" s="3254" t="s">
        <v>1578</v>
      </c>
      <c r="D465" s="3255"/>
      <c r="E465" s="585"/>
      <c r="F465" s="586"/>
      <c r="G465" s="586"/>
      <c r="H465" s="586"/>
      <c r="I465" s="586"/>
      <c r="J465" s="586"/>
      <c r="K465" s="586"/>
      <c r="L465" s="586"/>
      <c r="M465" s="586"/>
      <c r="N465" s="587"/>
      <c r="O465" s="3167">
        <f>SUM(E465:N465)</f>
        <v>0</v>
      </c>
      <c r="P465" s="3168"/>
      <c r="Q465" s="1952"/>
      <c r="S465" s="2899"/>
    </row>
    <row r="466" spans="2:34" ht="18" customHeight="1" x14ac:dyDescent="0.25">
      <c r="B466" s="2058" t="str">
        <f>IF(COUNTBLANK(E466:N466)&lt;10,"","u")</f>
        <v>u</v>
      </c>
      <c r="C466" s="1098" t="s">
        <v>1588</v>
      </c>
      <c r="D466" s="990" t="s">
        <v>87</v>
      </c>
      <c r="E466" s="741"/>
      <c r="F466" s="742"/>
      <c r="G466" s="742"/>
      <c r="H466" s="742"/>
      <c r="I466" s="742"/>
      <c r="J466" s="742"/>
      <c r="K466" s="742"/>
      <c r="L466" s="742"/>
      <c r="M466" s="742"/>
      <c r="N466" s="743"/>
      <c r="O466" s="3167">
        <f t="shared" ref="O466:O469" si="22">SUM(E466:N466)</f>
        <v>0</v>
      </c>
      <c r="P466" s="3168"/>
      <c r="Q466" s="1952"/>
      <c r="S466" s="2899"/>
      <c r="T466" s="334"/>
      <c r="U466" s="240"/>
      <c r="V466" s="240"/>
      <c r="W466" s="240"/>
      <c r="X466" s="240"/>
      <c r="Y466" s="240"/>
      <c r="Z466" s="240"/>
      <c r="AA466" s="240"/>
      <c r="AB466" s="240"/>
      <c r="AC466" s="240"/>
      <c r="AD466" s="240"/>
      <c r="AE466" s="240"/>
      <c r="AF466" s="240"/>
      <c r="AG466" s="240"/>
      <c r="AH466" s="240"/>
    </row>
    <row r="467" spans="2:34" ht="18" customHeight="1" x14ac:dyDescent="0.25">
      <c r="B467" s="2058" t="str">
        <f>IF(COUNTBLANK(E467:N467)&lt;10,"","w")</f>
        <v>w</v>
      </c>
      <c r="C467" s="3037" t="s">
        <v>1574</v>
      </c>
      <c r="D467" s="3038"/>
      <c r="E467" s="744"/>
      <c r="F467" s="745"/>
      <c r="G467" s="745"/>
      <c r="H467" s="745"/>
      <c r="I467" s="745"/>
      <c r="J467" s="745"/>
      <c r="K467" s="745"/>
      <c r="L467" s="745"/>
      <c r="M467" s="745"/>
      <c r="N467" s="746"/>
      <c r="O467" s="3161">
        <f t="shared" si="22"/>
        <v>0</v>
      </c>
      <c r="P467" s="3162"/>
      <c r="Q467" s="1952"/>
      <c r="S467" s="2899"/>
      <c r="T467" s="334"/>
      <c r="U467" s="240"/>
      <c r="V467" s="240"/>
      <c r="W467" s="240"/>
      <c r="X467" s="240"/>
      <c r="Y467" s="240"/>
      <c r="Z467" s="240"/>
      <c r="AA467" s="240"/>
      <c r="AB467" s="240"/>
      <c r="AC467" s="240"/>
      <c r="AD467" s="240"/>
      <c r="AE467" s="240"/>
      <c r="AF467" s="240"/>
      <c r="AG467" s="240"/>
      <c r="AH467" s="240"/>
    </row>
    <row r="468" spans="2:34" ht="18" customHeight="1" x14ac:dyDescent="0.25">
      <c r="B468" s="2058" t="str">
        <f>IF(COUNTBLANK(E468:N468)&lt;10,"","w")</f>
        <v>w</v>
      </c>
      <c r="C468" s="3044" t="s">
        <v>1575</v>
      </c>
      <c r="D468" s="3045"/>
      <c r="E468" s="732"/>
      <c r="F468" s="733"/>
      <c r="G468" s="733"/>
      <c r="H468" s="733"/>
      <c r="I468" s="733"/>
      <c r="J468" s="733"/>
      <c r="K468" s="733"/>
      <c r="L468" s="733"/>
      <c r="M468" s="733"/>
      <c r="N468" s="734"/>
      <c r="O468" s="3138">
        <f t="shared" si="22"/>
        <v>0</v>
      </c>
      <c r="P468" s="3139"/>
      <c r="Q468" s="1952"/>
      <c r="S468" s="2899"/>
    </row>
    <row r="469" spans="2:34" ht="18" customHeight="1" x14ac:dyDescent="0.25">
      <c r="B469" s="2058" t="str">
        <f>IF(COUNTBLANK(E469:N469)&lt;10,"","w")</f>
        <v>w</v>
      </c>
      <c r="C469" s="3039" t="s">
        <v>1577</v>
      </c>
      <c r="D469" s="3040"/>
      <c r="E469" s="751"/>
      <c r="F469" s="752"/>
      <c r="G469" s="752"/>
      <c r="H469" s="752"/>
      <c r="I469" s="752"/>
      <c r="J469" s="752"/>
      <c r="K469" s="752"/>
      <c r="L469" s="752"/>
      <c r="M469" s="752"/>
      <c r="N469" s="753"/>
      <c r="O469" s="3197">
        <f t="shared" si="22"/>
        <v>0</v>
      </c>
      <c r="P469" s="3198"/>
      <c r="Q469" s="1952"/>
      <c r="S469" s="2899"/>
    </row>
    <row r="470" spans="2:34" ht="18" customHeight="1" thickBot="1" x14ac:dyDescent="0.3">
      <c r="B470" s="2058" t="str">
        <f>IF(COUNTBLANK(E470:N470)&lt;10,"","w")</f>
        <v>w</v>
      </c>
      <c r="C470" s="3044" t="s">
        <v>1576</v>
      </c>
      <c r="D470" s="3045"/>
      <c r="E470" s="732"/>
      <c r="F470" s="733"/>
      <c r="G470" s="733"/>
      <c r="H470" s="733"/>
      <c r="I470" s="733"/>
      <c r="J470" s="733"/>
      <c r="K470" s="733"/>
      <c r="L470" s="733"/>
      <c r="M470" s="733"/>
      <c r="N470" s="734"/>
      <c r="O470" s="3138">
        <f>SUM(E470:N470)</f>
        <v>0</v>
      </c>
      <c r="P470" s="3139"/>
      <c r="Q470" s="1952"/>
      <c r="S470" s="2899"/>
    </row>
    <row r="471" spans="2:34" ht="37.5" customHeight="1" thickBot="1" x14ac:dyDescent="0.3">
      <c r="B471" s="1960"/>
      <c r="C471" s="3061" t="s">
        <v>130</v>
      </c>
      <c r="D471" s="3062"/>
      <c r="E471" s="3158"/>
      <c r="F471" s="3159"/>
      <c r="G471" s="3159"/>
      <c r="H471" s="3159"/>
      <c r="I471" s="3159"/>
      <c r="J471" s="3159"/>
      <c r="K471" s="3159"/>
      <c r="L471" s="3159"/>
      <c r="M471" s="3159"/>
      <c r="N471" s="3159"/>
      <c r="O471" s="3159"/>
      <c r="P471" s="3160"/>
      <c r="Q471" s="1952"/>
      <c r="S471" s="2899"/>
    </row>
    <row r="472" spans="2:34" ht="22.5" customHeight="1" thickBot="1" x14ac:dyDescent="0.3">
      <c r="B472" s="2058"/>
      <c r="C472" s="1096" t="s">
        <v>123</v>
      </c>
      <c r="D472" s="760" t="s">
        <v>6</v>
      </c>
      <c r="E472" s="761">
        <f t="shared" ref="E472:N472" si="23">E473+E475+E474</f>
        <v>0</v>
      </c>
      <c r="F472" s="762">
        <f t="shared" si="23"/>
        <v>0</v>
      </c>
      <c r="G472" s="762">
        <f t="shared" si="23"/>
        <v>0</v>
      </c>
      <c r="H472" s="762">
        <f t="shared" si="23"/>
        <v>0</v>
      </c>
      <c r="I472" s="762">
        <f t="shared" si="23"/>
        <v>0</v>
      </c>
      <c r="J472" s="762">
        <f t="shared" si="23"/>
        <v>0</v>
      </c>
      <c r="K472" s="762">
        <f t="shared" si="23"/>
        <v>0</v>
      </c>
      <c r="L472" s="762">
        <f t="shared" si="23"/>
        <v>0</v>
      </c>
      <c r="M472" s="762">
        <f t="shared" si="23"/>
        <v>0</v>
      </c>
      <c r="N472" s="763">
        <f t="shared" si="23"/>
        <v>0</v>
      </c>
      <c r="O472" s="3165">
        <f t="shared" ref="O472:O494" si="24">SUM(E472:N472)</f>
        <v>0</v>
      </c>
      <c r="P472" s="3166"/>
      <c r="Q472" s="2094"/>
      <c r="S472" s="2899"/>
    </row>
    <row r="473" spans="2:34" ht="18" customHeight="1" x14ac:dyDescent="0.25">
      <c r="B473" s="2058" t="str">
        <f>IF(COUNTBLANK(E473:N473)&lt;10,"","u")</f>
        <v>u</v>
      </c>
      <c r="C473" s="3142" t="s">
        <v>1578</v>
      </c>
      <c r="D473" s="3143"/>
      <c r="E473" s="585"/>
      <c r="F473" s="586"/>
      <c r="G473" s="586"/>
      <c r="H473" s="586"/>
      <c r="I473" s="586"/>
      <c r="J473" s="586"/>
      <c r="K473" s="586"/>
      <c r="L473" s="586"/>
      <c r="M473" s="586"/>
      <c r="N473" s="587"/>
      <c r="O473" s="3098">
        <f>SUM(E473:N473)</f>
        <v>0</v>
      </c>
      <c r="P473" s="3099"/>
      <c r="Q473" s="2094"/>
      <c r="S473" s="2899"/>
    </row>
    <row r="474" spans="2:34" ht="18" customHeight="1" x14ac:dyDescent="0.25">
      <c r="B474" s="2058" t="str">
        <f>IF(COUNTBLANK(E474:N474)&lt;10,"","u")</f>
        <v>u</v>
      </c>
      <c r="C474" s="3140" t="s">
        <v>1437</v>
      </c>
      <c r="D474" s="3141"/>
      <c r="E474" s="741"/>
      <c r="F474" s="742"/>
      <c r="G474" s="742"/>
      <c r="H474" s="742"/>
      <c r="I474" s="742"/>
      <c r="J474" s="742"/>
      <c r="K474" s="742"/>
      <c r="L474" s="742"/>
      <c r="M474" s="742"/>
      <c r="N474" s="743"/>
      <c r="O474" s="3167">
        <f>SUM(E474:N474)</f>
        <v>0</v>
      </c>
      <c r="P474" s="3168"/>
      <c r="Q474" s="2094"/>
      <c r="S474" s="2899"/>
    </row>
    <row r="475" spans="2:34" ht="18" customHeight="1" x14ac:dyDescent="0.25">
      <c r="B475" s="2058" t="str">
        <f>IF(COUNTBLANK(E475:N475)&lt;10,"","u")</f>
        <v>u</v>
      </c>
      <c r="C475" s="1098" t="s">
        <v>1588</v>
      </c>
      <c r="D475" s="990" t="s">
        <v>87</v>
      </c>
      <c r="E475" s="741"/>
      <c r="F475" s="742"/>
      <c r="G475" s="742"/>
      <c r="H475" s="742"/>
      <c r="I475" s="742"/>
      <c r="J475" s="742"/>
      <c r="K475" s="742"/>
      <c r="L475" s="742"/>
      <c r="M475" s="742"/>
      <c r="N475" s="743"/>
      <c r="O475" s="3167">
        <f t="shared" ref="O475:O477" si="25">SUM(E475:N475)</f>
        <v>0</v>
      </c>
      <c r="P475" s="3168"/>
      <c r="Q475" s="1952"/>
      <c r="S475" s="2899"/>
      <c r="T475" s="334"/>
      <c r="U475" s="240"/>
      <c r="V475" s="240"/>
      <c r="W475" s="240"/>
      <c r="X475" s="240"/>
      <c r="Y475" s="240"/>
      <c r="Z475" s="240"/>
      <c r="AA475" s="240"/>
      <c r="AB475" s="240"/>
      <c r="AC475" s="240"/>
      <c r="AD475" s="240"/>
      <c r="AE475" s="240"/>
      <c r="AF475" s="240"/>
      <c r="AG475" s="240"/>
      <c r="AH475" s="240"/>
    </row>
    <row r="476" spans="2:34" ht="18" customHeight="1" x14ac:dyDescent="0.25">
      <c r="B476" s="2058" t="str">
        <f>IF(COUNTBLANK(E476:N476)&lt;10,"","w")</f>
        <v>w</v>
      </c>
      <c r="C476" s="3037" t="s">
        <v>1575</v>
      </c>
      <c r="D476" s="3038"/>
      <c r="E476" s="744"/>
      <c r="F476" s="745"/>
      <c r="G476" s="745"/>
      <c r="H476" s="745"/>
      <c r="I476" s="745"/>
      <c r="J476" s="745"/>
      <c r="K476" s="745"/>
      <c r="L476" s="745"/>
      <c r="M476" s="745"/>
      <c r="N476" s="746"/>
      <c r="O476" s="3161">
        <f t="shared" si="25"/>
        <v>0</v>
      </c>
      <c r="P476" s="3162"/>
      <c r="Q476" s="2094"/>
      <c r="S476" s="2899"/>
    </row>
    <row r="477" spans="2:34" ht="18" customHeight="1" x14ac:dyDescent="0.25">
      <c r="B477" s="2058" t="str">
        <f>IF(COUNTBLANK(E477:N477)&lt;10,"","w")</f>
        <v>w</v>
      </c>
      <c r="C477" s="3039" t="s">
        <v>1577</v>
      </c>
      <c r="D477" s="3040"/>
      <c r="E477" s="751"/>
      <c r="F477" s="752"/>
      <c r="G477" s="752"/>
      <c r="H477" s="752"/>
      <c r="I477" s="752"/>
      <c r="J477" s="752"/>
      <c r="K477" s="752"/>
      <c r="L477" s="752"/>
      <c r="M477" s="752"/>
      <c r="N477" s="753"/>
      <c r="O477" s="3197">
        <f t="shared" si="25"/>
        <v>0</v>
      </c>
      <c r="P477" s="3198"/>
      <c r="Q477" s="2094"/>
      <c r="S477" s="2899"/>
    </row>
    <row r="478" spans="2:34" ht="18" customHeight="1" thickBot="1" x14ac:dyDescent="0.3">
      <c r="B478" s="2058" t="str">
        <f>IF(COUNTBLANK(E478:N478)&lt;10,"","w")</f>
        <v>w</v>
      </c>
      <c r="C478" s="3044" t="s">
        <v>1576</v>
      </c>
      <c r="D478" s="3045"/>
      <c r="E478" s="732"/>
      <c r="F478" s="733"/>
      <c r="G478" s="733"/>
      <c r="H478" s="733"/>
      <c r="I478" s="733"/>
      <c r="J478" s="733"/>
      <c r="K478" s="733"/>
      <c r="L478" s="733"/>
      <c r="M478" s="733"/>
      <c r="N478" s="734"/>
      <c r="O478" s="3138">
        <f>SUM(E478:N478)</f>
        <v>0</v>
      </c>
      <c r="P478" s="3139"/>
      <c r="Q478" s="2094"/>
      <c r="S478" s="2899"/>
    </row>
    <row r="479" spans="2:34" ht="37.5" customHeight="1" thickBot="1" x14ac:dyDescent="0.3">
      <c r="B479" s="1960"/>
      <c r="C479" s="3061" t="s">
        <v>130</v>
      </c>
      <c r="D479" s="3062"/>
      <c r="E479" s="3158"/>
      <c r="F479" s="3159"/>
      <c r="G479" s="3159"/>
      <c r="H479" s="3159"/>
      <c r="I479" s="3159"/>
      <c r="J479" s="3159"/>
      <c r="K479" s="3159"/>
      <c r="L479" s="3159"/>
      <c r="M479" s="3159"/>
      <c r="N479" s="3159"/>
      <c r="O479" s="3159"/>
      <c r="P479" s="3160"/>
      <c r="Q479" s="1952"/>
      <c r="S479" s="2899"/>
    </row>
    <row r="480" spans="2:34" ht="22.5" customHeight="1" thickBot="1" x14ac:dyDescent="0.3">
      <c r="B480" s="1960"/>
      <c r="C480" s="1100" t="s">
        <v>133</v>
      </c>
      <c r="D480" s="764" t="s">
        <v>6</v>
      </c>
      <c r="E480" s="765">
        <f t="shared" ref="E480:N480" si="26">E481+E487</f>
        <v>0</v>
      </c>
      <c r="F480" s="766">
        <f t="shared" si="26"/>
        <v>0</v>
      </c>
      <c r="G480" s="766">
        <f t="shared" si="26"/>
        <v>0</v>
      </c>
      <c r="H480" s="766">
        <f t="shared" si="26"/>
        <v>0</v>
      </c>
      <c r="I480" s="766">
        <f t="shared" si="26"/>
        <v>0</v>
      </c>
      <c r="J480" s="766">
        <f t="shared" si="26"/>
        <v>0</v>
      </c>
      <c r="K480" s="766">
        <f t="shared" si="26"/>
        <v>0</v>
      </c>
      <c r="L480" s="766">
        <f t="shared" si="26"/>
        <v>0</v>
      </c>
      <c r="M480" s="766">
        <f t="shared" si="26"/>
        <v>0</v>
      </c>
      <c r="N480" s="767">
        <f t="shared" si="26"/>
        <v>0</v>
      </c>
      <c r="O480" s="3144">
        <f t="shared" ref="O480:O481" si="27">SUM(E480:N480)</f>
        <v>0</v>
      </c>
      <c r="P480" s="3145"/>
      <c r="Q480" s="1952"/>
      <c r="S480" s="2899"/>
      <c r="T480" s="676"/>
      <c r="U480" s="11"/>
      <c r="V480" s="11"/>
      <c r="W480" s="11"/>
      <c r="X480" s="11"/>
      <c r="Y480" s="11"/>
      <c r="Z480" s="11"/>
      <c r="AA480" s="11"/>
      <c r="AB480" s="11"/>
      <c r="AC480" s="11"/>
      <c r="AD480" s="11"/>
      <c r="AE480" s="11"/>
    </row>
    <row r="481" spans="2:34" ht="22.5" customHeight="1" x14ac:dyDescent="0.25">
      <c r="B481" s="1960"/>
      <c r="C481" s="1099" t="s">
        <v>3</v>
      </c>
      <c r="D481" s="754" t="s">
        <v>1536</v>
      </c>
      <c r="E481" s="755">
        <f>SUM(E482:E483)</f>
        <v>0</v>
      </c>
      <c r="F481" s="756">
        <f t="shared" ref="F481:N481" si="28">SUM(F482:F483)</f>
        <v>0</v>
      </c>
      <c r="G481" s="756">
        <f t="shared" si="28"/>
        <v>0</v>
      </c>
      <c r="H481" s="756">
        <f t="shared" si="28"/>
        <v>0</v>
      </c>
      <c r="I481" s="756">
        <f t="shared" si="28"/>
        <v>0</v>
      </c>
      <c r="J481" s="756">
        <f t="shared" si="28"/>
        <v>0</v>
      </c>
      <c r="K481" s="756">
        <f t="shared" si="28"/>
        <v>0</v>
      </c>
      <c r="L481" s="756">
        <f t="shared" si="28"/>
        <v>0</v>
      </c>
      <c r="M481" s="756">
        <f t="shared" si="28"/>
        <v>0</v>
      </c>
      <c r="N481" s="756">
        <f t="shared" si="28"/>
        <v>0</v>
      </c>
      <c r="O481" s="3146">
        <f t="shared" si="27"/>
        <v>0</v>
      </c>
      <c r="P481" s="3147"/>
      <c r="Q481" s="1952"/>
      <c r="S481" s="2899"/>
      <c r="T481" s="675"/>
      <c r="U481" s="332"/>
      <c r="V481" s="333"/>
      <c r="W481" s="333"/>
      <c r="X481" s="333"/>
      <c r="Y481" s="333"/>
      <c r="Z481" s="333"/>
      <c r="AA481" s="333"/>
      <c r="AB481" s="333"/>
      <c r="AC481" s="333"/>
      <c r="AD481" s="333"/>
      <c r="AE481" s="675"/>
      <c r="AF481" s="675"/>
      <c r="AG481" s="675"/>
      <c r="AH481" s="675"/>
    </row>
    <row r="482" spans="2:34" ht="18" customHeight="1" x14ac:dyDescent="0.25">
      <c r="B482" s="2058" t="str">
        <f>IF(COUNTBLANK(E482:N482)&lt;10,"","u")</f>
        <v>u</v>
      </c>
      <c r="C482" s="3142" t="s">
        <v>1578</v>
      </c>
      <c r="D482" s="3143"/>
      <c r="E482" s="585"/>
      <c r="F482" s="586"/>
      <c r="G482" s="586"/>
      <c r="H482" s="586"/>
      <c r="I482" s="586"/>
      <c r="J482" s="586"/>
      <c r="K482" s="586"/>
      <c r="L482" s="586"/>
      <c r="M482" s="586"/>
      <c r="N482" s="587"/>
      <c r="O482" s="3167">
        <f>SUM(E482:N482)</f>
        <v>0</v>
      </c>
      <c r="P482" s="3168"/>
      <c r="Q482" s="1952"/>
      <c r="S482" s="2899"/>
    </row>
    <row r="483" spans="2:34" ht="18" customHeight="1" x14ac:dyDescent="0.25">
      <c r="B483" s="2058" t="str">
        <f>IF(COUNTBLANK(E483:N483)&lt;10,"","u")</f>
        <v>u</v>
      </c>
      <c r="C483" s="1098" t="s">
        <v>1588</v>
      </c>
      <c r="D483" s="990" t="s">
        <v>87</v>
      </c>
      <c r="E483" s="741"/>
      <c r="F483" s="742"/>
      <c r="G483" s="742"/>
      <c r="H483" s="742"/>
      <c r="I483" s="742"/>
      <c r="J483" s="742"/>
      <c r="K483" s="742"/>
      <c r="L483" s="742"/>
      <c r="M483" s="742"/>
      <c r="N483" s="743"/>
      <c r="O483" s="3167">
        <f t="shared" ref="O483:O485" si="29">SUM(E483:N483)</f>
        <v>0</v>
      </c>
      <c r="P483" s="3168"/>
      <c r="Q483" s="1952"/>
      <c r="S483" s="2899"/>
      <c r="T483" s="334"/>
      <c r="U483" s="240"/>
      <c r="V483" s="240"/>
      <c r="W483" s="240"/>
      <c r="X483" s="240"/>
      <c r="Y483" s="240"/>
      <c r="Z483" s="240"/>
      <c r="AA483" s="240"/>
      <c r="AB483" s="240"/>
      <c r="AC483" s="240"/>
      <c r="AD483" s="240"/>
      <c r="AE483" s="240"/>
      <c r="AF483" s="240"/>
      <c r="AG483" s="240"/>
      <c r="AH483" s="240"/>
    </row>
    <row r="484" spans="2:34" ht="18" customHeight="1" x14ac:dyDescent="0.25">
      <c r="B484" s="2058" t="str">
        <f>IF(COUNTBLANK(E484:N484)&lt;10,"","w")</f>
        <v>w</v>
      </c>
      <c r="C484" s="3037" t="s">
        <v>1575</v>
      </c>
      <c r="D484" s="3038"/>
      <c r="E484" s="744"/>
      <c r="F484" s="745"/>
      <c r="G484" s="745"/>
      <c r="H484" s="745"/>
      <c r="I484" s="745"/>
      <c r="J484" s="745"/>
      <c r="K484" s="745"/>
      <c r="L484" s="745"/>
      <c r="M484" s="745"/>
      <c r="N484" s="746"/>
      <c r="O484" s="3161">
        <f t="shared" si="29"/>
        <v>0</v>
      </c>
      <c r="P484" s="3162"/>
      <c r="Q484" s="1952"/>
      <c r="S484" s="2899"/>
    </row>
    <row r="485" spans="2:34" ht="18" customHeight="1" x14ac:dyDescent="0.25">
      <c r="B485" s="2058" t="str">
        <f>IF(COUNTBLANK(E485:N485)&lt;10,"","w")</f>
        <v>w</v>
      </c>
      <c r="C485" s="3039" t="s">
        <v>1577</v>
      </c>
      <c r="D485" s="3040"/>
      <c r="E485" s="751"/>
      <c r="F485" s="752"/>
      <c r="G485" s="752"/>
      <c r="H485" s="752"/>
      <c r="I485" s="752"/>
      <c r="J485" s="752"/>
      <c r="K485" s="752"/>
      <c r="L485" s="752"/>
      <c r="M485" s="752"/>
      <c r="N485" s="753"/>
      <c r="O485" s="3197">
        <f t="shared" si="29"/>
        <v>0</v>
      </c>
      <c r="P485" s="3198"/>
      <c r="Q485" s="1952"/>
      <c r="S485" s="2899"/>
    </row>
    <row r="486" spans="2:34" ht="18" customHeight="1" thickBot="1" x14ac:dyDescent="0.3">
      <c r="B486" s="2058" t="str">
        <f>IF(COUNTBLANK(E486:N486)&lt;10,"","w")</f>
        <v>w</v>
      </c>
      <c r="C486" s="3246" t="s">
        <v>1576</v>
      </c>
      <c r="D486" s="3247"/>
      <c r="E486" s="768"/>
      <c r="F486" s="769"/>
      <c r="G486" s="769"/>
      <c r="H486" s="769"/>
      <c r="I486" s="769"/>
      <c r="J486" s="769"/>
      <c r="K486" s="769"/>
      <c r="L486" s="769"/>
      <c r="M486" s="769"/>
      <c r="N486" s="770"/>
      <c r="O486" s="3152">
        <f>SUM(E486:N486)</f>
        <v>0</v>
      </c>
      <c r="P486" s="3153"/>
      <c r="Q486" s="1952"/>
      <c r="S486" s="2899"/>
    </row>
    <row r="487" spans="2:34" ht="22.5" customHeight="1" x14ac:dyDescent="0.25">
      <c r="B487" s="1960"/>
      <c r="C487" s="1097" t="s">
        <v>4</v>
      </c>
      <c r="D487" s="750" t="s">
        <v>1536</v>
      </c>
      <c r="E487" s="748">
        <f>SUM(E488:E489)</f>
        <v>0</v>
      </c>
      <c r="F487" s="749">
        <f t="shared" ref="F487:N487" si="30">SUM(F488:F489)</f>
        <v>0</v>
      </c>
      <c r="G487" s="749">
        <f t="shared" si="30"/>
        <v>0</v>
      </c>
      <c r="H487" s="749">
        <f t="shared" si="30"/>
        <v>0</v>
      </c>
      <c r="I487" s="749">
        <f t="shared" si="30"/>
        <v>0</v>
      </c>
      <c r="J487" s="749">
        <f t="shared" si="30"/>
        <v>0</v>
      </c>
      <c r="K487" s="749">
        <f t="shared" si="30"/>
        <v>0</v>
      </c>
      <c r="L487" s="749">
        <f t="shared" si="30"/>
        <v>0</v>
      </c>
      <c r="M487" s="749">
        <f t="shared" si="30"/>
        <v>0</v>
      </c>
      <c r="N487" s="749">
        <f t="shared" si="30"/>
        <v>0</v>
      </c>
      <c r="O487" s="3148">
        <f>SUM(E487:N487)</f>
        <v>0</v>
      </c>
      <c r="P487" s="3149"/>
      <c r="Q487" s="1952"/>
      <c r="S487" s="2899"/>
      <c r="T487" s="675"/>
      <c r="U487" s="332"/>
      <c r="V487" s="333"/>
      <c r="W487" s="333"/>
      <c r="X487" s="333"/>
      <c r="Y487" s="333"/>
      <c r="Z487" s="333"/>
      <c r="AA487" s="333"/>
      <c r="AB487" s="333"/>
      <c r="AC487" s="333"/>
      <c r="AD487" s="333"/>
      <c r="AE487" s="675"/>
      <c r="AF487" s="675"/>
      <c r="AG487" s="675"/>
      <c r="AH487" s="675"/>
    </row>
    <row r="488" spans="2:34" ht="18" customHeight="1" x14ac:dyDescent="0.25">
      <c r="B488" s="2058" t="str">
        <f>IF(COUNTBLANK(E488:N488)&lt;10,"","u")</f>
        <v>u</v>
      </c>
      <c r="C488" s="3142" t="s">
        <v>1578</v>
      </c>
      <c r="D488" s="3143"/>
      <c r="E488" s="585"/>
      <c r="F488" s="586"/>
      <c r="G488" s="586"/>
      <c r="H488" s="586"/>
      <c r="I488" s="586"/>
      <c r="J488" s="586"/>
      <c r="K488" s="586"/>
      <c r="L488" s="586"/>
      <c r="M488" s="586"/>
      <c r="N488" s="587"/>
      <c r="O488" s="3167">
        <f>SUM(E488:N488)</f>
        <v>0</v>
      </c>
      <c r="P488" s="3168"/>
      <c r="Q488" s="1952"/>
      <c r="S488" s="2899"/>
    </row>
    <row r="489" spans="2:34" ht="18" customHeight="1" x14ac:dyDescent="0.25">
      <c r="B489" s="2058" t="str">
        <f>IF(COUNTBLANK(E489:N489)&lt;10,"","u")</f>
        <v>u</v>
      </c>
      <c r="C489" s="1098" t="s">
        <v>1588</v>
      </c>
      <c r="D489" s="990" t="s">
        <v>87</v>
      </c>
      <c r="E489" s="741"/>
      <c r="F489" s="742"/>
      <c r="G489" s="742"/>
      <c r="H489" s="742"/>
      <c r="I489" s="742"/>
      <c r="J489" s="742"/>
      <c r="K489" s="742"/>
      <c r="L489" s="742"/>
      <c r="M489" s="742"/>
      <c r="N489" s="743"/>
      <c r="O489" s="3167">
        <f t="shared" ref="O489:O491" si="31">SUM(E489:N489)</f>
        <v>0</v>
      </c>
      <c r="P489" s="3168"/>
      <c r="Q489" s="1952"/>
      <c r="S489" s="2899"/>
      <c r="T489" s="334"/>
      <c r="U489" s="240"/>
      <c r="V489" s="240"/>
      <c r="W489" s="240"/>
      <c r="X489" s="240"/>
      <c r="Y489" s="240"/>
      <c r="Z489" s="240"/>
      <c r="AA489" s="240"/>
      <c r="AB489" s="240"/>
      <c r="AC489" s="240"/>
      <c r="AD489" s="240"/>
      <c r="AE489" s="240"/>
      <c r="AF489" s="240"/>
      <c r="AG489" s="240"/>
      <c r="AH489" s="240"/>
    </row>
    <row r="490" spans="2:34" ht="18" customHeight="1" x14ac:dyDescent="0.25">
      <c r="B490" s="2058" t="str">
        <f>IF(COUNTBLANK(E490:N490)&lt;10,"","w")</f>
        <v>w</v>
      </c>
      <c r="C490" s="3037" t="s">
        <v>1575</v>
      </c>
      <c r="D490" s="3038"/>
      <c r="E490" s="744"/>
      <c r="F490" s="745"/>
      <c r="G490" s="745"/>
      <c r="H490" s="745"/>
      <c r="I490" s="745"/>
      <c r="J490" s="745"/>
      <c r="K490" s="745"/>
      <c r="L490" s="745"/>
      <c r="M490" s="745"/>
      <c r="N490" s="746"/>
      <c r="O490" s="3161">
        <f t="shared" si="31"/>
        <v>0</v>
      </c>
      <c r="P490" s="3162"/>
      <c r="Q490" s="1952"/>
      <c r="S490" s="2899"/>
    </row>
    <row r="491" spans="2:34" ht="18" customHeight="1" x14ac:dyDescent="0.25">
      <c r="B491" s="2058" t="str">
        <f>IF(COUNTBLANK(E491:N491)&lt;10,"","w")</f>
        <v>w</v>
      </c>
      <c r="C491" s="3039" t="s">
        <v>1577</v>
      </c>
      <c r="D491" s="3040"/>
      <c r="E491" s="751"/>
      <c r="F491" s="752"/>
      <c r="G491" s="752"/>
      <c r="H491" s="752"/>
      <c r="I491" s="752"/>
      <c r="J491" s="752"/>
      <c r="K491" s="752"/>
      <c r="L491" s="752"/>
      <c r="M491" s="752"/>
      <c r="N491" s="753"/>
      <c r="O491" s="3197">
        <f t="shared" si="31"/>
        <v>0</v>
      </c>
      <c r="P491" s="3198"/>
      <c r="Q491" s="1952"/>
      <c r="S491" s="2899"/>
    </row>
    <row r="492" spans="2:34" ht="18" customHeight="1" thickBot="1" x14ac:dyDescent="0.3">
      <c r="B492" s="2058" t="str">
        <f>IF(COUNTBLANK(E492:N492)&lt;10,"","w")</f>
        <v>w</v>
      </c>
      <c r="C492" s="3039" t="s">
        <v>1576</v>
      </c>
      <c r="D492" s="3040"/>
      <c r="E492" s="732"/>
      <c r="F492" s="733"/>
      <c r="G492" s="733"/>
      <c r="H492" s="733"/>
      <c r="I492" s="733"/>
      <c r="J492" s="733"/>
      <c r="K492" s="733"/>
      <c r="L492" s="733"/>
      <c r="M492" s="733"/>
      <c r="N492" s="734"/>
      <c r="O492" s="3138">
        <f>SUM(E492:N492)</f>
        <v>0</v>
      </c>
      <c r="P492" s="3139"/>
      <c r="Q492" s="1952"/>
      <c r="S492" s="2899"/>
    </row>
    <row r="493" spans="2:34" ht="37.5" customHeight="1" thickBot="1" x14ac:dyDescent="0.3">
      <c r="B493" s="1960"/>
      <c r="C493" s="3061" t="s">
        <v>130</v>
      </c>
      <c r="D493" s="3062"/>
      <c r="E493" s="3158"/>
      <c r="F493" s="3159"/>
      <c r="G493" s="3159"/>
      <c r="H493" s="3159"/>
      <c r="I493" s="3159"/>
      <c r="J493" s="3159"/>
      <c r="K493" s="3159"/>
      <c r="L493" s="3159"/>
      <c r="M493" s="3159"/>
      <c r="N493" s="3159"/>
      <c r="O493" s="3159"/>
      <c r="P493" s="3160"/>
      <c r="Q493" s="1952"/>
      <c r="S493" s="2899"/>
    </row>
    <row r="494" spans="2:34" ht="30" customHeight="1" thickBot="1" x14ac:dyDescent="0.3">
      <c r="B494" s="1960"/>
      <c r="C494" s="3256" t="s">
        <v>2060</v>
      </c>
      <c r="D494" s="3257"/>
      <c r="E494" s="1182">
        <f t="shared" ref="E494:N494" si="32">E456+E472+E480</f>
        <v>0</v>
      </c>
      <c r="F494" s="1183">
        <f t="shared" si="32"/>
        <v>0</v>
      </c>
      <c r="G494" s="1183">
        <f t="shared" si="32"/>
        <v>0</v>
      </c>
      <c r="H494" s="1183">
        <f t="shared" si="32"/>
        <v>0</v>
      </c>
      <c r="I494" s="1183">
        <f t="shared" si="32"/>
        <v>0</v>
      </c>
      <c r="J494" s="1183">
        <f t="shared" si="32"/>
        <v>0</v>
      </c>
      <c r="K494" s="1183">
        <f t="shared" si="32"/>
        <v>0</v>
      </c>
      <c r="L494" s="1183">
        <f t="shared" si="32"/>
        <v>0</v>
      </c>
      <c r="M494" s="1183">
        <f t="shared" si="32"/>
        <v>0</v>
      </c>
      <c r="N494" s="1184">
        <f t="shared" si="32"/>
        <v>0</v>
      </c>
      <c r="O494" s="3258">
        <f t="shared" si="24"/>
        <v>0</v>
      </c>
      <c r="P494" s="3259"/>
      <c r="Q494" s="1952"/>
      <c r="S494" s="2899"/>
    </row>
    <row r="495" spans="2:34" ht="16.5" customHeight="1" x14ac:dyDescent="0.25">
      <c r="B495" s="1960"/>
      <c r="C495" s="2065"/>
      <c r="D495" s="1951"/>
      <c r="E495" s="1951"/>
      <c r="F495" s="1951"/>
      <c r="G495" s="1951"/>
      <c r="H495" s="1951"/>
      <c r="I495" s="1951"/>
      <c r="J495" s="1951"/>
      <c r="K495" s="1951"/>
      <c r="L495" s="1951"/>
      <c r="M495" s="1951"/>
      <c r="N495" s="1951"/>
      <c r="O495" s="1951"/>
      <c r="P495" s="1951"/>
      <c r="Q495" s="1952"/>
      <c r="S495" s="2899"/>
    </row>
    <row r="496" spans="2:34" ht="17.25" customHeight="1" x14ac:dyDescent="0.25">
      <c r="B496" s="1960"/>
      <c r="C496" s="2066" t="s">
        <v>188</v>
      </c>
      <c r="D496" s="1951"/>
      <c r="E496" s="1951"/>
      <c r="F496" s="1951"/>
      <c r="G496" s="1951"/>
      <c r="H496" s="1951"/>
      <c r="I496" s="1951"/>
      <c r="J496" s="1951"/>
      <c r="K496" s="1951"/>
      <c r="L496" s="1951"/>
      <c r="M496" s="1951"/>
      <c r="N496" s="1951"/>
      <c r="O496" s="1951"/>
      <c r="P496" s="1951"/>
      <c r="Q496" s="1952"/>
      <c r="S496" s="2899"/>
    </row>
    <row r="497" spans="1:19" ht="18" customHeight="1" x14ac:dyDescent="0.25">
      <c r="B497" s="1960"/>
      <c r="C497" s="1949"/>
      <c r="D497" s="2067"/>
      <c r="E497" s="3393" t="s">
        <v>185</v>
      </c>
      <c r="F497" s="3393"/>
      <c r="G497" s="3393"/>
      <c r="H497" s="3394"/>
      <c r="I497" s="359" t="str">
        <f>IF((OR(ISBLANK(F626),ISBLANK(F627),ISBLANK(F631),ISBLANK(#REF!),ISBLANK(K626),ISBLANK(K627),ISBLANK(K631),ISBLANK(#REF!))=FALSE),"Complété","À compléter")</f>
        <v>À compléter</v>
      </c>
      <c r="J497" s="3395" t="s">
        <v>186</v>
      </c>
      <c r="K497" s="3395"/>
      <c r="L497" s="3395"/>
      <c r="M497" s="3395"/>
      <c r="N497" s="3395"/>
      <c r="O497" s="3395"/>
      <c r="P497" s="3395"/>
      <c r="Q497" s="1952"/>
      <c r="S497" s="2899"/>
    </row>
    <row r="498" spans="1:19" ht="6.75" customHeight="1" x14ac:dyDescent="0.25">
      <c r="B498" s="1960"/>
      <c r="C498" s="1951"/>
      <c r="D498" s="2067"/>
      <c r="E498" s="2067"/>
      <c r="F498" s="2067"/>
      <c r="G498" s="2067"/>
      <c r="H498" s="2067"/>
      <c r="I498" s="1951"/>
      <c r="J498" s="2069"/>
      <c r="K498" s="2069"/>
      <c r="L498" s="2069"/>
      <c r="M498" s="2069"/>
      <c r="N498" s="2069"/>
      <c r="O498" s="2069"/>
      <c r="P498" s="2069"/>
      <c r="Q498" s="1952"/>
      <c r="S498" s="2899"/>
    </row>
    <row r="499" spans="1:19" ht="18" customHeight="1" x14ac:dyDescent="0.25">
      <c r="B499" s="1960"/>
      <c r="C499" s="1951"/>
      <c r="D499" s="3393" t="s">
        <v>1594</v>
      </c>
      <c r="E499" s="3393"/>
      <c r="F499" s="3393"/>
      <c r="G499" s="3393"/>
      <c r="H499" s="3394"/>
      <c r="I499" s="359" t="str">
        <f>IF((OR(ISBLANK(F686),ISBLANK(F690),ISBLANK(K686),ISBLANK(K690))=FALSE),"Complété","À compléter")</f>
        <v>À compléter</v>
      </c>
      <c r="J499" s="3395" t="s">
        <v>187</v>
      </c>
      <c r="K499" s="3395"/>
      <c r="L499" s="3395"/>
      <c r="M499" s="3395"/>
      <c r="N499" s="3395"/>
      <c r="O499" s="3395"/>
      <c r="P499" s="3395"/>
      <c r="Q499" s="1952"/>
      <c r="S499" s="2899"/>
    </row>
    <row r="500" spans="1:19" ht="17.25" customHeight="1" x14ac:dyDescent="0.25">
      <c r="B500" s="1960"/>
      <c r="C500" s="1951"/>
      <c r="D500" s="2068"/>
      <c r="E500" s="2068"/>
      <c r="F500" s="2068"/>
      <c r="G500" s="2068"/>
      <c r="H500" s="2068"/>
      <c r="I500" s="2072"/>
      <c r="J500" s="2070"/>
      <c r="K500" s="2070"/>
      <c r="L500" s="2070"/>
      <c r="M500" s="2070"/>
      <c r="N500" s="2070"/>
      <c r="O500" s="2070"/>
      <c r="P500" s="2070"/>
      <c r="Q500" s="1952"/>
      <c r="S500" s="2899"/>
    </row>
    <row r="501" spans="1:19" ht="18" customHeight="1" x14ac:dyDescent="0.25">
      <c r="B501" s="1960"/>
      <c r="C501" s="2071" t="s">
        <v>1573</v>
      </c>
      <c r="D501" s="2068"/>
      <c r="E501" s="2068"/>
      <c r="F501" s="2068"/>
      <c r="G501" s="1949"/>
      <c r="H501" s="3391" t="s">
        <v>1523</v>
      </c>
      <c r="I501" s="3391"/>
      <c r="J501" s="1949"/>
      <c r="K501" s="1949"/>
      <c r="L501" s="2070"/>
      <c r="M501" s="2070"/>
      <c r="N501" s="2070"/>
      <c r="O501" s="2070"/>
      <c r="P501" s="2070"/>
      <c r="Q501" s="1952"/>
      <c r="S501" s="2899"/>
    </row>
    <row r="502" spans="1:19" ht="15.75" thickBot="1" x14ac:dyDescent="0.3">
      <c r="B502" s="1982"/>
      <c r="C502" s="1987"/>
      <c r="D502" s="1987"/>
      <c r="E502" s="1987"/>
      <c r="F502" s="2097"/>
      <c r="G502" s="2097"/>
      <c r="H502" s="1987"/>
      <c r="I502" s="2097"/>
      <c r="J502" s="2097"/>
      <c r="K502" s="1987"/>
      <c r="L502" s="2097"/>
      <c r="M502" s="1987"/>
      <c r="N502" s="2097"/>
      <c r="O502" s="2097"/>
      <c r="P502" s="2097"/>
      <c r="Q502" s="1988"/>
      <c r="S502" s="2904"/>
    </row>
    <row r="503" spans="1:19" ht="15.75" thickBot="1" x14ac:dyDescent="0.3">
      <c r="B503" s="699"/>
      <c r="S503" s="627"/>
    </row>
    <row r="504" spans="1:19" ht="22.5" customHeight="1" thickBot="1" x14ac:dyDescent="0.3">
      <c r="A504" s="1225"/>
      <c r="B504" s="1908" t="s">
        <v>86</v>
      </c>
      <c r="C504" s="1908"/>
      <c r="D504" s="1908"/>
      <c r="E504" s="1908"/>
      <c r="F504" s="1908"/>
      <c r="G504" s="1908"/>
      <c r="H504" s="1908"/>
      <c r="I504" s="1908"/>
      <c r="J504" s="1908"/>
      <c r="K504" s="1908"/>
      <c r="L504" s="1913"/>
      <c r="M504" s="1913"/>
      <c r="N504" s="1913"/>
      <c r="O504" s="3398" t="s">
        <v>1641</v>
      </c>
      <c r="P504" s="3398"/>
      <c r="Q504" s="3398"/>
      <c r="S504" s="628" t="s">
        <v>1537</v>
      </c>
    </row>
    <row r="505" spans="1:19" ht="9.75" customHeight="1" thickBot="1" x14ac:dyDescent="0.3">
      <c r="S505" s="629"/>
    </row>
    <row r="506" spans="1:19" ht="8.25" customHeight="1" x14ac:dyDescent="0.25">
      <c r="B506" s="1989"/>
      <c r="C506" s="1990"/>
      <c r="D506" s="1990"/>
      <c r="E506" s="1991"/>
      <c r="F506" s="1992"/>
      <c r="G506" s="1992"/>
      <c r="H506" s="1992"/>
      <c r="I506" s="1992"/>
      <c r="J506" s="1992"/>
      <c r="K506" s="1992"/>
      <c r="L506" s="1992"/>
      <c r="M506" s="1992"/>
      <c r="N506" s="1992"/>
      <c r="O506" s="1992"/>
      <c r="P506" s="1992"/>
      <c r="Q506" s="1993"/>
      <c r="S506" s="2900"/>
    </row>
    <row r="507" spans="1:19" ht="18" customHeight="1" x14ac:dyDescent="0.25">
      <c r="B507" s="1994"/>
      <c r="C507" s="1995" t="s">
        <v>275</v>
      </c>
      <c r="D507" s="1995"/>
      <c r="E507" s="1996"/>
      <c r="F507" s="1997"/>
      <c r="G507" s="1997"/>
      <c r="H507" s="1997"/>
      <c r="I507" s="1997"/>
      <c r="J507" s="1997"/>
      <c r="K507" s="1997"/>
      <c r="L507" s="1997"/>
      <c r="M507" s="1997"/>
      <c r="N507" s="2052" t="s">
        <v>59</v>
      </c>
      <c r="O507" s="359" t="str">
        <f>IF((COUNTBLANK(B515:B567)=ROWS(B515:B567)),"Complété","À compléter")</f>
        <v>À compléter</v>
      </c>
      <c r="P507" s="1997"/>
      <c r="Q507" s="1998"/>
      <c r="S507" s="2899"/>
    </row>
    <row r="508" spans="1:19" ht="6.75" customHeight="1" x14ac:dyDescent="0.25">
      <c r="B508" s="1994"/>
      <c r="C508" s="1996"/>
      <c r="D508" s="1996"/>
      <c r="E508" s="1996"/>
      <c r="F508" s="1997"/>
      <c r="G508" s="1997"/>
      <c r="H508" s="1997"/>
      <c r="I508" s="1997"/>
      <c r="J508" s="1997"/>
      <c r="K508" s="1997"/>
      <c r="L508" s="1997"/>
      <c r="M508" s="1997"/>
      <c r="N508" s="1997"/>
      <c r="O508" s="1997"/>
      <c r="P508" s="1997"/>
      <c r="Q508" s="1998"/>
      <c r="S508" s="2899"/>
    </row>
    <row r="509" spans="1:19" ht="17.25" customHeight="1" x14ac:dyDescent="0.25">
      <c r="B509" s="2053"/>
      <c r="C509" s="3392" t="s">
        <v>1590</v>
      </c>
      <c r="D509" s="3392"/>
      <c r="E509" s="3392"/>
      <c r="F509" s="3392"/>
      <c r="G509" s="3392"/>
      <c r="H509" s="3392"/>
      <c r="I509" s="3392"/>
      <c r="J509" s="3392"/>
      <c r="K509" s="3392"/>
      <c r="L509" s="3392"/>
      <c r="M509" s="3392"/>
      <c r="N509" s="1949"/>
      <c r="O509" s="1949"/>
      <c r="P509" s="1949"/>
      <c r="Q509" s="2057"/>
      <c r="S509" s="2899"/>
    </row>
    <row r="510" spans="1:19" ht="15" customHeight="1" x14ac:dyDescent="0.25">
      <c r="B510" s="2053"/>
      <c r="C510" s="2054"/>
      <c r="D510" s="2054"/>
      <c r="E510" s="2054"/>
      <c r="F510" s="1949"/>
      <c r="G510" s="1949"/>
      <c r="H510" s="1949"/>
      <c r="I510" s="1949"/>
      <c r="J510" s="1949"/>
      <c r="K510" s="1949"/>
      <c r="L510" s="1949"/>
      <c r="M510" s="1949"/>
      <c r="N510" s="1949"/>
      <c r="O510" s="1949"/>
      <c r="P510" s="1949"/>
      <c r="Q510" s="2057"/>
      <c r="S510" s="2899"/>
    </row>
    <row r="511" spans="1:19" ht="17.25" customHeight="1" x14ac:dyDescent="0.25">
      <c r="B511" s="1960"/>
      <c r="C511" s="2054" t="s">
        <v>2066</v>
      </c>
      <c r="D511" s="2000"/>
      <c r="E511" s="1951"/>
      <c r="F511" s="1951"/>
      <c r="G511" s="1951"/>
      <c r="H511" s="1951"/>
      <c r="I511" s="1951"/>
      <c r="J511" s="1951"/>
      <c r="K511" s="1951"/>
      <c r="L511" s="1951"/>
      <c r="M511" s="1951"/>
      <c r="N511" s="1951"/>
      <c r="O511" s="1951"/>
      <c r="P511" s="1951"/>
      <c r="Q511" s="1952"/>
      <c r="S511" s="2899"/>
    </row>
    <row r="512" spans="1:19" ht="23.25" customHeight="1" x14ac:dyDescent="0.25">
      <c r="B512" s="1960"/>
      <c r="C512" s="2083" t="s">
        <v>1425</v>
      </c>
      <c r="D512" s="2000"/>
      <c r="E512" s="1951"/>
      <c r="F512" s="1951"/>
      <c r="G512" s="1951"/>
      <c r="H512" s="1951"/>
      <c r="I512" s="1951"/>
      <c r="J512" s="1951"/>
      <c r="K512" s="1951"/>
      <c r="L512" s="1951"/>
      <c r="M512" s="1951"/>
      <c r="N512" s="1951"/>
      <c r="O512" s="1951"/>
      <c r="P512" s="1951"/>
      <c r="Q512" s="1952"/>
      <c r="S512" s="2899"/>
    </row>
    <row r="513" spans="2:19" ht="16.5" customHeight="1" x14ac:dyDescent="0.25">
      <c r="B513" s="1960"/>
      <c r="C513" s="2088" t="s">
        <v>1609</v>
      </c>
      <c r="D513" s="2001"/>
      <c r="E513" s="1951"/>
      <c r="F513" s="1951"/>
      <c r="G513" s="1951"/>
      <c r="H513" s="1951"/>
      <c r="I513" s="1951"/>
      <c r="J513" s="1951"/>
      <c r="K513" s="1951"/>
      <c r="L513" s="1951"/>
      <c r="M513" s="1951"/>
      <c r="N513" s="1951"/>
      <c r="O513" s="1951"/>
      <c r="P513" s="1951"/>
      <c r="Q513" s="1952"/>
      <c r="S513" s="2899"/>
    </row>
    <row r="514" spans="2:19" ht="16.5" customHeight="1" thickBot="1" x14ac:dyDescent="0.3">
      <c r="B514" s="1960"/>
      <c r="C514" s="2000"/>
      <c r="D514" s="2000"/>
      <c r="E514" s="1951"/>
      <c r="F514" s="1951"/>
      <c r="G514" s="1951"/>
      <c r="H514" s="1951"/>
      <c r="I514" s="1951"/>
      <c r="J514" s="1951"/>
      <c r="K514" s="1951"/>
      <c r="L514" s="1951"/>
      <c r="M514" s="1951"/>
      <c r="N514" s="1951"/>
      <c r="O514" s="1951"/>
      <c r="P514" s="1951"/>
      <c r="Q514" s="1952"/>
      <c r="S514" s="2899"/>
    </row>
    <row r="515" spans="2:19" ht="30" customHeight="1" x14ac:dyDescent="0.25">
      <c r="B515" s="1960"/>
      <c r="C515" s="3192" t="s">
        <v>2057</v>
      </c>
      <c r="D515" s="3193"/>
      <c r="E515" s="3193"/>
      <c r="F515" s="3194"/>
      <c r="G515" s="2095"/>
      <c r="H515" s="2095"/>
      <c r="I515" s="2095"/>
      <c r="J515" s="2095"/>
      <c r="K515" s="2095"/>
      <c r="L515" s="2095"/>
      <c r="M515" s="2095"/>
      <c r="N515" s="2095"/>
      <c r="O515" s="2096"/>
      <c r="P515" s="2095"/>
      <c r="Q515" s="1952"/>
      <c r="S515" s="2899"/>
    </row>
    <row r="516" spans="2:19" ht="3" customHeight="1" thickBot="1" x14ac:dyDescent="0.3">
      <c r="B516" s="1960"/>
      <c r="C516" s="1094"/>
      <c r="D516" s="1093"/>
      <c r="E516" s="1093"/>
      <c r="F516" s="1095"/>
      <c r="G516" s="1987"/>
      <c r="H516" s="1987"/>
      <c r="I516" s="1987"/>
      <c r="J516" s="1987"/>
      <c r="K516" s="1987"/>
      <c r="L516" s="1987"/>
      <c r="M516" s="1987"/>
      <c r="N516" s="1987"/>
      <c r="O516" s="1987"/>
      <c r="P516" s="1987"/>
      <c r="Q516" s="1952"/>
      <c r="S516" s="2899"/>
    </row>
    <row r="517" spans="2:19" ht="19.5" customHeight="1" x14ac:dyDescent="0.25">
      <c r="B517" s="1960"/>
      <c r="C517" s="3032" t="s">
        <v>291</v>
      </c>
      <c r="D517" s="3033"/>
      <c r="E517" s="3169" t="s">
        <v>1608</v>
      </c>
      <c r="F517" s="3170"/>
      <c r="G517" s="3170"/>
      <c r="H517" s="3170"/>
      <c r="I517" s="3170"/>
      <c r="J517" s="3170"/>
      <c r="K517" s="3170"/>
      <c r="L517" s="3170"/>
      <c r="M517" s="3170"/>
      <c r="N517" s="3170"/>
      <c r="O517" s="3180" t="s">
        <v>79</v>
      </c>
      <c r="P517" s="3181"/>
      <c r="Q517" s="1952"/>
      <c r="S517" s="2899"/>
    </row>
    <row r="518" spans="2:19" ht="19.5" customHeight="1" thickBot="1" x14ac:dyDescent="0.3">
      <c r="B518" s="1960"/>
      <c r="C518" s="3150"/>
      <c r="D518" s="3151"/>
      <c r="E518" s="757">
        <f>IF(E51="",0,E51)</f>
        <v>0</v>
      </c>
      <c r="F518" s="758">
        <f t="shared" ref="F518:N518" si="33">E518+1</f>
        <v>1</v>
      </c>
      <c r="G518" s="758">
        <f t="shared" si="33"/>
        <v>2</v>
      </c>
      <c r="H518" s="758">
        <f t="shared" si="33"/>
        <v>3</v>
      </c>
      <c r="I518" s="758">
        <f t="shared" si="33"/>
        <v>4</v>
      </c>
      <c r="J518" s="758">
        <f t="shared" si="33"/>
        <v>5</v>
      </c>
      <c r="K518" s="758">
        <f t="shared" si="33"/>
        <v>6</v>
      </c>
      <c r="L518" s="758">
        <f t="shared" si="33"/>
        <v>7</v>
      </c>
      <c r="M518" s="758">
        <f t="shared" si="33"/>
        <v>8</v>
      </c>
      <c r="N518" s="1185">
        <f t="shared" si="33"/>
        <v>9</v>
      </c>
      <c r="O518" s="3182"/>
      <c r="P518" s="3183"/>
      <c r="Q518" s="1952"/>
      <c r="S518" s="2899"/>
    </row>
    <row r="519" spans="2:19" ht="18" customHeight="1" thickBot="1" x14ac:dyDescent="0.3">
      <c r="B519" s="1994"/>
      <c r="C519" s="1096" t="s">
        <v>55</v>
      </c>
      <c r="D519" s="1186"/>
      <c r="E519" s="1186"/>
      <c r="F519" s="1186"/>
      <c r="G519" s="1186"/>
      <c r="H519" s="1186"/>
      <c r="I519" s="1186"/>
      <c r="J519" s="1186"/>
      <c r="K519" s="1186"/>
      <c r="L519" s="1186"/>
      <c r="M519" s="1186"/>
      <c r="N519" s="1186"/>
      <c r="O519" s="1186"/>
      <c r="P519" s="1187"/>
      <c r="Q519" s="1952"/>
      <c r="S519" s="2899"/>
    </row>
    <row r="520" spans="2:19" ht="18" customHeight="1" x14ac:dyDescent="0.25">
      <c r="B520" s="1994"/>
      <c r="C520" s="3163" t="s">
        <v>1497</v>
      </c>
      <c r="D520" s="3164"/>
      <c r="E520" s="715">
        <f t="shared" ref="E520:N520" si="34">E411</f>
        <v>0</v>
      </c>
      <c r="F520" s="716">
        <f t="shared" si="34"/>
        <v>0</v>
      </c>
      <c r="G520" s="716">
        <f t="shared" si="34"/>
        <v>0</v>
      </c>
      <c r="H520" s="716">
        <f t="shared" si="34"/>
        <v>0</v>
      </c>
      <c r="I520" s="716">
        <f t="shared" si="34"/>
        <v>0</v>
      </c>
      <c r="J520" s="716">
        <f t="shared" si="34"/>
        <v>0</v>
      </c>
      <c r="K520" s="716">
        <f t="shared" si="34"/>
        <v>0</v>
      </c>
      <c r="L520" s="716">
        <f t="shared" si="34"/>
        <v>0</v>
      </c>
      <c r="M520" s="716">
        <f t="shared" si="34"/>
        <v>0</v>
      </c>
      <c r="N520" s="717">
        <f t="shared" si="34"/>
        <v>0</v>
      </c>
      <c r="O520" s="3111">
        <f>SUM(E520:N520)</f>
        <v>0</v>
      </c>
      <c r="P520" s="3112"/>
      <c r="Q520" s="1952"/>
      <c r="S520" s="2899"/>
    </row>
    <row r="521" spans="2:19" ht="18" customHeight="1" x14ac:dyDescent="0.25">
      <c r="B521" s="2058" t="str">
        <f>IF(COUNTBLANK(E521:N521)&lt;10,"","u")</f>
        <v>u</v>
      </c>
      <c r="C521" s="3154" t="s">
        <v>276</v>
      </c>
      <c r="D521" s="3155"/>
      <c r="E521" s="582"/>
      <c r="F521" s="583"/>
      <c r="G521" s="583"/>
      <c r="H521" s="583"/>
      <c r="I521" s="583"/>
      <c r="J521" s="583"/>
      <c r="K521" s="583"/>
      <c r="L521" s="583"/>
      <c r="M521" s="583"/>
      <c r="N521" s="584"/>
      <c r="O521" s="3174">
        <f>SUM(E521:N521)</f>
        <v>0</v>
      </c>
      <c r="P521" s="3175"/>
      <c r="Q521" s="1952"/>
      <c r="S521" s="2899"/>
    </row>
    <row r="522" spans="2:19" ht="18" customHeight="1" x14ac:dyDescent="0.25">
      <c r="B522" s="2058" t="str">
        <f>IF(COUNTBLANK(E522:N522)&lt;10,"","u")</f>
        <v>u</v>
      </c>
      <c r="C522" s="3156" t="s">
        <v>1545</v>
      </c>
      <c r="D522" s="3157"/>
      <c r="E522" s="620"/>
      <c r="F522" s="621"/>
      <c r="G522" s="621"/>
      <c r="H522" s="621"/>
      <c r="I522" s="621"/>
      <c r="J522" s="621"/>
      <c r="K522" s="621"/>
      <c r="L522" s="621"/>
      <c r="M522" s="621"/>
      <c r="N522" s="622"/>
      <c r="O522" s="3098">
        <f>SUM(E522:N522)</f>
        <v>0</v>
      </c>
      <c r="P522" s="3099"/>
      <c r="Q522" s="1952"/>
      <c r="S522" s="2899"/>
    </row>
    <row r="523" spans="2:19" ht="18" customHeight="1" x14ac:dyDescent="0.25">
      <c r="B523" s="2058"/>
      <c r="C523" s="1196" t="s">
        <v>1546</v>
      </c>
      <c r="D523" s="616"/>
      <c r="E523" s="703">
        <f>E521+E522</f>
        <v>0</v>
      </c>
      <c r="F523" s="704">
        <f t="shared" ref="F523:N523" si="35">F521+F522</f>
        <v>0</v>
      </c>
      <c r="G523" s="704">
        <f t="shared" si="35"/>
        <v>0</v>
      </c>
      <c r="H523" s="704">
        <f t="shared" si="35"/>
        <v>0</v>
      </c>
      <c r="I523" s="704">
        <f t="shared" si="35"/>
        <v>0</v>
      </c>
      <c r="J523" s="704">
        <f t="shared" si="35"/>
        <v>0</v>
      </c>
      <c r="K523" s="704">
        <f t="shared" si="35"/>
        <v>0</v>
      </c>
      <c r="L523" s="704">
        <f t="shared" si="35"/>
        <v>0</v>
      </c>
      <c r="M523" s="704">
        <f t="shared" si="35"/>
        <v>0</v>
      </c>
      <c r="N523" s="705">
        <f t="shared" si="35"/>
        <v>0</v>
      </c>
      <c r="O523" s="3136">
        <f>SUM(E523:N523)</f>
        <v>0</v>
      </c>
      <c r="P523" s="3137"/>
      <c r="Q523" s="1952"/>
      <c r="S523" s="2899"/>
    </row>
    <row r="524" spans="2:19" ht="18" customHeight="1" thickBot="1" x14ac:dyDescent="0.3">
      <c r="B524" s="2098"/>
      <c r="C524" s="3130" t="s">
        <v>132</v>
      </c>
      <c r="D524" s="3131"/>
      <c r="E524" s="706">
        <f t="shared" ref="E524:N524" si="36">IF((E520-E521-E522)&lt;0,0,(E520-E521-E522))</f>
        <v>0</v>
      </c>
      <c r="F524" s="707">
        <f t="shared" si="36"/>
        <v>0</v>
      </c>
      <c r="G524" s="707">
        <f t="shared" si="36"/>
        <v>0</v>
      </c>
      <c r="H524" s="707">
        <f t="shared" si="36"/>
        <v>0</v>
      </c>
      <c r="I524" s="707">
        <f t="shared" si="36"/>
        <v>0</v>
      </c>
      <c r="J524" s="707">
        <f t="shared" si="36"/>
        <v>0</v>
      </c>
      <c r="K524" s="707">
        <f t="shared" si="36"/>
        <v>0</v>
      </c>
      <c r="L524" s="707">
        <f t="shared" si="36"/>
        <v>0</v>
      </c>
      <c r="M524" s="707">
        <f t="shared" si="36"/>
        <v>0</v>
      </c>
      <c r="N524" s="708">
        <f t="shared" si="36"/>
        <v>0</v>
      </c>
      <c r="O524" s="3134">
        <f>SUM(E524:N524)</f>
        <v>0</v>
      </c>
      <c r="P524" s="3135"/>
      <c r="Q524" s="2094"/>
      <c r="S524" s="2899"/>
    </row>
    <row r="525" spans="2:19" ht="32.25" customHeight="1" thickBot="1" x14ac:dyDescent="0.3">
      <c r="B525" s="2098"/>
      <c r="C525" s="3061" t="s">
        <v>130</v>
      </c>
      <c r="D525" s="3062"/>
      <c r="E525" s="3121"/>
      <c r="F525" s="3122"/>
      <c r="G525" s="3122"/>
      <c r="H525" s="3122"/>
      <c r="I525" s="3122"/>
      <c r="J525" s="3122"/>
      <c r="K525" s="3122"/>
      <c r="L525" s="3122"/>
      <c r="M525" s="3122"/>
      <c r="N525" s="3122"/>
      <c r="O525" s="3122"/>
      <c r="P525" s="3123"/>
      <c r="Q525" s="2094"/>
      <c r="S525" s="2899"/>
    </row>
    <row r="526" spans="2:19" ht="18" customHeight="1" thickBot="1" x14ac:dyDescent="0.3">
      <c r="B526" s="2098"/>
      <c r="C526" s="1096" t="s">
        <v>123</v>
      </c>
      <c r="D526" s="1186"/>
      <c r="E526" s="1186"/>
      <c r="F526" s="1186"/>
      <c r="G526" s="1186"/>
      <c r="H526" s="1186"/>
      <c r="I526" s="1186"/>
      <c r="J526" s="1186"/>
      <c r="K526" s="1186"/>
      <c r="L526" s="1186"/>
      <c r="M526" s="1186"/>
      <c r="N526" s="1186"/>
      <c r="O526" s="1186"/>
      <c r="P526" s="1187"/>
      <c r="Q526" s="1952"/>
      <c r="S526" s="2899"/>
    </row>
    <row r="527" spans="2:19" ht="18" customHeight="1" x14ac:dyDescent="0.25">
      <c r="B527" s="2098"/>
      <c r="C527" s="3119" t="s">
        <v>1497</v>
      </c>
      <c r="D527" s="3120"/>
      <c r="E527" s="709">
        <f t="shared" ref="E527:N527" si="37">E427</f>
        <v>0</v>
      </c>
      <c r="F527" s="710">
        <f t="shared" si="37"/>
        <v>0</v>
      </c>
      <c r="G527" s="710">
        <f t="shared" si="37"/>
        <v>0</v>
      </c>
      <c r="H527" s="710">
        <f t="shared" si="37"/>
        <v>0</v>
      </c>
      <c r="I527" s="710">
        <f t="shared" si="37"/>
        <v>0</v>
      </c>
      <c r="J527" s="710">
        <f t="shared" si="37"/>
        <v>0</v>
      </c>
      <c r="K527" s="710">
        <f t="shared" si="37"/>
        <v>0</v>
      </c>
      <c r="L527" s="710">
        <f t="shared" si="37"/>
        <v>0</v>
      </c>
      <c r="M527" s="710">
        <f t="shared" si="37"/>
        <v>0</v>
      </c>
      <c r="N527" s="711">
        <f t="shared" si="37"/>
        <v>0</v>
      </c>
      <c r="O527" s="3190">
        <f t="shared" ref="O527:O532" si="38">SUM(E527:N527)</f>
        <v>0</v>
      </c>
      <c r="P527" s="3191"/>
      <c r="Q527" s="1952"/>
      <c r="S527" s="2899"/>
    </row>
    <row r="528" spans="2:19" ht="18" customHeight="1" x14ac:dyDescent="0.25">
      <c r="B528" s="2099"/>
      <c r="C528" s="1188" t="s">
        <v>144</v>
      </c>
      <c r="D528" s="539"/>
      <c r="E528" s="712">
        <f t="shared" ref="E528:N528" si="39">IF((E520-E521-E522)&lt;0,-(E520-E521-E522),0)</f>
        <v>0</v>
      </c>
      <c r="F528" s="713">
        <f t="shared" si="39"/>
        <v>0</v>
      </c>
      <c r="G528" s="713">
        <f t="shared" si="39"/>
        <v>0</v>
      </c>
      <c r="H528" s="713">
        <f t="shared" si="39"/>
        <v>0</v>
      </c>
      <c r="I528" s="713">
        <f t="shared" si="39"/>
        <v>0</v>
      </c>
      <c r="J528" s="713">
        <f t="shared" si="39"/>
        <v>0</v>
      </c>
      <c r="K528" s="713">
        <f t="shared" si="39"/>
        <v>0</v>
      </c>
      <c r="L528" s="713">
        <f t="shared" si="39"/>
        <v>0</v>
      </c>
      <c r="M528" s="713">
        <f t="shared" si="39"/>
        <v>0</v>
      </c>
      <c r="N528" s="714">
        <f t="shared" si="39"/>
        <v>0</v>
      </c>
      <c r="O528" s="3128">
        <f t="shared" si="38"/>
        <v>0</v>
      </c>
      <c r="P528" s="3129"/>
      <c r="Q528" s="1952"/>
      <c r="S528" s="2899"/>
    </row>
    <row r="529" spans="2:19" ht="18" customHeight="1" x14ac:dyDescent="0.25">
      <c r="B529" s="2058" t="str">
        <f>IF(COUNTBLANK(E529:N529)&lt;10,"","u")</f>
        <v>u</v>
      </c>
      <c r="C529" s="3124" t="s">
        <v>145</v>
      </c>
      <c r="D529" s="3125"/>
      <c r="E529" s="585"/>
      <c r="F529" s="586"/>
      <c r="G529" s="586"/>
      <c r="H529" s="586"/>
      <c r="I529" s="586"/>
      <c r="J529" s="586"/>
      <c r="K529" s="586"/>
      <c r="L529" s="586"/>
      <c r="M529" s="586"/>
      <c r="N529" s="587"/>
      <c r="O529" s="3098">
        <f t="shared" si="38"/>
        <v>0</v>
      </c>
      <c r="P529" s="3099"/>
      <c r="Q529" s="1952"/>
      <c r="S529" s="2899"/>
    </row>
    <row r="530" spans="2:19" ht="18" customHeight="1" x14ac:dyDescent="0.25">
      <c r="B530" s="2058" t="str">
        <f>IF(COUNTBLANK(E530:N530)&lt;10,"","u")</f>
        <v>u</v>
      </c>
      <c r="C530" s="3132" t="s">
        <v>292</v>
      </c>
      <c r="D530" s="3133"/>
      <c r="E530" s="579"/>
      <c r="F530" s="580"/>
      <c r="G530" s="580"/>
      <c r="H530" s="580"/>
      <c r="I530" s="580"/>
      <c r="J530" s="580"/>
      <c r="K530" s="580"/>
      <c r="L530" s="580"/>
      <c r="M530" s="580"/>
      <c r="N530" s="581"/>
      <c r="O530" s="3188">
        <f t="shared" si="38"/>
        <v>0</v>
      </c>
      <c r="P530" s="3189"/>
      <c r="Q530" s="1952"/>
      <c r="S530" s="2899"/>
    </row>
    <row r="531" spans="2:19" ht="18" customHeight="1" x14ac:dyDescent="0.25">
      <c r="B531" s="2058"/>
      <c r="C531" s="1188" t="s">
        <v>1546</v>
      </c>
      <c r="D531" s="539"/>
      <c r="E531" s="715">
        <f>E529+E530</f>
        <v>0</v>
      </c>
      <c r="F531" s="716">
        <f t="shared" ref="F531:N531" si="40">F529+F530</f>
        <v>0</v>
      </c>
      <c r="G531" s="716">
        <f t="shared" si="40"/>
        <v>0</v>
      </c>
      <c r="H531" s="716">
        <f t="shared" si="40"/>
        <v>0</v>
      </c>
      <c r="I531" s="716">
        <f t="shared" si="40"/>
        <v>0</v>
      </c>
      <c r="J531" s="716">
        <f t="shared" si="40"/>
        <v>0</v>
      </c>
      <c r="K531" s="716">
        <f t="shared" si="40"/>
        <v>0</v>
      </c>
      <c r="L531" s="716">
        <f t="shared" si="40"/>
        <v>0</v>
      </c>
      <c r="M531" s="716">
        <f t="shared" si="40"/>
        <v>0</v>
      </c>
      <c r="N531" s="717">
        <f t="shared" si="40"/>
        <v>0</v>
      </c>
      <c r="O531" s="3111">
        <f t="shared" si="38"/>
        <v>0</v>
      </c>
      <c r="P531" s="3112"/>
      <c r="Q531" s="1952"/>
      <c r="S531" s="2899"/>
    </row>
    <row r="532" spans="2:19" ht="18" customHeight="1" thickBot="1" x14ac:dyDescent="0.3">
      <c r="B532" s="1994"/>
      <c r="C532" s="3130" t="s">
        <v>132</v>
      </c>
      <c r="D532" s="3131"/>
      <c r="E532" s="718">
        <f t="shared" ref="E532:N532" si="41">E527-E528-E529-E530</f>
        <v>0</v>
      </c>
      <c r="F532" s="719">
        <f t="shared" si="41"/>
        <v>0</v>
      </c>
      <c r="G532" s="719">
        <f t="shared" si="41"/>
        <v>0</v>
      </c>
      <c r="H532" s="719">
        <f t="shared" si="41"/>
        <v>0</v>
      </c>
      <c r="I532" s="719">
        <f t="shared" si="41"/>
        <v>0</v>
      </c>
      <c r="J532" s="719">
        <f t="shared" si="41"/>
        <v>0</v>
      </c>
      <c r="K532" s="719">
        <f t="shared" si="41"/>
        <v>0</v>
      </c>
      <c r="L532" s="719">
        <f t="shared" si="41"/>
        <v>0</v>
      </c>
      <c r="M532" s="719">
        <f t="shared" si="41"/>
        <v>0</v>
      </c>
      <c r="N532" s="720">
        <f t="shared" si="41"/>
        <v>0</v>
      </c>
      <c r="O532" s="3134">
        <f t="shared" si="38"/>
        <v>0</v>
      </c>
      <c r="P532" s="3135"/>
      <c r="Q532" s="2094"/>
      <c r="S532" s="2899"/>
    </row>
    <row r="533" spans="2:19" ht="32.25" customHeight="1" thickBot="1" x14ac:dyDescent="0.3">
      <c r="B533" s="1994"/>
      <c r="C533" s="3061" t="s">
        <v>130</v>
      </c>
      <c r="D533" s="3062"/>
      <c r="E533" s="3121"/>
      <c r="F533" s="3122"/>
      <c r="G533" s="3122"/>
      <c r="H533" s="3122"/>
      <c r="I533" s="3122"/>
      <c r="J533" s="3122"/>
      <c r="K533" s="3122"/>
      <c r="L533" s="3122"/>
      <c r="M533" s="3122"/>
      <c r="N533" s="3122"/>
      <c r="O533" s="3122"/>
      <c r="P533" s="3123"/>
      <c r="Q533" s="2094"/>
      <c r="S533" s="2899"/>
    </row>
    <row r="534" spans="2:19" ht="18" customHeight="1" thickBot="1" x14ac:dyDescent="0.3">
      <c r="B534" s="1994"/>
      <c r="C534" s="1096" t="s">
        <v>133</v>
      </c>
      <c r="D534" s="1186"/>
      <c r="E534" s="1186"/>
      <c r="F534" s="1186"/>
      <c r="G534" s="1186"/>
      <c r="H534" s="1186"/>
      <c r="I534" s="1186"/>
      <c r="J534" s="1186"/>
      <c r="K534" s="1186"/>
      <c r="L534" s="1186"/>
      <c r="M534" s="1186"/>
      <c r="N534" s="1186"/>
      <c r="O534" s="1186"/>
      <c r="P534" s="1187"/>
      <c r="Q534" s="1952"/>
      <c r="S534" s="2899"/>
    </row>
    <row r="535" spans="2:19" ht="18" customHeight="1" x14ac:dyDescent="0.25">
      <c r="B535" s="1994"/>
      <c r="C535" s="3126" t="s">
        <v>1497</v>
      </c>
      <c r="D535" s="3127"/>
      <c r="E535" s="700">
        <f t="shared" ref="E535:N535" si="42">E435</f>
        <v>0</v>
      </c>
      <c r="F535" s="701">
        <f t="shared" si="42"/>
        <v>0</v>
      </c>
      <c r="G535" s="701">
        <f t="shared" si="42"/>
        <v>0</v>
      </c>
      <c r="H535" s="701">
        <f t="shared" si="42"/>
        <v>0</v>
      </c>
      <c r="I535" s="701">
        <f t="shared" si="42"/>
        <v>0</v>
      </c>
      <c r="J535" s="701">
        <f t="shared" si="42"/>
        <v>0</v>
      </c>
      <c r="K535" s="701">
        <f t="shared" si="42"/>
        <v>0</v>
      </c>
      <c r="L535" s="701">
        <f t="shared" si="42"/>
        <v>0</v>
      </c>
      <c r="M535" s="701">
        <f t="shared" si="42"/>
        <v>0</v>
      </c>
      <c r="N535" s="702">
        <f t="shared" si="42"/>
        <v>0</v>
      </c>
      <c r="O535" s="3117">
        <f>SUM(E535:N535)</f>
        <v>0</v>
      </c>
      <c r="P535" s="3118"/>
      <c r="Q535" s="1952"/>
      <c r="S535" s="2899"/>
    </row>
    <row r="536" spans="2:19" ht="18" customHeight="1" x14ac:dyDescent="0.25">
      <c r="B536" s="2058" t="str">
        <f>IF(COUNTBLANK(E536:N536)&lt;10,"","u")</f>
        <v>u</v>
      </c>
      <c r="C536" s="3124" t="s">
        <v>145</v>
      </c>
      <c r="D536" s="3125"/>
      <c r="E536" s="585"/>
      <c r="F536" s="586"/>
      <c r="G536" s="586"/>
      <c r="H536" s="586"/>
      <c r="I536" s="586"/>
      <c r="J536" s="586"/>
      <c r="K536" s="586"/>
      <c r="L536" s="586"/>
      <c r="M536" s="586"/>
      <c r="N536" s="587"/>
      <c r="O536" s="3098">
        <f>SUM(E536:N536)</f>
        <v>0</v>
      </c>
      <c r="P536" s="3099"/>
      <c r="Q536" s="1952"/>
      <c r="S536" s="2899"/>
    </row>
    <row r="537" spans="2:19" ht="18" customHeight="1" x14ac:dyDescent="0.25">
      <c r="B537" s="2058" t="str">
        <f>IF(COUNTBLANK(E537:N537)&lt;10,"","u")</f>
        <v>u</v>
      </c>
      <c r="C537" s="3132" t="s">
        <v>292</v>
      </c>
      <c r="D537" s="3133"/>
      <c r="E537" s="579"/>
      <c r="F537" s="580"/>
      <c r="G537" s="580"/>
      <c r="H537" s="580"/>
      <c r="I537" s="580"/>
      <c r="J537" s="580"/>
      <c r="K537" s="580"/>
      <c r="L537" s="580"/>
      <c r="M537" s="580"/>
      <c r="N537" s="581"/>
      <c r="O537" s="3071">
        <f>SUM(E537:N537)</f>
        <v>0</v>
      </c>
      <c r="P537" s="3072"/>
      <c r="Q537" s="1952"/>
      <c r="S537" s="2899"/>
    </row>
    <row r="538" spans="2:19" ht="18" customHeight="1" x14ac:dyDescent="0.25">
      <c r="B538" s="2058"/>
      <c r="C538" s="1188" t="s">
        <v>1546</v>
      </c>
      <c r="D538" s="539"/>
      <c r="E538" s="715">
        <f>E536+E537</f>
        <v>0</v>
      </c>
      <c r="F538" s="716">
        <f t="shared" ref="F538:N538" si="43">F536+F537</f>
        <v>0</v>
      </c>
      <c r="G538" s="716">
        <f t="shared" si="43"/>
        <v>0</v>
      </c>
      <c r="H538" s="716">
        <f t="shared" si="43"/>
        <v>0</v>
      </c>
      <c r="I538" s="716">
        <f t="shared" si="43"/>
        <v>0</v>
      </c>
      <c r="J538" s="716">
        <f t="shared" si="43"/>
        <v>0</v>
      </c>
      <c r="K538" s="716">
        <f t="shared" si="43"/>
        <v>0</v>
      </c>
      <c r="L538" s="716">
        <f t="shared" si="43"/>
        <v>0</v>
      </c>
      <c r="M538" s="716">
        <f t="shared" si="43"/>
        <v>0</v>
      </c>
      <c r="N538" s="717">
        <f t="shared" si="43"/>
        <v>0</v>
      </c>
      <c r="O538" s="3111">
        <f>SUM(E538:N538)</f>
        <v>0</v>
      </c>
      <c r="P538" s="3112"/>
      <c r="Q538" s="1952"/>
      <c r="S538" s="2899"/>
    </row>
    <row r="539" spans="2:19" ht="18" customHeight="1" thickBot="1" x14ac:dyDescent="0.3">
      <c r="B539" s="1994"/>
      <c r="C539" s="3130" t="s">
        <v>132</v>
      </c>
      <c r="D539" s="3131"/>
      <c r="E539" s="700">
        <f t="shared" ref="E539:N539" si="44">E535-E536-E537</f>
        <v>0</v>
      </c>
      <c r="F539" s="701">
        <f t="shared" si="44"/>
        <v>0</v>
      </c>
      <c r="G539" s="701">
        <f t="shared" si="44"/>
        <v>0</v>
      </c>
      <c r="H539" s="701">
        <f t="shared" si="44"/>
        <v>0</v>
      </c>
      <c r="I539" s="701">
        <f t="shared" si="44"/>
        <v>0</v>
      </c>
      <c r="J539" s="701">
        <f t="shared" si="44"/>
        <v>0</v>
      </c>
      <c r="K539" s="701">
        <f t="shared" si="44"/>
        <v>0</v>
      </c>
      <c r="L539" s="701">
        <f t="shared" si="44"/>
        <v>0</v>
      </c>
      <c r="M539" s="701">
        <f t="shared" si="44"/>
        <v>0</v>
      </c>
      <c r="N539" s="701">
        <f t="shared" si="44"/>
        <v>0</v>
      </c>
      <c r="O539" s="3134">
        <f>SUM(E539:N539)</f>
        <v>0</v>
      </c>
      <c r="P539" s="3135"/>
      <c r="Q539" s="2094"/>
      <c r="S539" s="2899"/>
    </row>
    <row r="540" spans="2:19" ht="32.25" customHeight="1" thickBot="1" x14ac:dyDescent="0.3">
      <c r="B540" s="1994"/>
      <c r="C540" s="3061" t="s">
        <v>130</v>
      </c>
      <c r="D540" s="3062"/>
      <c r="E540" s="3121"/>
      <c r="F540" s="3122"/>
      <c r="G540" s="3122"/>
      <c r="H540" s="3122"/>
      <c r="I540" s="3122"/>
      <c r="J540" s="3122"/>
      <c r="K540" s="3122"/>
      <c r="L540" s="3122"/>
      <c r="M540" s="3122"/>
      <c r="N540" s="3122"/>
      <c r="O540" s="3122"/>
      <c r="P540" s="3123"/>
      <c r="Q540" s="2094"/>
      <c r="S540" s="2899"/>
    </row>
    <row r="541" spans="2:19" ht="18.75" customHeight="1" thickBot="1" x14ac:dyDescent="0.3">
      <c r="B541" s="1960"/>
      <c r="C541" s="2000"/>
      <c r="D541" s="2000"/>
      <c r="E541" s="1951"/>
      <c r="F541" s="1951"/>
      <c r="G541" s="1951"/>
      <c r="H541" s="1951"/>
      <c r="I541" s="1951"/>
      <c r="J541" s="1951"/>
      <c r="K541" s="1951"/>
      <c r="L541" s="1951"/>
      <c r="M541" s="1951"/>
      <c r="N541" s="1951"/>
      <c r="O541" s="1951"/>
      <c r="P541" s="1951"/>
      <c r="Q541" s="1952"/>
      <c r="S541" s="2899"/>
    </row>
    <row r="542" spans="2:19" ht="30" customHeight="1" x14ac:dyDescent="0.25">
      <c r="B542" s="1960"/>
      <c r="C542" s="3192" t="s">
        <v>2058</v>
      </c>
      <c r="D542" s="3193"/>
      <c r="E542" s="3193"/>
      <c r="F542" s="3194"/>
      <c r="G542" s="2095"/>
      <c r="H542" s="2095"/>
      <c r="I542" s="2095"/>
      <c r="J542" s="2095"/>
      <c r="K542" s="2095"/>
      <c r="L542" s="2095"/>
      <c r="M542" s="2095"/>
      <c r="N542" s="2095"/>
      <c r="O542" s="2096"/>
      <c r="P542" s="2095"/>
      <c r="Q542" s="1952"/>
      <c r="S542" s="2899"/>
    </row>
    <row r="543" spans="2:19" ht="3" customHeight="1" thickBot="1" x14ac:dyDescent="0.3">
      <c r="B543" s="1960"/>
      <c r="C543" s="1094"/>
      <c r="D543" s="1093"/>
      <c r="E543" s="1093"/>
      <c r="F543" s="1095"/>
      <c r="G543" s="1987"/>
      <c r="H543" s="1987"/>
      <c r="I543" s="1987"/>
      <c r="J543" s="1987"/>
      <c r="K543" s="1987"/>
      <c r="L543" s="1987"/>
      <c r="M543" s="1987"/>
      <c r="N543" s="1987"/>
      <c r="O543" s="1987"/>
      <c r="P543" s="1987"/>
      <c r="Q543" s="1952"/>
      <c r="S543" s="2899"/>
    </row>
    <row r="544" spans="2:19" ht="19.5" customHeight="1" x14ac:dyDescent="0.25">
      <c r="B544" s="1960"/>
      <c r="C544" s="3032" t="s">
        <v>291</v>
      </c>
      <c r="D544" s="3033"/>
      <c r="E544" s="3169" t="s">
        <v>1608</v>
      </c>
      <c r="F544" s="3170"/>
      <c r="G544" s="3170"/>
      <c r="H544" s="3170"/>
      <c r="I544" s="3170"/>
      <c r="J544" s="3170"/>
      <c r="K544" s="3170"/>
      <c r="L544" s="3170"/>
      <c r="M544" s="3170"/>
      <c r="N544" s="3170"/>
      <c r="O544" s="3180" t="s">
        <v>79</v>
      </c>
      <c r="P544" s="3181"/>
      <c r="Q544" s="1952"/>
      <c r="S544" s="2899"/>
    </row>
    <row r="545" spans="2:19" ht="19.5" customHeight="1" thickBot="1" x14ac:dyDescent="0.3">
      <c r="B545" s="1960"/>
      <c r="C545" s="3186"/>
      <c r="D545" s="3187"/>
      <c r="E545" s="1191">
        <f>IF(E51="",0,E51)</f>
        <v>0</v>
      </c>
      <c r="F545" s="1192">
        <f t="shared" ref="F545:N545" si="45">E545+1</f>
        <v>1</v>
      </c>
      <c r="G545" s="1192">
        <f t="shared" si="45"/>
        <v>2</v>
      </c>
      <c r="H545" s="1192">
        <f t="shared" si="45"/>
        <v>3</v>
      </c>
      <c r="I545" s="1192">
        <f t="shared" si="45"/>
        <v>4</v>
      </c>
      <c r="J545" s="1192">
        <f t="shared" si="45"/>
        <v>5</v>
      </c>
      <c r="K545" s="1192">
        <f t="shared" si="45"/>
        <v>6</v>
      </c>
      <c r="L545" s="1192">
        <f t="shared" si="45"/>
        <v>7</v>
      </c>
      <c r="M545" s="1192">
        <f t="shared" si="45"/>
        <v>8</v>
      </c>
      <c r="N545" s="1193">
        <f t="shared" si="45"/>
        <v>9</v>
      </c>
      <c r="O545" s="3184"/>
      <c r="P545" s="3185"/>
      <c r="Q545" s="1952"/>
      <c r="S545" s="2899"/>
    </row>
    <row r="546" spans="2:19" ht="18.75" customHeight="1" thickBot="1" x14ac:dyDescent="0.3">
      <c r="B546" s="1994"/>
      <c r="C546" s="1178" t="s">
        <v>55</v>
      </c>
      <c r="D546" s="1189"/>
      <c r="E546" s="1189"/>
      <c r="F546" s="1189"/>
      <c r="G546" s="1189"/>
      <c r="H546" s="1189"/>
      <c r="I546" s="1189"/>
      <c r="J546" s="1189"/>
      <c r="K546" s="1189"/>
      <c r="L546" s="1189"/>
      <c r="M546" s="1189"/>
      <c r="N546" s="1189"/>
      <c r="O546" s="1189"/>
      <c r="P546" s="1190"/>
      <c r="Q546" s="1952"/>
      <c r="S546" s="2899"/>
    </row>
    <row r="547" spans="2:19" ht="18.75" customHeight="1" x14ac:dyDescent="0.25">
      <c r="B547" s="1994"/>
      <c r="C547" s="3126" t="s">
        <v>1497</v>
      </c>
      <c r="D547" s="3127"/>
      <c r="E547" s="700">
        <f t="shared" ref="E547:N547" si="46">E456</f>
        <v>0</v>
      </c>
      <c r="F547" s="701">
        <f t="shared" si="46"/>
        <v>0</v>
      </c>
      <c r="G547" s="701">
        <f t="shared" si="46"/>
        <v>0</v>
      </c>
      <c r="H547" s="701">
        <f t="shared" si="46"/>
        <v>0</v>
      </c>
      <c r="I547" s="701">
        <f t="shared" si="46"/>
        <v>0</v>
      </c>
      <c r="J547" s="701">
        <f t="shared" si="46"/>
        <v>0</v>
      </c>
      <c r="K547" s="701">
        <f t="shared" si="46"/>
        <v>0</v>
      </c>
      <c r="L547" s="701">
        <f t="shared" si="46"/>
        <v>0</v>
      </c>
      <c r="M547" s="701">
        <f t="shared" si="46"/>
        <v>0</v>
      </c>
      <c r="N547" s="702">
        <f t="shared" si="46"/>
        <v>0</v>
      </c>
      <c r="O547" s="3117">
        <f>SUM(E547:N547)</f>
        <v>0</v>
      </c>
      <c r="P547" s="3118"/>
      <c r="Q547" s="1952"/>
      <c r="S547" s="2899"/>
    </row>
    <row r="548" spans="2:19" ht="18.75" customHeight="1" x14ac:dyDescent="0.25">
      <c r="B548" s="2058" t="str">
        <f>IF(COUNTBLANK(E548:N548)&lt;10,"","u")</f>
        <v>u</v>
      </c>
      <c r="C548" s="3154" t="s">
        <v>276</v>
      </c>
      <c r="D548" s="3155"/>
      <c r="E548" s="582"/>
      <c r="F548" s="583"/>
      <c r="G548" s="583"/>
      <c r="H548" s="583"/>
      <c r="I548" s="583"/>
      <c r="J548" s="583"/>
      <c r="K548" s="583"/>
      <c r="L548" s="583"/>
      <c r="M548" s="583"/>
      <c r="N548" s="588"/>
      <c r="O548" s="3174">
        <f>SUM(E548:N548)</f>
        <v>0</v>
      </c>
      <c r="P548" s="3175"/>
      <c r="Q548" s="1952"/>
      <c r="S548" s="2899"/>
    </row>
    <row r="549" spans="2:19" ht="18" customHeight="1" x14ac:dyDescent="0.25">
      <c r="B549" s="2058" t="str">
        <f>IF(COUNTBLANK(E549:N549)&lt;10,"","u")</f>
        <v>u</v>
      </c>
      <c r="C549" s="3156" t="s">
        <v>1545</v>
      </c>
      <c r="D549" s="3157"/>
      <c r="E549" s="620"/>
      <c r="F549" s="621"/>
      <c r="G549" s="621"/>
      <c r="H549" s="621"/>
      <c r="I549" s="621"/>
      <c r="J549" s="621"/>
      <c r="K549" s="621"/>
      <c r="L549" s="621"/>
      <c r="M549" s="621"/>
      <c r="N549" s="622"/>
      <c r="O549" s="3098">
        <f>SUM(E549:N549)</f>
        <v>0</v>
      </c>
      <c r="P549" s="3099"/>
      <c r="Q549" s="1952"/>
      <c r="S549" s="2899"/>
    </row>
    <row r="550" spans="2:19" ht="18" customHeight="1" x14ac:dyDescent="0.25">
      <c r="B550" s="2058"/>
      <c r="C550" s="1188" t="s">
        <v>1546</v>
      </c>
      <c r="D550" s="539"/>
      <c r="E550" s="715">
        <f>E548+E549</f>
        <v>0</v>
      </c>
      <c r="F550" s="716">
        <f t="shared" ref="F550:N550" si="47">F548+F549</f>
        <v>0</v>
      </c>
      <c r="G550" s="716">
        <f t="shared" si="47"/>
        <v>0</v>
      </c>
      <c r="H550" s="716">
        <f t="shared" si="47"/>
        <v>0</v>
      </c>
      <c r="I550" s="716">
        <f t="shared" si="47"/>
        <v>0</v>
      </c>
      <c r="J550" s="716">
        <f t="shared" si="47"/>
        <v>0</v>
      </c>
      <c r="K550" s="716">
        <f t="shared" si="47"/>
        <v>0</v>
      </c>
      <c r="L550" s="716">
        <f t="shared" si="47"/>
        <v>0</v>
      </c>
      <c r="M550" s="716">
        <f t="shared" si="47"/>
        <v>0</v>
      </c>
      <c r="N550" s="717">
        <f t="shared" si="47"/>
        <v>0</v>
      </c>
      <c r="O550" s="3111">
        <f>SUM(E550:N550)</f>
        <v>0</v>
      </c>
      <c r="P550" s="3112"/>
      <c r="Q550" s="1952"/>
      <c r="S550" s="2899"/>
    </row>
    <row r="551" spans="2:19" ht="18" customHeight="1" thickBot="1" x14ac:dyDescent="0.3">
      <c r="B551" s="1994"/>
      <c r="C551" s="3059" t="s">
        <v>132</v>
      </c>
      <c r="D551" s="3060"/>
      <c r="E551" s="1194">
        <f t="shared" ref="E551:N551" si="48">IF((E547-E548-E549)&lt;0,0,(E547-E548-E549))</f>
        <v>0</v>
      </c>
      <c r="F551" s="1195">
        <f t="shared" si="48"/>
        <v>0</v>
      </c>
      <c r="G551" s="1195">
        <f t="shared" si="48"/>
        <v>0</v>
      </c>
      <c r="H551" s="1195">
        <f t="shared" si="48"/>
        <v>0</v>
      </c>
      <c r="I551" s="1195">
        <f t="shared" si="48"/>
        <v>0</v>
      </c>
      <c r="J551" s="1195">
        <f t="shared" si="48"/>
        <v>0</v>
      </c>
      <c r="K551" s="1195">
        <f t="shared" si="48"/>
        <v>0</v>
      </c>
      <c r="L551" s="1195">
        <f t="shared" si="48"/>
        <v>0</v>
      </c>
      <c r="M551" s="1195">
        <f t="shared" si="48"/>
        <v>0</v>
      </c>
      <c r="N551" s="1195">
        <f t="shared" si="48"/>
        <v>0</v>
      </c>
      <c r="O551" s="3088">
        <f>SUM(E551:N551)</f>
        <v>0</v>
      </c>
      <c r="P551" s="3089"/>
      <c r="Q551" s="2094"/>
      <c r="S551" s="2899"/>
    </row>
    <row r="552" spans="2:19" ht="32.25" customHeight="1" thickBot="1" x14ac:dyDescent="0.3">
      <c r="B552" s="1994"/>
      <c r="C552" s="3061" t="s">
        <v>130</v>
      </c>
      <c r="D552" s="3062"/>
      <c r="E552" s="3121"/>
      <c r="F552" s="3122"/>
      <c r="G552" s="3122"/>
      <c r="H552" s="3122"/>
      <c r="I552" s="3122"/>
      <c r="J552" s="3122"/>
      <c r="K552" s="3122"/>
      <c r="L552" s="3122"/>
      <c r="M552" s="3122"/>
      <c r="N552" s="3122"/>
      <c r="O552" s="3122"/>
      <c r="P552" s="3123"/>
      <c r="Q552" s="2094"/>
      <c r="S552" s="2899"/>
    </row>
    <row r="553" spans="2:19" ht="18" customHeight="1" thickBot="1" x14ac:dyDescent="0.3">
      <c r="B553" s="1994"/>
      <c r="C553" s="1178" t="s">
        <v>123</v>
      </c>
      <c r="D553" s="1189"/>
      <c r="E553" s="1189"/>
      <c r="F553" s="1189"/>
      <c r="G553" s="1189"/>
      <c r="H553" s="1189"/>
      <c r="I553" s="1189"/>
      <c r="J553" s="1189"/>
      <c r="K553" s="1189"/>
      <c r="L553" s="1189"/>
      <c r="M553" s="1189"/>
      <c r="N553" s="1189"/>
      <c r="O553" s="1189"/>
      <c r="P553" s="1190"/>
      <c r="Q553" s="1952"/>
      <c r="S553" s="2899"/>
    </row>
    <row r="554" spans="2:19" ht="18" customHeight="1" x14ac:dyDescent="0.25">
      <c r="B554" s="1994"/>
      <c r="C554" s="3119" t="s">
        <v>1497</v>
      </c>
      <c r="D554" s="3120"/>
      <c r="E554" s="721">
        <f t="shared" ref="E554:N554" si="49">E472</f>
        <v>0</v>
      </c>
      <c r="F554" s="722">
        <f t="shared" si="49"/>
        <v>0</v>
      </c>
      <c r="G554" s="722">
        <f t="shared" si="49"/>
        <v>0</v>
      </c>
      <c r="H554" s="722">
        <f t="shared" si="49"/>
        <v>0</v>
      </c>
      <c r="I554" s="722">
        <f t="shared" si="49"/>
        <v>0</v>
      </c>
      <c r="J554" s="722">
        <f t="shared" si="49"/>
        <v>0</v>
      </c>
      <c r="K554" s="722">
        <f t="shared" si="49"/>
        <v>0</v>
      </c>
      <c r="L554" s="722">
        <f t="shared" si="49"/>
        <v>0</v>
      </c>
      <c r="M554" s="722">
        <f t="shared" si="49"/>
        <v>0</v>
      </c>
      <c r="N554" s="723">
        <f t="shared" si="49"/>
        <v>0</v>
      </c>
      <c r="O554" s="3115">
        <f t="shared" ref="O554:O559" si="50">SUM(E554:N554)</f>
        <v>0</v>
      </c>
      <c r="P554" s="3116"/>
      <c r="Q554" s="1952"/>
      <c r="S554" s="2899"/>
    </row>
    <row r="555" spans="2:19" ht="18" customHeight="1" x14ac:dyDescent="0.25">
      <c r="B555" s="2099"/>
      <c r="C555" s="1188" t="s">
        <v>144</v>
      </c>
      <c r="D555" s="539"/>
      <c r="E555" s="724">
        <f t="shared" ref="E555:N555" si="51">IF((E547-E548-E549)&lt;0,-(E547-E548-E549),0)</f>
        <v>0</v>
      </c>
      <c r="F555" s="725">
        <f t="shared" si="51"/>
        <v>0</v>
      </c>
      <c r="G555" s="725">
        <f t="shared" si="51"/>
        <v>0</v>
      </c>
      <c r="H555" s="725">
        <f t="shared" si="51"/>
        <v>0</v>
      </c>
      <c r="I555" s="725">
        <f t="shared" si="51"/>
        <v>0</v>
      </c>
      <c r="J555" s="725">
        <f t="shared" si="51"/>
        <v>0</v>
      </c>
      <c r="K555" s="725">
        <f t="shared" si="51"/>
        <v>0</v>
      </c>
      <c r="L555" s="725">
        <f t="shared" si="51"/>
        <v>0</v>
      </c>
      <c r="M555" s="725">
        <f t="shared" si="51"/>
        <v>0</v>
      </c>
      <c r="N555" s="726">
        <f t="shared" si="51"/>
        <v>0</v>
      </c>
      <c r="O555" s="3113">
        <f t="shared" si="50"/>
        <v>0</v>
      </c>
      <c r="P555" s="3114"/>
      <c r="Q555" s="1952"/>
      <c r="S555" s="2899"/>
    </row>
    <row r="556" spans="2:19" ht="18" customHeight="1" x14ac:dyDescent="0.25">
      <c r="B556" s="2058" t="str">
        <f>IF(COUNTBLANK(E556:N556)&lt;10,"","u")</f>
        <v>u</v>
      </c>
      <c r="C556" s="3124" t="s">
        <v>145</v>
      </c>
      <c r="D556" s="3125"/>
      <c r="E556" s="585"/>
      <c r="F556" s="586"/>
      <c r="G556" s="586"/>
      <c r="H556" s="586"/>
      <c r="I556" s="586"/>
      <c r="J556" s="586"/>
      <c r="K556" s="586"/>
      <c r="L556" s="586"/>
      <c r="M556" s="586"/>
      <c r="N556" s="587"/>
      <c r="O556" s="3098">
        <f t="shared" si="50"/>
        <v>0</v>
      </c>
      <c r="P556" s="3099"/>
      <c r="Q556" s="1952"/>
      <c r="S556" s="2899"/>
    </row>
    <row r="557" spans="2:19" ht="18" customHeight="1" x14ac:dyDescent="0.25">
      <c r="B557" s="2058" t="str">
        <f>IF(COUNTBLANK(E557:N557)&lt;10,"","u")</f>
        <v>u</v>
      </c>
      <c r="C557" s="3132" t="s">
        <v>292</v>
      </c>
      <c r="D557" s="3133"/>
      <c r="E557" s="585"/>
      <c r="F557" s="586"/>
      <c r="G557" s="586"/>
      <c r="H557" s="586"/>
      <c r="I557" s="586"/>
      <c r="J557" s="586"/>
      <c r="K557" s="586"/>
      <c r="L557" s="586"/>
      <c r="M557" s="586"/>
      <c r="N557" s="587"/>
      <c r="O557" s="3098">
        <f t="shared" si="50"/>
        <v>0</v>
      </c>
      <c r="P557" s="3099"/>
      <c r="Q557" s="1952"/>
      <c r="S557" s="2899"/>
    </row>
    <row r="558" spans="2:19" ht="18" customHeight="1" x14ac:dyDescent="0.25">
      <c r="B558" s="2058"/>
      <c r="C558" s="1188" t="s">
        <v>1546</v>
      </c>
      <c r="D558" s="539"/>
      <c r="E558" s="715">
        <f>E556+E557</f>
        <v>0</v>
      </c>
      <c r="F558" s="716">
        <f t="shared" ref="F558:N558" si="52">F556+F557</f>
        <v>0</v>
      </c>
      <c r="G558" s="716">
        <f t="shared" si="52"/>
        <v>0</v>
      </c>
      <c r="H558" s="716">
        <f t="shared" si="52"/>
        <v>0</v>
      </c>
      <c r="I558" s="716">
        <f t="shared" si="52"/>
        <v>0</v>
      </c>
      <c r="J558" s="716">
        <f t="shared" si="52"/>
        <v>0</v>
      </c>
      <c r="K558" s="716">
        <f t="shared" si="52"/>
        <v>0</v>
      </c>
      <c r="L558" s="716">
        <f t="shared" si="52"/>
        <v>0</v>
      </c>
      <c r="M558" s="716">
        <f t="shared" si="52"/>
        <v>0</v>
      </c>
      <c r="N558" s="717">
        <f t="shared" si="52"/>
        <v>0</v>
      </c>
      <c r="O558" s="3111">
        <f t="shared" si="50"/>
        <v>0</v>
      </c>
      <c r="P558" s="3112"/>
      <c r="Q558" s="1952"/>
      <c r="S558" s="2899"/>
    </row>
    <row r="559" spans="2:19" ht="18" customHeight="1" thickBot="1" x14ac:dyDescent="0.3">
      <c r="B559" s="1994"/>
      <c r="C559" s="3059" t="s">
        <v>132</v>
      </c>
      <c r="D559" s="3060"/>
      <c r="E559" s="1194">
        <f>E554-E555-E556-E557</f>
        <v>0</v>
      </c>
      <c r="F559" s="1195">
        <f t="shared" ref="F559:N559" si="53">F554-F555-F556-F557</f>
        <v>0</v>
      </c>
      <c r="G559" s="1195">
        <f t="shared" si="53"/>
        <v>0</v>
      </c>
      <c r="H559" s="1195">
        <f t="shared" si="53"/>
        <v>0</v>
      </c>
      <c r="I559" s="1195">
        <f t="shared" si="53"/>
        <v>0</v>
      </c>
      <c r="J559" s="1195">
        <f t="shared" si="53"/>
        <v>0</v>
      </c>
      <c r="K559" s="1195">
        <f t="shared" si="53"/>
        <v>0</v>
      </c>
      <c r="L559" s="1195">
        <f t="shared" si="53"/>
        <v>0</v>
      </c>
      <c r="M559" s="1195">
        <f t="shared" si="53"/>
        <v>0</v>
      </c>
      <c r="N559" s="1195">
        <f t="shared" si="53"/>
        <v>0</v>
      </c>
      <c r="O559" s="3088">
        <f t="shared" si="50"/>
        <v>0</v>
      </c>
      <c r="P559" s="3089"/>
      <c r="Q559" s="2094"/>
      <c r="S559" s="2899"/>
    </row>
    <row r="560" spans="2:19" ht="32.25" customHeight="1" thickBot="1" x14ac:dyDescent="0.3">
      <c r="B560" s="1994"/>
      <c r="C560" s="3061" t="s">
        <v>130</v>
      </c>
      <c r="D560" s="3062"/>
      <c r="E560" s="3121"/>
      <c r="F560" s="3122"/>
      <c r="G560" s="3122"/>
      <c r="H560" s="3122"/>
      <c r="I560" s="3122"/>
      <c r="J560" s="3122"/>
      <c r="K560" s="3122"/>
      <c r="L560" s="3122"/>
      <c r="M560" s="3122"/>
      <c r="N560" s="3122"/>
      <c r="O560" s="3122"/>
      <c r="P560" s="3123"/>
      <c r="Q560" s="2094"/>
      <c r="S560" s="2899"/>
    </row>
    <row r="561" spans="2:19" ht="18" customHeight="1" thickBot="1" x14ac:dyDescent="0.3">
      <c r="B561" s="1994"/>
      <c r="C561" s="1178" t="s">
        <v>133</v>
      </c>
      <c r="D561" s="1189"/>
      <c r="E561" s="1189"/>
      <c r="F561" s="1189"/>
      <c r="G561" s="1189"/>
      <c r="H561" s="1189"/>
      <c r="I561" s="1189"/>
      <c r="J561" s="1189"/>
      <c r="K561" s="1189"/>
      <c r="L561" s="1189"/>
      <c r="M561" s="1189"/>
      <c r="N561" s="1189"/>
      <c r="O561" s="1189"/>
      <c r="P561" s="1190"/>
      <c r="Q561" s="1952"/>
      <c r="S561" s="2899"/>
    </row>
    <row r="562" spans="2:19" ht="18" customHeight="1" x14ac:dyDescent="0.25">
      <c r="B562" s="1994"/>
      <c r="C562" s="3126" t="s">
        <v>1497</v>
      </c>
      <c r="D562" s="3127"/>
      <c r="E562" s="700">
        <f t="shared" ref="E562:N562" si="54">E480</f>
        <v>0</v>
      </c>
      <c r="F562" s="701">
        <f t="shared" si="54"/>
        <v>0</v>
      </c>
      <c r="G562" s="701">
        <f t="shared" si="54"/>
        <v>0</v>
      </c>
      <c r="H562" s="701">
        <f t="shared" si="54"/>
        <v>0</v>
      </c>
      <c r="I562" s="701">
        <f t="shared" si="54"/>
        <v>0</v>
      </c>
      <c r="J562" s="701">
        <f t="shared" si="54"/>
        <v>0</v>
      </c>
      <c r="K562" s="701">
        <f t="shared" si="54"/>
        <v>0</v>
      </c>
      <c r="L562" s="701">
        <f t="shared" si="54"/>
        <v>0</v>
      </c>
      <c r="M562" s="701">
        <f t="shared" si="54"/>
        <v>0</v>
      </c>
      <c r="N562" s="702">
        <f t="shared" si="54"/>
        <v>0</v>
      </c>
      <c r="O562" s="3117">
        <f>SUM(E562:N562)</f>
        <v>0</v>
      </c>
      <c r="P562" s="3118"/>
      <c r="Q562" s="1952"/>
      <c r="S562" s="2899"/>
    </row>
    <row r="563" spans="2:19" ht="18" customHeight="1" x14ac:dyDescent="0.25">
      <c r="B563" s="2058" t="str">
        <f>IF(COUNTBLANK(E563:N563)&lt;10,"","u")</f>
        <v>u</v>
      </c>
      <c r="C563" s="3124" t="s">
        <v>145</v>
      </c>
      <c r="D563" s="3125"/>
      <c r="E563" s="585"/>
      <c r="F563" s="586"/>
      <c r="G563" s="586"/>
      <c r="H563" s="586"/>
      <c r="I563" s="586"/>
      <c r="J563" s="586"/>
      <c r="K563" s="586"/>
      <c r="L563" s="586"/>
      <c r="M563" s="586"/>
      <c r="N563" s="587"/>
      <c r="O563" s="3098">
        <f>SUM(E563:N563)</f>
        <v>0</v>
      </c>
      <c r="P563" s="3099"/>
      <c r="Q563" s="1952"/>
      <c r="S563" s="2899"/>
    </row>
    <row r="564" spans="2:19" ht="18" customHeight="1" x14ac:dyDescent="0.25">
      <c r="B564" s="2058" t="str">
        <f>IF(COUNTBLANK(E564:N564)&lt;10,"","u")</f>
        <v>u</v>
      </c>
      <c r="C564" s="3132" t="s">
        <v>292</v>
      </c>
      <c r="D564" s="3133"/>
      <c r="E564" s="585"/>
      <c r="F564" s="586"/>
      <c r="G564" s="586"/>
      <c r="H564" s="586"/>
      <c r="I564" s="586"/>
      <c r="J564" s="586"/>
      <c r="K564" s="586"/>
      <c r="L564" s="586"/>
      <c r="M564" s="586"/>
      <c r="N564" s="587"/>
      <c r="O564" s="3071">
        <f>SUM(E564:N564)</f>
        <v>0</v>
      </c>
      <c r="P564" s="3072"/>
      <c r="Q564" s="1952"/>
      <c r="S564" s="2899"/>
    </row>
    <row r="565" spans="2:19" ht="18" customHeight="1" x14ac:dyDescent="0.25">
      <c r="B565" s="2058"/>
      <c r="C565" s="1188" t="s">
        <v>1546</v>
      </c>
      <c r="D565" s="539"/>
      <c r="E565" s="715">
        <f>E563+E564</f>
        <v>0</v>
      </c>
      <c r="F565" s="716">
        <f t="shared" ref="F565:N565" si="55">F563+F564</f>
        <v>0</v>
      </c>
      <c r="G565" s="716">
        <f t="shared" si="55"/>
        <v>0</v>
      </c>
      <c r="H565" s="716">
        <f t="shared" si="55"/>
        <v>0</v>
      </c>
      <c r="I565" s="716">
        <f t="shared" si="55"/>
        <v>0</v>
      </c>
      <c r="J565" s="716">
        <f t="shared" si="55"/>
        <v>0</v>
      </c>
      <c r="K565" s="716">
        <f t="shared" si="55"/>
        <v>0</v>
      </c>
      <c r="L565" s="716">
        <f t="shared" si="55"/>
        <v>0</v>
      </c>
      <c r="M565" s="716">
        <f t="shared" si="55"/>
        <v>0</v>
      </c>
      <c r="N565" s="717">
        <f t="shared" si="55"/>
        <v>0</v>
      </c>
      <c r="O565" s="3111">
        <f>SUM(E565:N565)</f>
        <v>0</v>
      </c>
      <c r="P565" s="3112"/>
      <c r="Q565" s="1952"/>
      <c r="S565" s="2899"/>
    </row>
    <row r="566" spans="2:19" ht="18" customHeight="1" thickBot="1" x14ac:dyDescent="0.3">
      <c r="B566" s="1994"/>
      <c r="C566" s="3059" t="s">
        <v>132</v>
      </c>
      <c r="D566" s="3060"/>
      <c r="E566" s="1194">
        <f t="shared" ref="E566:N566" si="56">E562-E563-E564</f>
        <v>0</v>
      </c>
      <c r="F566" s="1195">
        <f t="shared" si="56"/>
        <v>0</v>
      </c>
      <c r="G566" s="1195">
        <f t="shared" si="56"/>
        <v>0</v>
      </c>
      <c r="H566" s="1195">
        <f t="shared" si="56"/>
        <v>0</v>
      </c>
      <c r="I566" s="1195">
        <f t="shared" si="56"/>
        <v>0</v>
      </c>
      <c r="J566" s="1195">
        <f t="shared" si="56"/>
        <v>0</v>
      </c>
      <c r="K566" s="1195">
        <f t="shared" si="56"/>
        <v>0</v>
      </c>
      <c r="L566" s="1195">
        <f t="shared" si="56"/>
        <v>0</v>
      </c>
      <c r="M566" s="1195">
        <f t="shared" si="56"/>
        <v>0</v>
      </c>
      <c r="N566" s="1195">
        <f t="shared" si="56"/>
        <v>0</v>
      </c>
      <c r="O566" s="3088">
        <f>SUM(E566:N566)</f>
        <v>0</v>
      </c>
      <c r="P566" s="3089"/>
      <c r="Q566" s="2094"/>
      <c r="S566" s="2899"/>
    </row>
    <row r="567" spans="2:19" ht="32.25" customHeight="1" thickBot="1" x14ac:dyDescent="0.3">
      <c r="B567" s="1994"/>
      <c r="C567" s="3061" t="s">
        <v>130</v>
      </c>
      <c r="D567" s="3062"/>
      <c r="E567" s="3121"/>
      <c r="F567" s="3122"/>
      <c r="G567" s="3122"/>
      <c r="H567" s="3122"/>
      <c r="I567" s="3122"/>
      <c r="J567" s="3122"/>
      <c r="K567" s="3122"/>
      <c r="L567" s="3122"/>
      <c r="M567" s="3122"/>
      <c r="N567" s="3122"/>
      <c r="O567" s="3122"/>
      <c r="P567" s="3123"/>
      <c r="Q567" s="2094"/>
      <c r="S567" s="2899"/>
    </row>
    <row r="568" spans="2:19" ht="16.5" customHeight="1" x14ac:dyDescent="0.25">
      <c r="B568" s="1960"/>
      <c r="C568" s="2065"/>
      <c r="D568" s="1951"/>
      <c r="E568" s="1951"/>
      <c r="F568" s="1951"/>
      <c r="G568" s="1951"/>
      <c r="H568" s="1951"/>
      <c r="I568" s="1951"/>
      <c r="J568" s="1951"/>
      <c r="K568" s="1951"/>
      <c r="L568" s="1951"/>
      <c r="M568" s="1951"/>
      <c r="N568" s="1951"/>
      <c r="O568" s="1951"/>
      <c r="P568" s="1951"/>
      <c r="Q568" s="1952"/>
      <c r="S568" s="2899"/>
    </row>
    <row r="569" spans="2:19" ht="17.25" customHeight="1" x14ac:dyDescent="0.25">
      <c r="B569" s="1960"/>
      <c r="C569" s="2066" t="s">
        <v>188</v>
      </c>
      <c r="D569" s="1951"/>
      <c r="E569" s="1951"/>
      <c r="F569" s="1951"/>
      <c r="G569" s="1951"/>
      <c r="H569" s="1951"/>
      <c r="I569" s="1951"/>
      <c r="J569" s="1951"/>
      <c r="K569" s="1951"/>
      <c r="L569" s="1951"/>
      <c r="M569" s="1951"/>
      <c r="N569" s="1951"/>
      <c r="O569" s="1951"/>
      <c r="P569" s="1951"/>
      <c r="Q569" s="1952"/>
      <c r="S569" s="2899"/>
    </row>
    <row r="570" spans="2:19" ht="18" customHeight="1" x14ac:dyDescent="0.25">
      <c r="B570" s="1960"/>
      <c r="C570" s="1949"/>
      <c r="D570" s="2067"/>
      <c r="E570" s="3393" t="s">
        <v>185</v>
      </c>
      <c r="F570" s="3393"/>
      <c r="G570" s="3393"/>
      <c r="H570" s="3394"/>
      <c r="I570" s="359" t="str">
        <f>IF((OR(ISBLANK(F634),ISBLANK(F635),ISBLANK(F636),ISBLANK(K634),ISBLANK(K635),ISBLANK(K636))=FALSE),"Complété","À compléter")</f>
        <v>À compléter</v>
      </c>
      <c r="J570" s="3395" t="s">
        <v>186</v>
      </c>
      <c r="K570" s="3395"/>
      <c r="L570" s="3395"/>
      <c r="M570" s="3395"/>
      <c r="N570" s="3395"/>
      <c r="O570" s="3395"/>
      <c r="P570" s="3395"/>
      <c r="Q570" s="1952"/>
      <c r="S570" s="2899"/>
    </row>
    <row r="571" spans="2:19" ht="6.75" customHeight="1" x14ac:dyDescent="0.25">
      <c r="B571" s="1960"/>
      <c r="C571" s="1951"/>
      <c r="D571" s="2067"/>
      <c r="E571" s="2067"/>
      <c r="F571" s="2067"/>
      <c r="G571" s="2067"/>
      <c r="H571" s="2067"/>
      <c r="I571" s="1951"/>
      <c r="J571" s="2069"/>
      <c r="K571" s="2069"/>
      <c r="L571" s="2069"/>
      <c r="M571" s="2069"/>
      <c r="N571" s="2069"/>
      <c r="O571" s="2069"/>
      <c r="P571" s="2069"/>
      <c r="Q571" s="1952"/>
      <c r="S571" s="2899"/>
    </row>
    <row r="572" spans="2:19" ht="18" customHeight="1" x14ac:dyDescent="0.25">
      <c r="B572" s="1960"/>
      <c r="C572" s="1951"/>
      <c r="D572" s="3393" t="s">
        <v>1594</v>
      </c>
      <c r="E572" s="3393"/>
      <c r="F572" s="3393"/>
      <c r="G572" s="3393"/>
      <c r="H572" s="3394"/>
      <c r="I572" s="359" t="str">
        <f>IF((OR(ISBLANK(F693),ISBLANK(F694),ISBLANK(F695),ISBLANK(K693),ISBLANK(K694),ISBLANK(K695))=FALSE),"Complété","À compléter")</f>
        <v>À compléter</v>
      </c>
      <c r="J572" s="3395" t="s">
        <v>187</v>
      </c>
      <c r="K572" s="3395"/>
      <c r="L572" s="3395"/>
      <c r="M572" s="3395"/>
      <c r="N572" s="3395"/>
      <c r="O572" s="3395"/>
      <c r="P572" s="3395"/>
      <c r="Q572" s="1952"/>
      <c r="S572" s="2899"/>
    </row>
    <row r="573" spans="2:19" ht="22.5" customHeight="1" x14ac:dyDescent="0.25">
      <c r="B573" s="1960"/>
      <c r="C573" s="1951"/>
      <c r="D573" s="2068"/>
      <c r="E573" s="2068"/>
      <c r="F573" s="2068"/>
      <c r="G573" s="2068"/>
      <c r="H573" s="2068"/>
      <c r="I573" s="2072"/>
      <c r="J573" s="2070"/>
      <c r="K573" s="2070"/>
      <c r="L573" s="2070"/>
      <c r="M573" s="2070"/>
      <c r="N573" s="2070"/>
      <c r="O573" s="2070"/>
      <c r="P573" s="2070"/>
      <c r="Q573" s="1952"/>
      <c r="S573" s="2899"/>
    </row>
    <row r="574" spans="2:19" ht="18" customHeight="1" x14ac:dyDescent="0.25">
      <c r="B574" s="1960"/>
      <c r="C574" s="2071" t="s">
        <v>1573</v>
      </c>
      <c r="D574" s="2068"/>
      <c r="E574" s="2068"/>
      <c r="F574" s="2068"/>
      <c r="G574" s="1949"/>
      <c r="H574" s="3391" t="s">
        <v>1522</v>
      </c>
      <c r="I574" s="3391"/>
      <c r="J574" s="1949"/>
      <c r="K574" s="1949"/>
      <c r="L574" s="2070"/>
      <c r="M574" s="2070"/>
      <c r="N574" s="2070"/>
      <c r="O574" s="2070"/>
      <c r="P574" s="2070"/>
      <c r="Q574" s="1952"/>
      <c r="S574" s="2899"/>
    </row>
    <row r="575" spans="2:19" ht="15.75" thickBot="1" x14ac:dyDescent="0.3">
      <c r="B575" s="1982"/>
      <c r="C575" s="1987"/>
      <c r="D575" s="1987"/>
      <c r="E575" s="1987"/>
      <c r="F575" s="2097"/>
      <c r="G575" s="2097"/>
      <c r="H575" s="1987"/>
      <c r="I575" s="2097"/>
      <c r="J575" s="2097"/>
      <c r="K575" s="1987"/>
      <c r="L575" s="2097"/>
      <c r="M575" s="1987"/>
      <c r="N575" s="2097"/>
      <c r="O575" s="2097"/>
      <c r="P575" s="2097"/>
      <c r="Q575" s="1988"/>
      <c r="S575" s="2904"/>
    </row>
    <row r="576" spans="2:19" ht="15.75" thickBot="1" x14ac:dyDescent="0.3">
      <c r="S576" s="627"/>
    </row>
    <row r="577" spans="1:19" ht="22.5" customHeight="1" thickBot="1" x14ac:dyDescent="0.3">
      <c r="A577" s="1225"/>
      <c r="B577" s="1908" t="s">
        <v>88</v>
      </c>
      <c r="C577" s="1908"/>
      <c r="D577" s="1908"/>
      <c r="E577" s="1908"/>
      <c r="F577" s="1908"/>
      <c r="G577" s="1908"/>
      <c r="H577" s="1908"/>
      <c r="I577" s="1908"/>
      <c r="J577" s="1908"/>
      <c r="K577" s="1908"/>
      <c r="L577" s="1913"/>
      <c r="M577" s="1913"/>
      <c r="N577" s="1913"/>
      <c r="O577" s="3398" t="s">
        <v>1641</v>
      </c>
      <c r="P577" s="3398"/>
      <c r="Q577" s="3398"/>
      <c r="S577" s="628" t="s">
        <v>1537</v>
      </c>
    </row>
    <row r="578" spans="1:19" ht="9.75" customHeight="1" thickBot="1" x14ac:dyDescent="0.3">
      <c r="S578" s="629"/>
    </row>
    <row r="579" spans="1:19" ht="8.25" customHeight="1" x14ac:dyDescent="0.25">
      <c r="B579" s="1989"/>
      <c r="C579" s="1990"/>
      <c r="D579" s="1990"/>
      <c r="E579" s="1991"/>
      <c r="F579" s="1992"/>
      <c r="G579" s="1992"/>
      <c r="H579" s="1992"/>
      <c r="I579" s="1992"/>
      <c r="J579" s="1992"/>
      <c r="K579" s="1992"/>
      <c r="L579" s="1992"/>
      <c r="M579" s="1992"/>
      <c r="N579" s="1992"/>
      <c r="O579" s="1992"/>
      <c r="P579" s="1992"/>
      <c r="Q579" s="1993"/>
      <c r="S579" s="2900"/>
    </row>
    <row r="580" spans="1:19" ht="18" customHeight="1" x14ac:dyDescent="0.25">
      <c r="B580" s="1994"/>
      <c r="C580" s="1995" t="s">
        <v>89</v>
      </c>
      <c r="D580" s="1995"/>
      <c r="E580" s="1996"/>
      <c r="F580" s="1997"/>
      <c r="G580" s="1997"/>
      <c r="H580" s="1997"/>
      <c r="I580" s="1997"/>
      <c r="J580" s="1997"/>
      <c r="K580" s="1997"/>
      <c r="L580" s="1997"/>
      <c r="M580" s="1997"/>
      <c r="N580" s="2052" t="s">
        <v>59</v>
      </c>
      <c r="O580" s="359" t="str">
        <f>IF((COUNTBLANK(B602:B638)=ROWS(B602:B638)),"Complété","À compléter")</f>
        <v>À compléter</v>
      </c>
      <c r="P580" s="1997"/>
      <c r="Q580" s="1998"/>
      <c r="S580" s="2899"/>
    </row>
    <row r="581" spans="1:19" ht="9.75" customHeight="1" x14ac:dyDescent="0.25">
      <c r="B581" s="1994"/>
      <c r="C581" s="1996"/>
      <c r="D581" s="1996"/>
      <c r="E581" s="1996"/>
      <c r="F581" s="1997"/>
      <c r="G581" s="1997"/>
      <c r="H581" s="1997"/>
      <c r="I581" s="1997"/>
      <c r="J581" s="1997"/>
      <c r="K581" s="1997"/>
      <c r="L581" s="1997"/>
      <c r="M581" s="1997"/>
      <c r="N581" s="1997"/>
      <c r="O581" s="1997"/>
      <c r="P581" s="1997"/>
      <c r="Q581" s="1998"/>
      <c r="S581" s="2899"/>
    </row>
    <row r="582" spans="1:19" ht="17.25" customHeight="1" x14ac:dyDescent="0.25">
      <c r="B582" s="2053"/>
      <c r="C582" s="3392" t="s">
        <v>1590</v>
      </c>
      <c r="D582" s="3392"/>
      <c r="E582" s="3392"/>
      <c r="F582" s="3392"/>
      <c r="G582" s="3392"/>
      <c r="H582" s="3392"/>
      <c r="I582" s="3392"/>
      <c r="J582" s="3392"/>
      <c r="K582" s="3392"/>
      <c r="L582" s="3392"/>
      <c r="M582" s="3392"/>
      <c r="N582" s="1949"/>
      <c r="O582" s="1949"/>
      <c r="P582" s="1949"/>
      <c r="Q582" s="2057"/>
      <c r="S582" s="2899"/>
    </row>
    <row r="583" spans="1:19" ht="15" customHeight="1" x14ac:dyDescent="0.25">
      <c r="B583" s="2053"/>
      <c r="C583" s="2054"/>
      <c r="D583" s="2054"/>
      <c r="E583" s="2054"/>
      <c r="F583" s="1949"/>
      <c r="G583" s="1949"/>
      <c r="H583" s="1949"/>
      <c r="I583" s="1949"/>
      <c r="J583" s="1949"/>
      <c r="K583" s="1949"/>
      <c r="L583" s="1949"/>
      <c r="M583" s="1949"/>
      <c r="N583" s="1949"/>
      <c r="O583" s="1949"/>
      <c r="P583" s="1949"/>
      <c r="Q583" s="2057"/>
      <c r="S583" s="2899"/>
    </row>
    <row r="584" spans="1:19" x14ac:dyDescent="0.25">
      <c r="B584" s="1960"/>
      <c r="C584" s="2055" t="s">
        <v>1626</v>
      </c>
      <c r="D584" s="2000"/>
      <c r="E584" s="1951"/>
      <c r="F584" s="1951"/>
      <c r="G584" s="1951"/>
      <c r="H584" s="1951"/>
      <c r="I584" s="1951"/>
      <c r="J584" s="1951"/>
      <c r="K584" s="1951"/>
      <c r="L584" s="1951"/>
      <c r="M584" s="1951"/>
      <c r="N584" s="1951"/>
      <c r="O584" s="1951"/>
      <c r="P584" s="1951"/>
      <c r="Q584" s="1952"/>
      <c r="S584" s="2899"/>
    </row>
    <row r="585" spans="1:19" ht="9" customHeight="1" x14ac:dyDescent="0.25">
      <c r="B585" s="1960"/>
      <c r="C585" s="2000"/>
      <c r="D585" s="2000"/>
      <c r="E585" s="1951"/>
      <c r="F585" s="1951"/>
      <c r="G585" s="1951"/>
      <c r="H585" s="1951"/>
      <c r="I585" s="1951"/>
      <c r="J585" s="1951"/>
      <c r="K585" s="1951"/>
      <c r="L585" s="1951"/>
      <c r="M585" s="1951"/>
      <c r="N585" s="1951"/>
      <c r="O585" s="1951"/>
      <c r="P585" s="1951"/>
      <c r="Q585" s="1952"/>
      <c r="S585" s="2899"/>
    </row>
    <row r="586" spans="1:19" ht="9" customHeight="1" x14ac:dyDescent="0.25">
      <c r="B586" s="1960"/>
      <c r="C586" s="264"/>
      <c r="D586" s="265"/>
      <c r="E586" s="266"/>
      <c r="F586" s="266"/>
      <c r="G586" s="266"/>
      <c r="H586" s="266"/>
      <c r="I586" s="266"/>
      <c r="J586" s="266"/>
      <c r="K586" s="266"/>
      <c r="L586" s="266"/>
      <c r="M586" s="266"/>
      <c r="N586" s="266"/>
      <c r="O586" s="266"/>
      <c r="P586" s="267"/>
      <c r="Q586" s="1952"/>
      <c r="S586" s="2899"/>
    </row>
    <row r="587" spans="1:19" ht="16.5" customHeight="1" x14ac:dyDescent="0.25">
      <c r="B587" s="1960"/>
      <c r="C587" s="3108" t="s">
        <v>1625</v>
      </c>
      <c r="D587" s="3109"/>
      <c r="E587" s="338" t="s">
        <v>13</v>
      </c>
      <c r="F587" s="339" t="s">
        <v>1849</v>
      </c>
      <c r="G587" s="340"/>
      <c r="H587" s="341"/>
      <c r="I587" s="341"/>
      <c r="J587" s="341"/>
      <c r="K587" s="341"/>
      <c r="L587" s="341"/>
      <c r="M587" s="341"/>
      <c r="N587" s="341"/>
      <c r="O587" s="341"/>
      <c r="P587" s="272"/>
      <c r="Q587" s="1952"/>
      <c r="S587" s="2899"/>
    </row>
    <row r="588" spans="1:19" ht="16.5" customHeight="1" x14ac:dyDescent="0.25">
      <c r="B588" s="1960"/>
      <c r="C588" s="3096" t="s">
        <v>1561</v>
      </c>
      <c r="D588" s="3097"/>
      <c r="E588" s="205" t="s">
        <v>19</v>
      </c>
      <c r="F588" s="342" t="s">
        <v>1850</v>
      </c>
      <c r="G588" s="343"/>
      <c r="H588" s="344"/>
      <c r="I588" s="344"/>
      <c r="J588" s="344"/>
      <c r="K588" s="344"/>
      <c r="L588" s="344"/>
      <c r="M588" s="344"/>
      <c r="N588" s="344"/>
      <c r="O588" s="344"/>
      <c r="P588" s="272"/>
      <c r="Q588" s="1952"/>
      <c r="S588" s="2899"/>
    </row>
    <row r="589" spans="1:19" ht="16.5" customHeight="1" x14ac:dyDescent="0.25">
      <c r="B589" s="1960"/>
      <c r="C589" s="308"/>
      <c r="D589" s="309"/>
      <c r="E589" s="202" t="s">
        <v>17</v>
      </c>
      <c r="F589" s="342" t="s">
        <v>1627</v>
      </c>
      <c r="G589" s="343"/>
      <c r="H589" s="344"/>
      <c r="I589" s="344"/>
      <c r="J589" s="344"/>
      <c r="K589" s="344"/>
      <c r="L589" s="344"/>
      <c r="M589" s="344"/>
      <c r="N589" s="344"/>
      <c r="O589" s="344"/>
      <c r="P589" s="272"/>
      <c r="Q589" s="1952"/>
      <c r="S589" s="2899"/>
    </row>
    <row r="590" spans="1:19" ht="16.5" customHeight="1" x14ac:dyDescent="0.25">
      <c r="B590" s="1960"/>
      <c r="C590" s="308"/>
      <c r="D590" s="309"/>
      <c r="E590" s="198" t="s">
        <v>14</v>
      </c>
      <c r="F590" s="342" t="s">
        <v>1628</v>
      </c>
      <c r="G590" s="343"/>
      <c r="H590" s="344"/>
      <c r="I590" s="344"/>
      <c r="J590" s="344"/>
      <c r="K590" s="344"/>
      <c r="L590" s="344"/>
      <c r="M590" s="344"/>
      <c r="N590" s="344"/>
      <c r="O590" s="344"/>
      <c r="P590" s="272"/>
      <c r="Q590" s="1952"/>
      <c r="S590" s="2899"/>
    </row>
    <row r="591" spans="1:19" ht="16.5" customHeight="1" x14ac:dyDescent="0.25">
      <c r="B591" s="1960"/>
      <c r="C591" s="308"/>
      <c r="D591" s="309"/>
      <c r="E591" s="195" t="s">
        <v>21</v>
      </c>
      <c r="F591" s="342" t="s">
        <v>1629</v>
      </c>
      <c r="G591" s="343"/>
      <c r="H591" s="344"/>
      <c r="I591" s="344"/>
      <c r="J591" s="344"/>
      <c r="K591" s="344"/>
      <c r="L591" s="344"/>
      <c r="M591" s="344"/>
      <c r="N591" s="344"/>
      <c r="O591" s="344"/>
      <c r="P591" s="272"/>
      <c r="Q591" s="1952"/>
      <c r="S591" s="2899"/>
    </row>
    <row r="592" spans="1:19" ht="12" customHeight="1" x14ac:dyDescent="0.25">
      <c r="B592" s="1960"/>
      <c r="C592" s="310"/>
      <c r="D592" s="311"/>
      <c r="E592" s="277"/>
      <c r="F592" s="345"/>
      <c r="G592" s="346"/>
      <c r="H592" s="277"/>
      <c r="I592" s="312"/>
      <c r="J592" s="312"/>
      <c r="K592" s="312"/>
      <c r="L592" s="312"/>
      <c r="M592" s="312"/>
      <c r="N592" s="312"/>
      <c r="O592" s="312"/>
      <c r="P592" s="313"/>
      <c r="Q592" s="1952"/>
      <c r="S592" s="2899"/>
    </row>
    <row r="593" spans="2:19" ht="18" customHeight="1" x14ac:dyDescent="0.25">
      <c r="B593" s="1960"/>
      <c r="C593" s="2000"/>
      <c r="D593" s="2000"/>
      <c r="E593" s="1951"/>
      <c r="F593" s="1951"/>
      <c r="G593" s="1951"/>
      <c r="H593" s="1951"/>
      <c r="I593" s="1951"/>
      <c r="J593" s="1951"/>
      <c r="K593" s="1951"/>
      <c r="L593" s="1951"/>
      <c r="M593" s="1951"/>
      <c r="N593" s="1951"/>
      <c r="O593" s="1951"/>
      <c r="P593" s="1951"/>
      <c r="Q593" s="1952"/>
      <c r="S593" s="2899"/>
    </row>
    <row r="594" spans="2:19" ht="16.5" customHeight="1" x14ac:dyDescent="0.25">
      <c r="B594" s="1960"/>
      <c r="C594" s="2055" t="s">
        <v>1630</v>
      </c>
      <c r="D594" s="2000"/>
      <c r="E594" s="1951"/>
      <c r="F594" s="1951"/>
      <c r="G594" s="1951"/>
      <c r="H594" s="1951"/>
      <c r="I594" s="1951"/>
      <c r="J594" s="1951"/>
      <c r="K594" s="1951"/>
      <c r="L594" s="1951"/>
      <c r="M594" s="1951"/>
      <c r="N594" s="1951"/>
      <c r="O594" s="1951"/>
      <c r="P594" s="1951"/>
      <c r="Q594" s="1952"/>
      <c r="S594" s="2899"/>
    </row>
    <row r="595" spans="2:19" ht="4.5" customHeight="1" x14ac:dyDescent="0.25">
      <c r="B595" s="1960"/>
      <c r="C595" s="2055"/>
      <c r="D595" s="2000"/>
      <c r="E595" s="1951"/>
      <c r="F595" s="1951"/>
      <c r="G595" s="1951"/>
      <c r="H595" s="1951"/>
      <c r="I595" s="1951"/>
      <c r="J595" s="1951"/>
      <c r="K595" s="1951"/>
      <c r="L595" s="1951"/>
      <c r="M595" s="1951"/>
      <c r="N595" s="1951"/>
      <c r="O595" s="1951"/>
      <c r="P595" s="1951"/>
      <c r="Q595" s="1952"/>
      <c r="S595" s="2899"/>
    </row>
    <row r="596" spans="2:19" ht="16.5" customHeight="1" x14ac:dyDescent="0.25">
      <c r="B596" s="1960"/>
      <c r="C596" s="2055" t="s">
        <v>1622</v>
      </c>
      <c r="D596" s="2000"/>
      <c r="E596" s="1951"/>
      <c r="F596" s="1951"/>
      <c r="G596" s="1951"/>
      <c r="H596" s="1951"/>
      <c r="I596" s="1951"/>
      <c r="J596" s="1951"/>
      <c r="K596" s="1951"/>
      <c r="L596" s="1949"/>
      <c r="M596" s="1951"/>
      <c r="N596" s="1949"/>
      <c r="O596" s="1951"/>
      <c r="P596" s="1951"/>
      <c r="Q596" s="1952"/>
      <c r="S596" s="2899"/>
    </row>
    <row r="597" spans="2:19" ht="24.75" customHeight="1" x14ac:dyDescent="0.25">
      <c r="B597" s="1960"/>
      <c r="C597" s="2056" t="s">
        <v>1623</v>
      </c>
      <c r="D597" s="2000"/>
      <c r="E597" s="1951"/>
      <c r="F597" s="1951"/>
      <c r="G597" s="1951"/>
      <c r="H597" s="1951"/>
      <c r="I597" s="1951"/>
      <c r="J597" s="1951"/>
      <c r="K597" s="1951"/>
      <c r="L597" s="1951"/>
      <c r="M597" s="1951"/>
      <c r="N597" s="1951"/>
      <c r="O597" s="1951"/>
      <c r="P597" s="1951"/>
      <c r="Q597" s="1952"/>
      <c r="S597" s="2899"/>
    </row>
    <row r="598" spans="2:19" ht="24" customHeight="1" x14ac:dyDescent="0.25">
      <c r="B598" s="1960"/>
      <c r="C598" s="2084" t="s">
        <v>1624</v>
      </c>
      <c r="D598" s="2000"/>
      <c r="E598" s="1951"/>
      <c r="F598" s="1951"/>
      <c r="G598" s="1951"/>
      <c r="H598" s="1951"/>
      <c r="I598" s="1951"/>
      <c r="J598" s="1951"/>
      <c r="K598" s="1951"/>
      <c r="L598" s="1951"/>
      <c r="M598" s="1951"/>
      <c r="N598" s="1951"/>
      <c r="O598" s="1951"/>
      <c r="P598" s="1951"/>
      <c r="Q598" s="1952"/>
      <c r="S598" s="2899"/>
    </row>
    <row r="599" spans="2:19" ht="18.75" customHeight="1" x14ac:dyDescent="0.25">
      <c r="B599" s="1960"/>
      <c r="C599" s="2000"/>
      <c r="D599" s="2000"/>
      <c r="E599" s="1951"/>
      <c r="F599" s="1951"/>
      <c r="G599" s="1951"/>
      <c r="H599" s="1951"/>
      <c r="I599" s="1951"/>
      <c r="J599" s="1951"/>
      <c r="K599" s="1951"/>
      <c r="L599" s="1951"/>
      <c r="M599" s="1951"/>
      <c r="N599" s="1951"/>
      <c r="O599" s="1951"/>
      <c r="P599" s="1951"/>
      <c r="Q599" s="1952"/>
      <c r="S599" s="2899"/>
    </row>
    <row r="600" spans="2:19" ht="22.5" customHeight="1" x14ac:dyDescent="0.25">
      <c r="B600" s="1960"/>
      <c r="C600" s="1949" t="s">
        <v>124</v>
      </c>
      <c r="D600" s="1949"/>
      <c r="E600" s="1949"/>
      <c r="F600" s="3080" t="s">
        <v>2057</v>
      </c>
      <c r="G600" s="3081"/>
      <c r="H600" s="3081"/>
      <c r="I600" s="3081"/>
      <c r="J600" s="3081"/>
      <c r="K600" s="3080" t="s">
        <v>2058</v>
      </c>
      <c r="L600" s="3081"/>
      <c r="M600" s="3081"/>
      <c r="N600" s="3081"/>
      <c r="O600" s="3081"/>
      <c r="P600" s="317"/>
      <c r="Q600" s="1952"/>
      <c r="S600" s="2899"/>
    </row>
    <row r="601" spans="2:19" ht="3" customHeight="1" x14ac:dyDescent="0.25">
      <c r="B601" s="1960"/>
      <c r="C601" s="1951"/>
      <c r="D601" s="1951"/>
      <c r="E601" s="1951"/>
      <c r="F601" s="1951"/>
      <c r="G601" s="1951"/>
      <c r="H601" s="1951"/>
      <c r="I601" s="1951"/>
      <c r="J601" s="1951"/>
      <c r="K601" s="1951"/>
      <c r="L601" s="1951"/>
      <c r="M601" s="1951"/>
      <c r="N601" s="1951"/>
      <c r="O601" s="1951"/>
      <c r="P601" s="1951"/>
      <c r="Q601" s="1952"/>
      <c r="S601" s="2899"/>
    </row>
    <row r="602" spans="2:19" ht="23.25" customHeight="1" x14ac:dyDescent="0.25">
      <c r="B602" s="1960"/>
      <c r="C602" s="3102" t="s">
        <v>90</v>
      </c>
      <c r="D602" s="3103"/>
      <c r="E602" s="3104"/>
      <c r="F602" s="3075" t="s">
        <v>1871</v>
      </c>
      <c r="G602" s="3076"/>
      <c r="H602" s="3077" t="s">
        <v>134</v>
      </c>
      <c r="I602" s="3077"/>
      <c r="J602" s="3077"/>
      <c r="K602" s="3075" t="s">
        <v>1871</v>
      </c>
      <c r="L602" s="3076"/>
      <c r="M602" s="3077" t="s">
        <v>134</v>
      </c>
      <c r="N602" s="3077"/>
      <c r="O602" s="3077"/>
      <c r="P602" s="348"/>
      <c r="Q602" s="1952"/>
      <c r="S602" s="2899"/>
    </row>
    <row r="603" spans="2:19" ht="29.25" customHeight="1" x14ac:dyDescent="0.25">
      <c r="B603" s="1960"/>
      <c r="C603" s="3105"/>
      <c r="D603" s="3106"/>
      <c r="E603" s="3107"/>
      <c r="F603" s="479" t="s">
        <v>1426</v>
      </c>
      <c r="G603" s="349" t="s">
        <v>122</v>
      </c>
      <c r="H603" s="471" t="s">
        <v>299</v>
      </c>
      <c r="I603" s="3066" t="s">
        <v>301</v>
      </c>
      <c r="J603" s="3067"/>
      <c r="K603" s="479" t="s">
        <v>1426</v>
      </c>
      <c r="L603" s="349" t="s">
        <v>122</v>
      </c>
      <c r="M603" s="471" t="s">
        <v>299</v>
      </c>
      <c r="N603" s="3066" t="s">
        <v>301</v>
      </c>
      <c r="O603" s="3110"/>
      <c r="P603" s="3067"/>
      <c r="Q603" s="1952"/>
      <c r="S603" s="2899"/>
    </row>
    <row r="604" spans="2:19" ht="21.75" customHeight="1" x14ac:dyDescent="0.25">
      <c r="B604" s="2100"/>
      <c r="C604" s="694" t="s">
        <v>91</v>
      </c>
      <c r="D604" s="533"/>
      <c r="E604" s="534" t="s">
        <v>135</v>
      </c>
      <c r="F604" s="535" t="str">
        <f>IF(H604=1,"1- Très faible",IF(H604=2,"2- Faible",IF(H604=3,"3- Moyen",IF(H604=4,"4- Bon",IF(H604=5,"5- Excellent","")))))</f>
        <v/>
      </c>
      <c r="G604" s="13" t="str">
        <f>IF(OR(SUM(G605:G610)=0,H604=0),"",(SUM(G605:G610)/(6-I604)*6))</f>
        <v/>
      </c>
      <c r="H604" s="536">
        <f>IF(I604=6,0,IF(I604=0,ROUNDDOWN(AVERAGE(G605:G610),0),ROUNDDOWN((SUM(G605:G610)/(6-I604)),0)))</f>
        <v>0</v>
      </c>
      <c r="I604" s="731">
        <f>COUNTIF(F605:F610,"Ne s'applique pas")</f>
        <v>0</v>
      </c>
      <c r="J604" s="537"/>
      <c r="K604" s="535" t="str">
        <f>IF(M604=1,"1- Très faible",IF(M604=2,"2- Faible",IF(M604=3,"3- Moyen",IF(M604=4,"4- Bon",IF(M604=5,"5- Excellent","")))))</f>
        <v/>
      </c>
      <c r="L604" s="13" t="str">
        <f>IF(OR(SUM(L605:L610)=0,M604=0),"",(SUM(L605:L610)/(6-N604)*6))</f>
        <v/>
      </c>
      <c r="M604" s="536">
        <f>IF(N604=6,0,IF(N604=0,ROUNDDOWN(AVERAGE(L605:L610),0),ROUNDDOWN((SUM(L605:L610)/(6-N604)),0)))</f>
        <v>0</v>
      </c>
      <c r="N604" s="731">
        <f>COUNTIF(K605:K610,"Ne s'applique pas")</f>
        <v>0</v>
      </c>
      <c r="O604" s="3073"/>
      <c r="P604" s="3074"/>
      <c r="Q604" s="1952"/>
      <c r="S604" s="2899"/>
    </row>
    <row r="605" spans="2:19" ht="18" customHeight="1" x14ac:dyDescent="0.25">
      <c r="B605" s="2058" t="str">
        <f t="shared" ref="B605:B610" si="57">IF(OR(ISBLANK(F605),ISBLANK(K605))=FALSE,"","u")</f>
        <v>u</v>
      </c>
      <c r="C605" s="3090" t="s">
        <v>92</v>
      </c>
      <c r="D605" s="3091"/>
      <c r="E605" s="3092"/>
      <c r="F605" s="691"/>
      <c r="G605" s="532">
        <f>IF(F605=$E$587,1,IF(F605=$E$588,2,IF(F605=$E$589,3,IF(F605=$E$590,4,IF(F605=$E$591,5,0)))))</f>
        <v>0</v>
      </c>
      <c r="H605" s="689"/>
      <c r="I605" s="3068"/>
      <c r="J605" s="3069"/>
      <c r="K605" s="691"/>
      <c r="L605" s="532">
        <f t="shared" ref="L605:L610" si="58">IF(K605=$E$587,1,IF(K605=$E$588,2,IF(K605=$E$589,3,IF(K605=$E$590,4,IF(K605=$E$591,5,0)))))</f>
        <v>0</v>
      </c>
      <c r="M605" s="689"/>
      <c r="N605" s="3068"/>
      <c r="O605" s="3179"/>
      <c r="P605" s="3069"/>
      <c r="Q605" s="1952"/>
      <c r="R605" s="302"/>
      <c r="S605" s="2899"/>
    </row>
    <row r="606" spans="2:19" ht="18" customHeight="1" x14ac:dyDescent="0.25">
      <c r="B606" s="2058" t="str">
        <f t="shared" si="57"/>
        <v>u</v>
      </c>
      <c r="C606" s="3063" t="s">
        <v>93</v>
      </c>
      <c r="D606" s="3064"/>
      <c r="E606" s="3065"/>
      <c r="F606" s="691"/>
      <c r="G606" s="14">
        <f t="shared" ref="G606:G610" si="59">IF(F606=$E$587,1,IF(F606=$E$588,2,IF(F606=$E$589,3,IF(F606=$E$590,4,IF(F606=$E$591,5,0)))))</f>
        <v>0</v>
      </c>
      <c r="H606" s="687"/>
      <c r="I606" s="3051"/>
      <c r="J606" s="3052"/>
      <c r="K606" s="688"/>
      <c r="L606" s="14">
        <f t="shared" si="58"/>
        <v>0</v>
      </c>
      <c r="M606" s="687"/>
      <c r="N606" s="3051"/>
      <c r="O606" s="3070"/>
      <c r="P606" s="3052"/>
      <c r="Q606" s="1952"/>
      <c r="S606" s="2899"/>
    </row>
    <row r="607" spans="2:19" ht="18" customHeight="1" x14ac:dyDescent="0.25">
      <c r="B607" s="2058" t="str">
        <f t="shared" si="57"/>
        <v>u</v>
      </c>
      <c r="C607" s="3063" t="s">
        <v>94</v>
      </c>
      <c r="D607" s="3064"/>
      <c r="E607" s="3065"/>
      <c r="F607" s="691"/>
      <c r="G607" s="14">
        <f t="shared" si="59"/>
        <v>0</v>
      </c>
      <c r="H607" s="687"/>
      <c r="I607" s="3051"/>
      <c r="J607" s="3052"/>
      <c r="K607" s="688"/>
      <c r="L607" s="14">
        <f t="shared" si="58"/>
        <v>0</v>
      </c>
      <c r="M607" s="687"/>
      <c r="N607" s="3051"/>
      <c r="O607" s="3070"/>
      <c r="P607" s="3052"/>
      <c r="Q607" s="1952"/>
      <c r="S607" s="2899"/>
    </row>
    <row r="608" spans="2:19" ht="18" customHeight="1" x14ac:dyDescent="0.25">
      <c r="B608" s="2058" t="str">
        <f t="shared" si="57"/>
        <v>u</v>
      </c>
      <c r="C608" s="3063" t="s">
        <v>95</v>
      </c>
      <c r="D608" s="3064"/>
      <c r="E608" s="3065"/>
      <c r="F608" s="691"/>
      <c r="G608" s="14">
        <f t="shared" si="59"/>
        <v>0</v>
      </c>
      <c r="H608" s="687"/>
      <c r="I608" s="3051"/>
      <c r="J608" s="3052"/>
      <c r="K608" s="688"/>
      <c r="L608" s="14">
        <f t="shared" si="58"/>
        <v>0</v>
      </c>
      <c r="M608" s="687"/>
      <c r="N608" s="3051"/>
      <c r="O608" s="3070"/>
      <c r="P608" s="3052"/>
      <c r="Q608" s="1952"/>
      <c r="S608" s="2899"/>
    </row>
    <row r="609" spans="2:19" ht="18" customHeight="1" x14ac:dyDescent="0.25">
      <c r="B609" s="2058" t="str">
        <f t="shared" si="57"/>
        <v>u</v>
      </c>
      <c r="C609" s="3063" t="s">
        <v>96</v>
      </c>
      <c r="D609" s="3064"/>
      <c r="E609" s="3065"/>
      <c r="F609" s="691"/>
      <c r="G609" s="14">
        <f t="shared" si="59"/>
        <v>0</v>
      </c>
      <c r="H609" s="687"/>
      <c r="I609" s="3051"/>
      <c r="J609" s="3052"/>
      <c r="K609" s="688"/>
      <c r="L609" s="14">
        <f t="shared" si="58"/>
        <v>0</v>
      </c>
      <c r="M609" s="687"/>
      <c r="N609" s="3051"/>
      <c r="O609" s="3070"/>
      <c r="P609" s="3052"/>
      <c r="Q609" s="1952"/>
      <c r="S609" s="2899"/>
    </row>
    <row r="610" spans="2:19" ht="18" customHeight="1" x14ac:dyDescent="0.25">
      <c r="B610" s="2058" t="str">
        <f t="shared" si="57"/>
        <v>u</v>
      </c>
      <c r="C610" s="3093" t="s">
        <v>97</v>
      </c>
      <c r="D610" s="3094"/>
      <c r="E610" s="3095"/>
      <c r="F610" s="691"/>
      <c r="G610" s="531">
        <f t="shared" si="59"/>
        <v>0</v>
      </c>
      <c r="H610" s="690"/>
      <c r="I610" s="3085"/>
      <c r="J610" s="3087"/>
      <c r="K610" s="692"/>
      <c r="L610" s="531">
        <f t="shared" si="58"/>
        <v>0</v>
      </c>
      <c r="M610" s="690"/>
      <c r="N610" s="3085"/>
      <c r="O610" s="3086"/>
      <c r="P610" s="3087"/>
      <c r="Q610" s="1952"/>
      <c r="S610" s="2899"/>
    </row>
    <row r="611" spans="2:19" ht="35.25" customHeight="1" x14ac:dyDescent="0.25">
      <c r="B611" s="2058"/>
      <c r="C611" s="3082" t="s">
        <v>1873</v>
      </c>
      <c r="D611" s="3083"/>
      <c r="E611" s="3084"/>
      <c r="F611" s="3053"/>
      <c r="G611" s="3054"/>
      <c r="H611" s="3054"/>
      <c r="I611" s="3054"/>
      <c r="J611" s="3054"/>
      <c r="K611" s="3053"/>
      <c r="L611" s="3054"/>
      <c r="M611" s="3054"/>
      <c r="N611" s="3054"/>
      <c r="O611" s="3054"/>
      <c r="P611" s="3055"/>
      <c r="Q611" s="1952"/>
      <c r="S611" s="2899"/>
    </row>
    <row r="612" spans="2:19" ht="21.75" customHeight="1" x14ac:dyDescent="0.25">
      <c r="B612" s="2100"/>
      <c r="C612" s="693" t="s">
        <v>1631</v>
      </c>
      <c r="D612" s="334"/>
      <c r="E612" s="8" t="s">
        <v>136</v>
      </c>
      <c r="F612" s="12" t="str">
        <f>IF(H612=1,"1- Très faible",IF(H612=2,"2- Faible",IF(H612=3,"3- Moyen",IF(H612=4,"4- Bon",IF(H612=5,"5- Excellent","")))))</f>
        <v/>
      </c>
      <c r="G612" s="529" t="str">
        <f>IF(SUM(G613:G614)=0,"",SUM(G613:G614))</f>
        <v/>
      </c>
      <c r="H612" s="15">
        <f>ROUNDDOWN(AVERAGE(G613:G614),0)</f>
        <v>0</v>
      </c>
      <c r="I612" s="16"/>
      <c r="J612" s="18"/>
      <c r="K612" s="12" t="str">
        <f>IF(M612=1,"1- Très faible",IF(M612=2,"2- Faible",IF(M612=3,"3- Moyen",IF(M612=4,"4- Bon",IF(M612=5,"5- Excellent","")))))</f>
        <v/>
      </c>
      <c r="L612" s="529" t="str">
        <f>IF(SUM(L613:L614)=0,"",SUM(L613:L614))</f>
        <v/>
      </c>
      <c r="M612" s="15">
        <f>ROUNDDOWN(AVERAGE(L613:L614),0)</f>
        <v>0</v>
      </c>
      <c r="N612" s="16"/>
      <c r="O612" s="3100"/>
      <c r="P612" s="3101"/>
      <c r="Q612" s="1952"/>
      <c r="S612" s="2899"/>
    </row>
    <row r="613" spans="2:19" ht="18" customHeight="1" x14ac:dyDescent="0.25">
      <c r="B613" s="2058" t="str">
        <f>IF(OR(ISBLANK(F613),ISBLANK(K613))=FALSE,"","u")</f>
        <v>u</v>
      </c>
      <c r="C613" s="3176" t="s">
        <v>1532</v>
      </c>
      <c r="D613" s="3177"/>
      <c r="E613" s="3178"/>
      <c r="F613" s="688"/>
      <c r="G613" s="14">
        <f>IF(F613=$E$587,1,IF(F613=$E$588,2,IF(F613=$E$589,3,IF(F613=$E$590,4,IF(F613=$E$591,5,0)))))</f>
        <v>0</v>
      </c>
      <c r="H613" s="687"/>
      <c r="I613" s="3051"/>
      <c r="J613" s="3052"/>
      <c r="K613" s="688"/>
      <c r="L613" s="14">
        <f>IF(K613=$E$587,1,IF(K613=$E$588,2,IF(K613=$E$589,3,IF(K613=$E$590,4,IF(K613=$E$591,5,0)))))</f>
        <v>0</v>
      </c>
      <c r="M613" s="687"/>
      <c r="N613" s="3051"/>
      <c r="O613" s="3070"/>
      <c r="P613" s="3052"/>
      <c r="Q613" s="1952"/>
      <c r="S613" s="2899"/>
    </row>
    <row r="614" spans="2:19" ht="18" customHeight="1" x14ac:dyDescent="0.25">
      <c r="B614" s="2058" t="str">
        <f>IF(OR(ISBLANK(F614),ISBLANK(K614))=FALSE,"","u")</f>
        <v>u</v>
      </c>
      <c r="C614" s="3063" t="s">
        <v>1781</v>
      </c>
      <c r="D614" s="3064"/>
      <c r="E614" s="3065"/>
      <c r="F614" s="688"/>
      <c r="G614" s="530">
        <f>IF(F614=$E$587,1,IF(F614=$E$588,2,IF(F614=$E$589,3,IF(F614=$E$590,4,IF(F614=$E$591,5,0)))))</f>
        <v>0</v>
      </c>
      <c r="H614" s="687"/>
      <c r="I614" s="3051"/>
      <c r="J614" s="3052"/>
      <c r="K614" s="688"/>
      <c r="L614" s="530">
        <f>IF(K614=$E$587,1,IF(K614=$E$588,2,IF(K614=$E$589,3,IF(K614=$E$590,4,IF(K614=$E$591,5,0)))))</f>
        <v>0</v>
      </c>
      <c r="M614" s="687"/>
      <c r="N614" s="3051"/>
      <c r="O614" s="3070"/>
      <c r="P614" s="3052"/>
      <c r="Q614" s="1952"/>
      <c r="S614" s="2899"/>
    </row>
    <row r="615" spans="2:19" ht="35.25" customHeight="1" x14ac:dyDescent="0.25">
      <c r="B615" s="2058"/>
      <c r="C615" s="3082" t="s">
        <v>1873</v>
      </c>
      <c r="D615" s="3083"/>
      <c r="E615" s="3084"/>
      <c r="F615" s="3053"/>
      <c r="G615" s="3054"/>
      <c r="H615" s="3054"/>
      <c r="I615" s="3054"/>
      <c r="J615" s="3054"/>
      <c r="K615" s="3053"/>
      <c r="L615" s="3054"/>
      <c r="M615" s="3054"/>
      <c r="N615" s="3054"/>
      <c r="O615" s="3054"/>
      <c r="P615" s="3055"/>
      <c r="Q615" s="1952"/>
      <c r="S615" s="2899"/>
    </row>
    <row r="616" spans="2:19" ht="21.75" customHeight="1" x14ac:dyDescent="0.25">
      <c r="B616" s="2100"/>
      <c r="C616" s="693" t="s">
        <v>34</v>
      </c>
      <c r="D616" s="334"/>
      <c r="E616" s="8" t="s">
        <v>136</v>
      </c>
      <c r="F616" s="12" t="str">
        <f>IF(H616=1,"1- Très faible",IF(H616=2,"2- Faible",IF(H616=3,"3- Moyen",IF(H616=4,"4- Bon",IF(H616=5,"5- Excellent","")))))</f>
        <v/>
      </c>
      <c r="G616" s="13" t="str">
        <f>IF(SUM(G617:G618)=0,"",SUM(G617:G618))</f>
        <v/>
      </c>
      <c r="H616" s="15">
        <f>ROUNDDOWN(AVERAGE(G617:G618),0)</f>
        <v>0</v>
      </c>
      <c r="I616" s="16"/>
      <c r="J616" s="18"/>
      <c r="K616" s="12" t="str">
        <f>IF(M616=1,"1- Très faible",IF(M616=2,"2- Faible",IF(M616=3,"3- Moyen",IF(M616=4,"4- Bon",IF(M616=5,"5- Excellent","")))))</f>
        <v/>
      </c>
      <c r="L616" s="13" t="str">
        <f>IF(SUM(L617:L618)=0,"",SUM(L617:L618))</f>
        <v/>
      </c>
      <c r="M616" s="15">
        <f>ROUNDDOWN(AVERAGE(L617:L618),0)</f>
        <v>0</v>
      </c>
      <c r="N616" s="16"/>
      <c r="O616" s="3073"/>
      <c r="P616" s="3074"/>
      <c r="Q616" s="1952"/>
      <c r="S616" s="2899"/>
    </row>
    <row r="617" spans="2:19" ht="18" customHeight="1" x14ac:dyDescent="0.25">
      <c r="B617" s="2058" t="str">
        <f>IF(OR(ISBLANK(F617),ISBLANK(K617))=FALSE,"","u")</f>
        <v>u</v>
      </c>
      <c r="C617" s="3171" t="s">
        <v>1533</v>
      </c>
      <c r="D617" s="3172"/>
      <c r="E617" s="3173"/>
      <c r="F617" s="688"/>
      <c r="G617" s="14">
        <f>IF(F617=$E$587,1,IF(F617=$E$588,2,IF(F617=$E$589,3,IF(F617=$E$590,4,IF(F617=$E$591,5,0)))))</f>
        <v>0</v>
      </c>
      <c r="H617" s="687"/>
      <c r="I617" s="3051"/>
      <c r="J617" s="3052"/>
      <c r="K617" s="688"/>
      <c r="L617" s="14">
        <f>IF(K617=$E$587,1,IF(K617=$E$588,2,IF(K617=$E$589,3,IF(K617=$E$590,4,IF(K617=$E$591,5,0)))))</f>
        <v>0</v>
      </c>
      <c r="M617" s="687"/>
      <c r="N617" s="3051"/>
      <c r="O617" s="3070"/>
      <c r="P617" s="3052"/>
      <c r="Q617" s="1952"/>
      <c r="S617" s="2899"/>
    </row>
    <row r="618" spans="2:19" ht="18" customHeight="1" x14ac:dyDescent="0.25">
      <c r="B618" s="2058" t="str">
        <f>IF(OR(ISBLANK(F618),ISBLANK(K618))=FALSE,"","u")</f>
        <v>u</v>
      </c>
      <c r="C618" s="3063" t="s">
        <v>1782</v>
      </c>
      <c r="D618" s="3064"/>
      <c r="E618" s="3065"/>
      <c r="F618" s="688"/>
      <c r="G618" s="530">
        <f>IF(F618=$E$587,1,IF(F618=$E$588,2,IF(F618=$E$589,3,IF(F618=$E$590,4,IF(F618=$E$591,5,0)))))</f>
        <v>0</v>
      </c>
      <c r="H618" s="687"/>
      <c r="I618" s="3051"/>
      <c r="J618" s="3052"/>
      <c r="K618" s="688"/>
      <c r="L618" s="530">
        <f>IF(K618=$E$587,1,IF(K618=$E$588,2,IF(K618=$E$589,3,IF(K618=$E$590,4,IF(K618=$E$591,5,0)))))</f>
        <v>0</v>
      </c>
      <c r="M618" s="687"/>
      <c r="N618" s="3051"/>
      <c r="O618" s="3070"/>
      <c r="P618" s="3052"/>
      <c r="Q618" s="1952"/>
      <c r="S618" s="2899"/>
    </row>
    <row r="619" spans="2:19" ht="35.25" customHeight="1" x14ac:dyDescent="0.25">
      <c r="B619" s="2058"/>
      <c r="C619" s="3082" t="s">
        <v>1873</v>
      </c>
      <c r="D619" s="3083"/>
      <c r="E619" s="3084"/>
      <c r="F619" s="3053"/>
      <c r="G619" s="3054"/>
      <c r="H619" s="3054"/>
      <c r="I619" s="3054"/>
      <c r="J619" s="3054"/>
      <c r="K619" s="3053"/>
      <c r="L619" s="3054"/>
      <c r="M619" s="3054"/>
      <c r="N619" s="3054"/>
      <c r="O619" s="3054"/>
      <c r="P619" s="3055"/>
      <c r="Q619" s="1952"/>
      <c r="S619" s="2899"/>
    </row>
    <row r="620" spans="2:19" ht="21.75" customHeight="1" x14ac:dyDescent="0.25">
      <c r="B620" s="2100"/>
      <c r="C620" s="693" t="s">
        <v>99</v>
      </c>
      <c r="D620" s="334"/>
      <c r="E620" s="8" t="s">
        <v>136</v>
      </c>
      <c r="F620" s="12" t="str">
        <f>IF(H620=1,"1- Très faible",IF(H620=2,"2- Faible",IF(H620=3,"3- Moyen",IF(H620=4,"4- Bon",IF(H620=5,"5- Excellent","")))))</f>
        <v/>
      </c>
      <c r="G620" s="529" t="str">
        <f>IF(SUM(G621:G622)=0,"",SUM(G621:G622))</f>
        <v/>
      </c>
      <c r="H620" s="15">
        <f>ROUNDDOWN(AVERAGE(G621:G622),0)</f>
        <v>0</v>
      </c>
      <c r="I620" s="16"/>
      <c r="J620" s="18"/>
      <c r="K620" s="12" t="str">
        <f>IF(M620=1,"1- Très faible",IF(M620=2,"2- Faible",IF(M620=3,"3- Moyen",IF(M620=4,"4- Bon",IF(M620=5,"5- Excellent","")))))</f>
        <v/>
      </c>
      <c r="L620" s="529" t="str">
        <f>IF(SUM(L621:L622)=0,"",SUM(L621:L622))</f>
        <v/>
      </c>
      <c r="M620" s="15">
        <f>ROUNDDOWN(AVERAGE(L621:L622),0)</f>
        <v>0</v>
      </c>
      <c r="N620" s="16"/>
      <c r="O620" s="3100"/>
      <c r="P620" s="3101"/>
      <c r="Q620" s="1952"/>
      <c r="S620" s="2899"/>
    </row>
    <row r="621" spans="2:19" ht="18" customHeight="1" x14ac:dyDescent="0.25">
      <c r="B621" s="2058" t="str">
        <f>IF(OR(ISBLANK(F621),ISBLANK(K621))=FALSE,"","u")</f>
        <v>u</v>
      </c>
      <c r="C621" s="3171" t="s">
        <v>1534</v>
      </c>
      <c r="D621" s="3172"/>
      <c r="E621" s="3173"/>
      <c r="F621" s="688"/>
      <c r="G621" s="530">
        <f>IF(F621=$E$587,1,IF(F621=$E$588,2,IF(F621=$E$589,3,IF(F621=$E$590,4,IF(F621=$E$591,5,0)))))</f>
        <v>0</v>
      </c>
      <c r="H621" s="687"/>
      <c r="I621" s="3051"/>
      <c r="J621" s="3052"/>
      <c r="K621" s="688"/>
      <c r="L621" s="530">
        <f>IF(K621=$E$587,1,IF(K621=$E$588,2,IF(K621=$E$589,3,IF(K621=$E$590,4,IF(K621=$E$591,5,0)))))</f>
        <v>0</v>
      </c>
      <c r="M621" s="687"/>
      <c r="N621" s="3051"/>
      <c r="O621" s="3070"/>
      <c r="P621" s="3052"/>
      <c r="Q621" s="1952"/>
      <c r="S621" s="2899"/>
    </row>
    <row r="622" spans="2:19" ht="18" customHeight="1" x14ac:dyDescent="0.25">
      <c r="B622" s="2058" t="str">
        <f>IF(OR(ISBLANK(F622),ISBLANK(K622))=FALSE,"","u")</f>
        <v>u</v>
      </c>
      <c r="C622" s="3063" t="s">
        <v>1783</v>
      </c>
      <c r="D622" s="3064"/>
      <c r="E622" s="3065"/>
      <c r="F622" s="688"/>
      <c r="G622" s="530">
        <f>IF(F622=$E$587,1,IF(F622=$E$588,2,IF(F622=$E$589,3,IF(F622=$E$590,4,IF(F622=$E$591,5,0)))))</f>
        <v>0</v>
      </c>
      <c r="H622" s="687"/>
      <c r="I622" s="3051"/>
      <c r="J622" s="3052"/>
      <c r="K622" s="688"/>
      <c r="L622" s="530">
        <f>IF(K622=$E$587,1,IF(K622=$E$588,2,IF(K622=$E$589,3,IF(K622=$E$590,4,IF(K622=$E$591,5,0)))))</f>
        <v>0</v>
      </c>
      <c r="M622" s="687"/>
      <c r="N622" s="3051"/>
      <c r="O622" s="3070"/>
      <c r="P622" s="3052"/>
      <c r="Q622" s="1952"/>
      <c r="S622" s="2899"/>
    </row>
    <row r="623" spans="2:19" ht="35.25" customHeight="1" x14ac:dyDescent="0.25">
      <c r="B623" s="2058"/>
      <c r="C623" s="3082" t="s">
        <v>1873</v>
      </c>
      <c r="D623" s="3083"/>
      <c r="E623" s="3084"/>
      <c r="F623" s="3053"/>
      <c r="G623" s="3054"/>
      <c r="H623" s="3054"/>
      <c r="I623" s="3054"/>
      <c r="J623" s="3054"/>
      <c r="K623" s="3053"/>
      <c r="L623" s="3054"/>
      <c r="M623" s="3054"/>
      <c r="N623" s="3054"/>
      <c r="O623" s="3054"/>
      <c r="P623" s="3055"/>
      <c r="Q623" s="1952"/>
      <c r="S623" s="2899"/>
    </row>
    <row r="624" spans="2:19" ht="21.75" customHeight="1" x14ac:dyDescent="0.25">
      <c r="B624" s="2100"/>
      <c r="C624" s="693" t="s">
        <v>100</v>
      </c>
      <c r="D624" s="695"/>
      <c r="E624" s="8" t="s">
        <v>138</v>
      </c>
      <c r="F624" s="12" t="str">
        <f>IF(H624=1,"1- Très faible",IF(H624=2,"2- Faible",IF(H624=3,"3- Moyen",IF(H624=4,"4- Bon",IF(H624=5,"5- Excellent","")))))</f>
        <v/>
      </c>
      <c r="G624" s="13" t="str">
        <f>IF(SUM(G625:G627)=0,"",SUM(G625:G627))</f>
        <v/>
      </c>
      <c r="H624" s="15">
        <f>ROUNDDOWN(AVERAGE(G625:G627),0)</f>
        <v>0</v>
      </c>
      <c r="I624" s="16"/>
      <c r="J624" s="18"/>
      <c r="K624" s="12" t="str">
        <f>IF(M624=1,"1- Très faible",IF(M624=2,"2- Faible",IF(M624=3,"3- Moyen",IF(M624=4,"4- Bon",IF(M624=5,"5- Excellent","")))))</f>
        <v/>
      </c>
      <c r="L624" s="13" t="str">
        <f>IF(SUM(L625:L627)=0,"",SUM(L625:L627))</f>
        <v/>
      </c>
      <c r="M624" s="15">
        <f>ROUNDDOWN(AVERAGE(L625:L627),0)</f>
        <v>0</v>
      </c>
      <c r="N624" s="16"/>
      <c r="O624" s="3073"/>
      <c r="P624" s="3074"/>
      <c r="Q624" s="1952"/>
      <c r="S624" s="2899"/>
    </row>
    <row r="625" spans="2:19" ht="18" customHeight="1" x14ac:dyDescent="0.25">
      <c r="B625" s="2058" t="str">
        <f>IF(OR(ISBLANK(F625),ISBLANK(K625))=FALSE,"","u")</f>
        <v>u</v>
      </c>
      <c r="C625" s="3063" t="s">
        <v>101</v>
      </c>
      <c r="D625" s="3064"/>
      <c r="E625" s="3065"/>
      <c r="F625" s="688"/>
      <c r="G625" s="14">
        <f>IF(F625=$E$587,1,IF(F625=$E$588,2,IF(F625=$E$589,3,IF(F625=$E$590,4,IF(F625=$E$591,5,0)))))</f>
        <v>0</v>
      </c>
      <c r="H625" s="687"/>
      <c r="I625" s="3051"/>
      <c r="J625" s="3052"/>
      <c r="K625" s="688"/>
      <c r="L625" s="14">
        <f>IF(K625=$E$587,1,IF(K625=$E$588,2,IF(K625=$E$589,3,IF(K625=$E$590,4,IF(K625=$E$591,5,0)))))</f>
        <v>0</v>
      </c>
      <c r="M625" s="687"/>
      <c r="N625" s="3051"/>
      <c r="O625" s="3070"/>
      <c r="P625" s="3052"/>
      <c r="Q625" s="1952"/>
      <c r="S625" s="2899"/>
    </row>
    <row r="626" spans="2:19" ht="18" customHeight="1" x14ac:dyDescent="0.25">
      <c r="B626" s="2058" t="str">
        <f>IF(OR(ISBLANK(F626),ISBLANK(K626))=FALSE,"","u")</f>
        <v>u</v>
      </c>
      <c r="C626" s="3063" t="s">
        <v>102</v>
      </c>
      <c r="D626" s="3064"/>
      <c r="E626" s="3065"/>
      <c r="F626" s="688"/>
      <c r="G626" s="14">
        <f>IF(F626=$E$587,1,IF(F626=$E$588,2,IF(F626=$E$589,3,IF(F626=$E$590,4,IF(F626=$E$591,5,0)))))</f>
        <v>0</v>
      </c>
      <c r="H626" s="687"/>
      <c r="I626" s="3051"/>
      <c r="J626" s="3052"/>
      <c r="K626" s="688"/>
      <c r="L626" s="14">
        <f>IF(K626=$E$587,1,IF(K626=$E$588,2,IF(K626=$E$589,3,IF(K626=$E$590,4,IF(K626=$E$591,5,0)))))</f>
        <v>0</v>
      </c>
      <c r="M626" s="687"/>
      <c r="N626" s="3051"/>
      <c r="O626" s="3070"/>
      <c r="P626" s="3052"/>
      <c r="Q626" s="1952"/>
      <c r="S626" s="2899"/>
    </row>
    <row r="627" spans="2:19" ht="18" customHeight="1" x14ac:dyDescent="0.25">
      <c r="B627" s="2058" t="str">
        <f>IF(OR(ISBLANK(F627),ISBLANK(K627))=FALSE,"","u")</f>
        <v>u</v>
      </c>
      <c r="C627" s="3063" t="s">
        <v>103</v>
      </c>
      <c r="D627" s="3064"/>
      <c r="E627" s="3065"/>
      <c r="F627" s="688"/>
      <c r="G627" s="530">
        <f>IF(F627=$E$587,1,IF(F627=$E$588,2,IF(F627=$E$589,3,IF(F627=$E$590,4,IF(F627=$E$591,5,0)))))</f>
        <v>0</v>
      </c>
      <c r="H627" s="687"/>
      <c r="I627" s="3051"/>
      <c r="J627" s="3052"/>
      <c r="K627" s="688"/>
      <c r="L627" s="530">
        <f>IF(K627=$E$587,1,IF(K627=$E$588,2,IF(K627=$E$589,3,IF(K627=$E$590,4,IF(K627=$E$591,5,0)))))</f>
        <v>0</v>
      </c>
      <c r="M627" s="687"/>
      <c r="N627" s="3051"/>
      <c r="O627" s="3070"/>
      <c r="P627" s="3052"/>
      <c r="Q627" s="1952"/>
      <c r="S627" s="2899"/>
    </row>
    <row r="628" spans="2:19" ht="35.25" customHeight="1" x14ac:dyDescent="0.25">
      <c r="B628" s="2058"/>
      <c r="C628" s="3082" t="s">
        <v>1873</v>
      </c>
      <c r="D628" s="3083"/>
      <c r="E628" s="3084"/>
      <c r="F628" s="3053"/>
      <c r="G628" s="3054"/>
      <c r="H628" s="3054"/>
      <c r="I628" s="3054"/>
      <c r="J628" s="3054"/>
      <c r="K628" s="3053"/>
      <c r="L628" s="3054"/>
      <c r="M628" s="3054"/>
      <c r="N628" s="3054"/>
      <c r="O628" s="3054"/>
      <c r="P628" s="3055"/>
      <c r="Q628" s="1952"/>
      <c r="S628" s="2899"/>
    </row>
    <row r="629" spans="2:19" ht="21.75" customHeight="1" x14ac:dyDescent="0.25">
      <c r="B629" s="2100"/>
      <c r="C629" s="693" t="s">
        <v>104</v>
      </c>
      <c r="D629" s="695"/>
      <c r="E629" s="8" t="s">
        <v>136</v>
      </c>
      <c r="F629" s="12" t="str">
        <f>IF(H629=1,"1- Très faible",IF(H629=2,"2- Faible",IF(H629=3,"3- Moyen",IF(H629=4,"4- Bon",IF(H629=5,"5- Excellent","")))))</f>
        <v/>
      </c>
      <c r="G629" s="13" t="str">
        <f>IF(SUM(G630:G631)=0,"",SUM(G630:G631))</f>
        <v/>
      </c>
      <c r="H629" s="15">
        <f>ROUNDDOWN(AVERAGE(G630:G631),0)</f>
        <v>0</v>
      </c>
      <c r="I629" s="16"/>
      <c r="J629" s="18"/>
      <c r="K629" s="12" t="str">
        <f>IF(M629=1,"1- Très faible",IF(M629=2,"2- Faible",IF(M629=3,"3- Moyen",IF(M629=4,"4- Bon",IF(M629=5,"5- Excellent","")))))</f>
        <v/>
      </c>
      <c r="L629" s="13" t="str">
        <f>IF(SUM(L630:L631)=0,"",SUM(L630:L631))</f>
        <v/>
      </c>
      <c r="M629" s="15">
        <f>ROUNDDOWN(AVERAGE(L630:L631),0)</f>
        <v>0</v>
      </c>
      <c r="N629" s="16"/>
      <c r="O629" s="3073"/>
      <c r="P629" s="3074"/>
      <c r="Q629" s="1952"/>
      <c r="S629" s="2899"/>
    </row>
    <row r="630" spans="2:19" ht="18" customHeight="1" x14ac:dyDescent="0.25">
      <c r="B630" s="2058" t="str">
        <f>IF(OR(ISBLANK(F630),ISBLANK(K630))=FALSE,"","u")</f>
        <v>u</v>
      </c>
      <c r="C630" s="3063" t="s">
        <v>105</v>
      </c>
      <c r="D630" s="3064"/>
      <c r="E630" s="3065"/>
      <c r="F630" s="688"/>
      <c r="G630" s="14">
        <f>IF(F630=$E$587,1,IF(F630=$E$588,2,IF(F630=$E$589,3,IF(F630=$E$590,4,IF(F630=$E$591,5,0)))))</f>
        <v>0</v>
      </c>
      <c r="H630" s="687"/>
      <c r="I630" s="3051"/>
      <c r="J630" s="3052"/>
      <c r="K630" s="688"/>
      <c r="L630" s="14">
        <f>IF(K630=$E$587,1,IF(K630=$E$588,2,IF(K630=$E$589,3,IF(K630=$E$590,4,IF(K630=$E$591,5,0)))))</f>
        <v>0</v>
      </c>
      <c r="M630" s="687"/>
      <c r="N630" s="3051"/>
      <c r="O630" s="3070"/>
      <c r="P630" s="3052"/>
      <c r="Q630" s="1952"/>
      <c r="S630" s="2899"/>
    </row>
    <row r="631" spans="2:19" ht="18" customHeight="1" x14ac:dyDescent="0.25">
      <c r="B631" s="2058" t="str">
        <f>IF(OR(ISBLANK(F631),ISBLANK(K631))=FALSE,"","u")</f>
        <v>u</v>
      </c>
      <c r="C631" s="3063" t="s">
        <v>1535</v>
      </c>
      <c r="D631" s="3064"/>
      <c r="E631" s="3065"/>
      <c r="F631" s="688"/>
      <c r="G631" s="14">
        <f>IF(F631=$E$587,1,IF(F631=$E$588,2,IF(F631=$E$589,3,IF(F631=$E$590,4,IF(F631=$E$591,5,0)))))</f>
        <v>0</v>
      </c>
      <c r="H631" s="687"/>
      <c r="I631" s="3051"/>
      <c r="J631" s="3052"/>
      <c r="K631" s="688"/>
      <c r="L631" s="14">
        <f>IF(K631=$E$587,1,IF(K631=$E$588,2,IF(K631=$E$589,3,IF(K631=$E$590,4,IF(K631=$E$591,5,0)))))</f>
        <v>0</v>
      </c>
      <c r="M631" s="687"/>
      <c r="N631" s="3051"/>
      <c r="O631" s="3070"/>
      <c r="P631" s="3052"/>
      <c r="Q631" s="1952"/>
      <c r="S631" s="2899"/>
    </row>
    <row r="632" spans="2:19" ht="35.25" customHeight="1" x14ac:dyDescent="0.25">
      <c r="B632" s="2058"/>
      <c r="C632" s="3082" t="s">
        <v>1873</v>
      </c>
      <c r="D632" s="3083"/>
      <c r="E632" s="3084"/>
      <c r="F632" s="3053"/>
      <c r="G632" s="3054"/>
      <c r="H632" s="3054"/>
      <c r="I632" s="3054"/>
      <c r="J632" s="3054"/>
      <c r="K632" s="3053"/>
      <c r="L632" s="3054"/>
      <c r="M632" s="3054"/>
      <c r="N632" s="3054"/>
      <c r="O632" s="3054"/>
      <c r="P632" s="3055"/>
      <c r="Q632" s="1952"/>
      <c r="S632" s="2899"/>
    </row>
    <row r="633" spans="2:19" ht="21.75" customHeight="1" x14ac:dyDescent="0.25">
      <c r="B633" s="2100"/>
      <c r="C633" s="694" t="s">
        <v>106</v>
      </c>
      <c r="D633" s="334"/>
      <c r="E633" s="8" t="s">
        <v>138</v>
      </c>
      <c r="F633" s="12" t="str">
        <f>IF(H633=1,"1- Très faible",IF(H633=2,"2- Faible",IF(H633=3,"3- Moyen",IF(H633=4,"4- Bon",IF(H633=5,"5- Excellent","")))))</f>
        <v/>
      </c>
      <c r="G633" s="13" t="str">
        <f>IF(SUM(G634:G636)=0,"",SUM(G634:G636))</f>
        <v/>
      </c>
      <c r="H633" s="15">
        <f>ROUNDDOWN(AVERAGE(G634:G636),0)</f>
        <v>0</v>
      </c>
      <c r="I633" s="16"/>
      <c r="J633" s="18"/>
      <c r="K633" s="12" t="str">
        <f>IF(M633=1,"1- Très faible",IF(M633=2,"2- Faible",IF(M633=3,"3- Moyen",IF(M633=4,"4- Bon",IF(M633=5,"5- Excellent","")))))</f>
        <v/>
      </c>
      <c r="L633" s="13" t="str">
        <f>IF(SUM(L634:L636)=0,"",SUM(L634:L636))</f>
        <v/>
      </c>
      <c r="M633" s="15">
        <f>ROUNDDOWN(AVERAGE(L634:L636),0)</f>
        <v>0</v>
      </c>
      <c r="N633" s="16"/>
      <c r="O633" s="3073"/>
      <c r="P633" s="3074"/>
      <c r="Q633" s="1952"/>
      <c r="S633" s="2899"/>
    </row>
    <row r="634" spans="2:19" ht="18" customHeight="1" x14ac:dyDescent="0.25">
      <c r="B634" s="2058" t="str">
        <f>IF(OR(ISBLANK(F634),ISBLANK(K634))=FALSE,"","u")</f>
        <v>u</v>
      </c>
      <c r="C634" s="3063" t="s">
        <v>107</v>
      </c>
      <c r="D634" s="3064"/>
      <c r="E634" s="3065"/>
      <c r="F634" s="688"/>
      <c r="G634" s="14">
        <f>IF(F634=$E$587,1,IF(F634=$E$588,2,IF(F634=$E$589,3,IF(F634=$E$590,4,IF(F634=$E$591,5,0)))))</f>
        <v>0</v>
      </c>
      <c r="H634" s="687"/>
      <c r="I634" s="3051"/>
      <c r="J634" s="3052"/>
      <c r="K634" s="688"/>
      <c r="L634" s="14">
        <f>IF(K634=$E$587,1,IF(K634=$E$588,2,IF(K634=$E$589,3,IF(K634=$E$590,4,IF(K634=$E$591,5,0)))))</f>
        <v>0</v>
      </c>
      <c r="M634" s="687"/>
      <c r="N634" s="3051"/>
      <c r="O634" s="3070"/>
      <c r="P634" s="3052"/>
      <c r="Q634" s="1952"/>
      <c r="S634" s="2899"/>
    </row>
    <row r="635" spans="2:19" ht="18" customHeight="1" x14ac:dyDescent="0.25">
      <c r="B635" s="2058" t="str">
        <f>IF(OR(ISBLANK(F635),ISBLANK(K635))=FALSE,"","u")</f>
        <v>u</v>
      </c>
      <c r="C635" s="3063" t="s">
        <v>108</v>
      </c>
      <c r="D635" s="3064"/>
      <c r="E635" s="3065"/>
      <c r="F635" s="688"/>
      <c r="G635" s="14">
        <f>IF(F635=$E$587,1,IF(F635=$E$588,2,IF(F635=$E$589,3,IF(F635=$E$590,4,IF(F635=$E$591,5,0)))))</f>
        <v>0</v>
      </c>
      <c r="H635" s="687"/>
      <c r="I635" s="3051"/>
      <c r="J635" s="3052"/>
      <c r="K635" s="688"/>
      <c r="L635" s="14">
        <f>IF(K635=$E$587,1,IF(K635=$E$588,2,IF(K635=$E$589,3,IF(K635=$E$590,4,IF(K635=$E$591,5,0)))))</f>
        <v>0</v>
      </c>
      <c r="M635" s="687"/>
      <c r="N635" s="3051"/>
      <c r="O635" s="3070"/>
      <c r="P635" s="3052"/>
      <c r="Q635" s="1952"/>
      <c r="S635" s="2899"/>
    </row>
    <row r="636" spans="2:19" ht="18" customHeight="1" x14ac:dyDescent="0.25">
      <c r="B636" s="2058" t="str">
        <f>IF(OR(ISBLANK(F636),ISBLANK(K636))=FALSE,"","u")</f>
        <v>u</v>
      </c>
      <c r="C636" s="3063" t="s">
        <v>109</v>
      </c>
      <c r="D636" s="3064"/>
      <c r="E636" s="3065"/>
      <c r="F636" s="688"/>
      <c r="G636" s="530">
        <f>IF(F636=$E$587,1,IF(F636=$E$588,2,IF(F636=$E$589,3,IF(F636=$E$590,4,IF(F636=$E$591,5,0)))))</f>
        <v>0</v>
      </c>
      <c r="H636" s="687"/>
      <c r="I636" s="3051"/>
      <c r="J636" s="3052"/>
      <c r="K636" s="688"/>
      <c r="L636" s="530">
        <f>IF(K636=$E$587,1,IF(K636=$E$588,2,IF(K636=$E$589,3,IF(K636=$E$590,4,IF(K636=$E$591,5,0)))))</f>
        <v>0</v>
      </c>
      <c r="M636" s="687"/>
      <c r="N636" s="3051"/>
      <c r="O636" s="3070"/>
      <c r="P636" s="3052"/>
      <c r="Q636" s="1952"/>
      <c r="S636" s="2899"/>
    </row>
    <row r="637" spans="2:19" ht="35.25" customHeight="1" x14ac:dyDescent="0.25">
      <c r="B637" s="2058"/>
      <c r="C637" s="3082" t="s">
        <v>1873</v>
      </c>
      <c r="D637" s="3083"/>
      <c r="E637" s="3084"/>
      <c r="F637" s="3053"/>
      <c r="G637" s="3054"/>
      <c r="H637" s="3054"/>
      <c r="I637" s="3054"/>
      <c r="J637" s="3054"/>
      <c r="K637" s="3053"/>
      <c r="L637" s="3054"/>
      <c r="M637" s="3054"/>
      <c r="N637" s="3054"/>
      <c r="O637" s="3054"/>
      <c r="P637" s="3055"/>
      <c r="Q637" s="1952"/>
      <c r="S637" s="2899"/>
    </row>
    <row r="638" spans="2:19" ht="22.5" customHeight="1" x14ac:dyDescent="0.25">
      <c r="B638" s="1960"/>
      <c r="C638" s="668"/>
      <c r="D638" s="350"/>
      <c r="E638" s="9" t="s">
        <v>150</v>
      </c>
      <c r="F638" s="19" t="str">
        <f>IF(H638=1,"1- Très faible",IF(H638=2,"2- Faible",IF(H638=3,"3- Moyen",IF(H638=4,"4- Bon",IF(H638=5,"5- Excellent","")))))</f>
        <v/>
      </c>
      <c r="G638" s="417" t="str">
        <f>IF(ISERR(G612+G616+G620+G624+G629+G633)=TRUE,"",IF((G604=""),((G612+G616+G620+G624+G629+G633)/70*100),(G604+G612+G616+G620+G624+G629+G633)))</f>
        <v/>
      </c>
      <c r="H638" s="641">
        <f>ROUNDDOWN(AVERAGE(H604,H612,H616,H620,H624,H629,H633),0)</f>
        <v>0</v>
      </c>
      <c r="I638" s="17"/>
      <c r="J638" s="17"/>
      <c r="K638" s="19" t="str">
        <f>IF(M638=1,"1- Très faible",IF(M638=2,"2- Faible",IF(M638=3,"3- Moyen",IF(M638=4,"4- Bon",IF(M638=5,"5- Excellent","")))))</f>
        <v/>
      </c>
      <c r="L638" s="417" t="str">
        <f>IF(ISERR(L612+L616+L620+L624+L629+L633)=TRUE,"",IF((L604=""),((L612+L616+L620+L624+L629+L633)/70*100),(L604+L612+L616+L620+L624+L629+L633)))</f>
        <v/>
      </c>
      <c r="M638" s="641">
        <f>ROUNDDOWN(AVERAGE(M604,M612,M616,M620,M624,M629,M633),0)</f>
        <v>0</v>
      </c>
      <c r="N638" s="17"/>
      <c r="O638" s="3078"/>
      <c r="P638" s="3079"/>
      <c r="Q638" s="1952"/>
      <c r="S638" s="2899"/>
    </row>
    <row r="639" spans="2:19" ht="27.75" customHeight="1" x14ac:dyDescent="0.25">
      <c r="B639" s="1960"/>
      <c r="C639" s="1951"/>
      <c r="D639" s="2068"/>
      <c r="E639" s="2068"/>
      <c r="F639" s="2068"/>
      <c r="G639" s="2068"/>
      <c r="H639" s="2068"/>
      <c r="I639" s="2072"/>
      <c r="J639" s="2070"/>
      <c r="K639" s="2070"/>
      <c r="L639" s="2070"/>
      <c r="M639" s="2070"/>
      <c r="N639" s="2070"/>
      <c r="O639" s="2070"/>
      <c r="P639" s="2070"/>
      <c r="Q639" s="1952"/>
      <c r="S639" s="2899"/>
    </row>
    <row r="640" spans="2:19" ht="18" customHeight="1" x14ac:dyDescent="0.25">
      <c r="B640" s="1960"/>
      <c r="C640" s="2071" t="s">
        <v>1573</v>
      </c>
      <c r="D640" s="2068"/>
      <c r="E640" s="2068"/>
      <c r="F640" s="2068"/>
      <c r="G640" s="1949"/>
      <c r="H640" s="3391" t="s">
        <v>1524</v>
      </c>
      <c r="I640" s="3391"/>
      <c r="J640" s="1949"/>
      <c r="K640" s="1949"/>
      <c r="L640" s="2070"/>
      <c r="M640" s="2070"/>
      <c r="N640" s="2070"/>
      <c r="O640" s="2070"/>
      <c r="P640" s="2070"/>
      <c r="Q640" s="1952"/>
      <c r="S640" s="2899"/>
    </row>
    <row r="641" spans="1:19" ht="21.75" customHeight="1" thickBot="1" x14ac:dyDescent="0.3">
      <c r="B641" s="1994"/>
      <c r="C641" s="1996"/>
      <c r="D641" s="1996"/>
      <c r="E641" s="1996"/>
      <c r="F641" s="1997"/>
      <c r="G641" s="1997"/>
      <c r="H641" s="1997"/>
      <c r="I641" s="1997"/>
      <c r="J641" s="1997"/>
      <c r="K641" s="1997"/>
      <c r="L641" s="1997"/>
      <c r="M641" s="1997"/>
      <c r="N641" s="1997"/>
      <c r="O641" s="1997"/>
      <c r="P641" s="1997"/>
      <c r="Q641" s="1998"/>
      <c r="S641" s="2904"/>
    </row>
    <row r="642" spans="1:19" ht="14.25" customHeight="1" thickBot="1" x14ac:dyDescent="0.3">
      <c r="B642" s="503"/>
      <c r="C642" s="503"/>
      <c r="D642" s="503"/>
      <c r="E642" s="503"/>
      <c r="F642" s="504"/>
      <c r="G642" s="504"/>
      <c r="H642" s="504"/>
      <c r="I642" s="504"/>
      <c r="J642" s="504"/>
      <c r="K642" s="504"/>
      <c r="L642" s="504"/>
      <c r="M642" s="504"/>
      <c r="N642" s="504"/>
      <c r="O642" s="504"/>
      <c r="P642" s="504"/>
      <c r="Q642" s="504"/>
      <c r="S642" s="627"/>
    </row>
    <row r="643" spans="1:19" ht="22.5" customHeight="1" thickBot="1" x14ac:dyDescent="0.3">
      <c r="A643" s="1225"/>
      <c r="B643" s="1908" t="s">
        <v>1451</v>
      </c>
      <c r="C643" s="1908"/>
      <c r="D643" s="1908"/>
      <c r="E643" s="1908"/>
      <c r="F643" s="1908"/>
      <c r="G643" s="1908"/>
      <c r="H643" s="1908"/>
      <c r="I643" s="1908"/>
      <c r="J643" s="1908"/>
      <c r="K643" s="1908"/>
      <c r="L643" s="1913"/>
      <c r="M643" s="1913"/>
      <c r="N643" s="1913"/>
      <c r="O643" s="3398" t="s">
        <v>1641</v>
      </c>
      <c r="P643" s="3398"/>
      <c r="Q643" s="3398"/>
      <c r="S643" s="628" t="s">
        <v>1537</v>
      </c>
    </row>
    <row r="644" spans="1:19" ht="9.75" customHeight="1" thickBot="1" x14ac:dyDescent="0.3">
      <c r="S644" s="629"/>
    </row>
    <row r="645" spans="1:19" ht="8.25" customHeight="1" x14ac:dyDescent="0.25">
      <c r="B645" s="1989"/>
      <c r="C645" s="1990"/>
      <c r="D645" s="1990"/>
      <c r="E645" s="1991"/>
      <c r="F645" s="1992"/>
      <c r="G645" s="1992"/>
      <c r="H645" s="1992"/>
      <c r="I645" s="1992"/>
      <c r="J645" s="1992"/>
      <c r="K645" s="1992"/>
      <c r="L645" s="1992"/>
      <c r="M645" s="1992"/>
      <c r="N645" s="1992"/>
      <c r="O645" s="1992"/>
      <c r="P645" s="1992"/>
      <c r="Q645" s="1993"/>
      <c r="S645" s="2900"/>
    </row>
    <row r="646" spans="1:19" ht="18" customHeight="1" x14ac:dyDescent="0.25">
      <c r="B646" s="1994"/>
      <c r="C646" s="1995" t="s">
        <v>1595</v>
      </c>
      <c r="D646" s="1995"/>
      <c r="E646" s="1996"/>
      <c r="F646" s="1997"/>
      <c r="G646" s="1997"/>
      <c r="H646" s="1997"/>
      <c r="I646" s="1997"/>
      <c r="J646" s="1997"/>
      <c r="K646" s="1997"/>
      <c r="L646" s="1997"/>
      <c r="M646" s="1997"/>
      <c r="N646" s="2052" t="s">
        <v>59</v>
      </c>
      <c r="O646" s="359" t="str">
        <f>IF((COUNTBLANK(B668:B700)=ROWS(B668:B700)),"Complété","À compléter")</f>
        <v>À compléter</v>
      </c>
      <c r="P646" s="1997"/>
      <c r="Q646" s="1998"/>
      <c r="S646" s="2899"/>
    </row>
    <row r="647" spans="1:19" ht="6.75" customHeight="1" x14ac:dyDescent="0.25">
      <c r="B647" s="1994"/>
      <c r="C647" s="1996"/>
      <c r="D647" s="1996"/>
      <c r="E647" s="1996"/>
      <c r="F647" s="1997"/>
      <c r="G647" s="1997"/>
      <c r="H647" s="1997"/>
      <c r="I647" s="1997"/>
      <c r="J647" s="1997"/>
      <c r="K647" s="1997"/>
      <c r="L647" s="1997"/>
      <c r="M647" s="1997"/>
      <c r="N647" s="1997"/>
      <c r="O647" s="1997"/>
      <c r="P647" s="1997"/>
      <c r="Q647" s="1998"/>
      <c r="S647" s="2899"/>
    </row>
    <row r="648" spans="1:19" ht="17.25" customHeight="1" x14ac:dyDescent="0.25">
      <c r="B648" s="2053"/>
      <c r="C648" s="3392" t="s">
        <v>1590</v>
      </c>
      <c r="D648" s="3392"/>
      <c r="E648" s="3392"/>
      <c r="F648" s="3392"/>
      <c r="G648" s="3392"/>
      <c r="H648" s="3392"/>
      <c r="I648" s="3392"/>
      <c r="J648" s="3392"/>
      <c r="K648" s="3392"/>
      <c r="L648" s="3392"/>
      <c r="M648" s="3392"/>
      <c r="N648" s="1949"/>
      <c r="O648" s="1949"/>
      <c r="P648" s="1949"/>
      <c r="Q648" s="2057"/>
      <c r="S648" s="2899"/>
    </row>
    <row r="649" spans="1:19" ht="15" customHeight="1" x14ac:dyDescent="0.25">
      <c r="B649" s="2053"/>
      <c r="C649" s="2054"/>
      <c r="D649" s="2054"/>
      <c r="E649" s="2054"/>
      <c r="F649" s="1949"/>
      <c r="G649" s="1949"/>
      <c r="H649" s="1949"/>
      <c r="I649" s="1949"/>
      <c r="J649" s="1949"/>
      <c r="K649" s="1949"/>
      <c r="L649" s="1949"/>
      <c r="M649" s="1949"/>
      <c r="N649" s="1949"/>
      <c r="O649" s="1949"/>
      <c r="P649" s="1949"/>
      <c r="Q649" s="2057"/>
      <c r="S649" s="2899"/>
    </row>
    <row r="650" spans="1:19" ht="22.5" customHeight="1" x14ac:dyDescent="0.25">
      <c r="B650" s="1960"/>
      <c r="C650" s="2055" t="s">
        <v>1778</v>
      </c>
      <c r="D650" s="2000"/>
      <c r="E650" s="1951"/>
      <c r="F650" s="1951"/>
      <c r="G650" s="1951"/>
      <c r="H650" s="1951"/>
      <c r="I650" s="1951"/>
      <c r="J650" s="1951"/>
      <c r="K650" s="1951"/>
      <c r="L650" s="1951"/>
      <c r="M650" s="1951"/>
      <c r="N650" s="1951"/>
      <c r="O650" s="1951"/>
      <c r="P650" s="1951"/>
      <c r="Q650" s="1952"/>
      <c r="S650" s="2899"/>
    </row>
    <row r="651" spans="1:19" ht="9" customHeight="1" x14ac:dyDescent="0.25">
      <c r="B651" s="1960"/>
      <c r="C651" s="2000"/>
      <c r="D651" s="2000"/>
      <c r="E651" s="1951"/>
      <c r="F651" s="1951"/>
      <c r="G651" s="1951"/>
      <c r="H651" s="1951"/>
      <c r="I651" s="1951"/>
      <c r="J651" s="1951"/>
      <c r="K651" s="1951"/>
      <c r="L651" s="1951"/>
      <c r="M651" s="1951"/>
      <c r="N651" s="1951"/>
      <c r="O651" s="1951"/>
      <c r="P651" s="1951"/>
      <c r="Q651" s="1952"/>
      <c r="S651" s="2899"/>
    </row>
    <row r="652" spans="1:19" ht="9" customHeight="1" x14ac:dyDescent="0.25">
      <c r="B652" s="1960"/>
      <c r="C652" s="264"/>
      <c r="D652" s="265"/>
      <c r="E652" s="266"/>
      <c r="F652" s="266"/>
      <c r="G652" s="266"/>
      <c r="H652" s="266"/>
      <c r="I652" s="266"/>
      <c r="J652" s="266"/>
      <c r="K652" s="266"/>
      <c r="L652" s="266"/>
      <c r="M652" s="266"/>
      <c r="N652" s="266"/>
      <c r="O652" s="266"/>
      <c r="P652" s="267"/>
      <c r="Q652" s="1952"/>
      <c r="S652" s="2899"/>
    </row>
    <row r="653" spans="1:19" ht="16.5" customHeight="1" x14ac:dyDescent="0.25">
      <c r="B653" s="1960"/>
      <c r="C653" s="3108" t="s">
        <v>1625</v>
      </c>
      <c r="D653" s="3109"/>
      <c r="E653" s="206" t="s">
        <v>16</v>
      </c>
      <c r="F653" s="351" t="s">
        <v>146</v>
      </c>
      <c r="G653" s="352"/>
      <c r="H653" s="353"/>
      <c r="I653" s="353"/>
      <c r="J653" s="353"/>
      <c r="K653" s="353"/>
      <c r="L653" s="353"/>
      <c r="M653" s="353"/>
      <c r="N653" s="353"/>
      <c r="O653" s="353"/>
      <c r="P653" s="272"/>
      <c r="Q653" s="1952"/>
      <c r="S653" s="2899"/>
    </row>
    <row r="654" spans="1:19" ht="16.5" customHeight="1" x14ac:dyDescent="0.25">
      <c r="B654" s="1960"/>
      <c r="C654" s="3096" t="s">
        <v>1562</v>
      </c>
      <c r="D654" s="3097"/>
      <c r="E654" s="203" t="s">
        <v>15</v>
      </c>
      <c r="F654" s="354" t="s">
        <v>147</v>
      </c>
      <c r="G654" s="355"/>
      <c r="H654" s="356"/>
      <c r="I654" s="356"/>
      <c r="J654" s="356"/>
      <c r="K654" s="356"/>
      <c r="L654" s="356"/>
      <c r="M654" s="356"/>
      <c r="N654" s="356"/>
      <c r="O654" s="356"/>
      <c r="P654" s="272"/>
      <c r="Q654" s="1952"/>
      <c r="S654" s="2899"/>
    </row>
    <row r="655" spans="1:19" ht="16.5" customHeight="1" x14ac:dyDescent="0.25">
      <c r="B655" s="1960"/>
      <c r="C655" s="308"/>
      <c r="D655" s="309"/>
      <c r="E655" s="199" t="s">
        <v>18</v>
      </c>
      <c r="F655" s="354" t="s">
        <v>148</v>
      </c>
      <c r="G655" s="355"/>
      <c r="H655" s="356"/>
      <c r="I655" s="356"/>
      <c r="J655" s="356"/>
      <c r="K655" s="356"/>
      <c r="L655" s="356"/>
      <c r="M655" s="356"/>
      <c r="N655" s="356"/>
      <c r="O655" s="356"/>
      <c r="P655" s="272"/>
      <c r="Q655" s="1952"/>
      <c r="S655" s="2899"/>
    </row>
    <row r="656" spans="1:19" ht="16.5" customHeight="1" x14ac:dyDescent="0.25">
      <c r="B656" s="1960"/>
      <c r="C656" s="308"/>
      <c r="D656" s="309"/>
      <c r="E656" s="196" t="s">
        <v>20</v>
      </c>
      <c r="F656" s="354" t="s">
        <v>1586</v>
      </c>
      <c r="G656" s="355"/>
      <c r="H656" s="356"/>
      <c r="I656" s="356"/>
      <c r="J656" s="356"/>
      <c r="K656" s="356"/>
      <c r="L656" s="356"/>
      <c r="M656" s="356"/>
      <c r="N656" s="356"/>
      <c r="O656" s="356"/>
      <c r="P656" s="272"/>
      <c r="Q656" s="1952"/>
      <c r="S656" s="2899"/>
    </row>
    <row r="657" spans="2:19" ht="16.5" customHeight="1" x14ac:dyDescent="0.25">
      <c r="B657" s="1960"/>
      <c r="C657" s="308"/>
      <c r="D657" s="309"/>
      <c r="E657" s="194" t="s">
        <v>22</v>
      </c>
      <c r="F657" s="354" t="s">
        <v>149</v>
      </c>
      <c r="G657" s="355"/>
      <c r="H657" s="356"/>
      <c r="I657" s="356"/>
      <c r="J657" s="356"/>
      <c r="K657" s="356"/>
      <c r="L657" s="356"/>
      <c r="M657" s="356"/>
      <c r="N657" s="356"/>
      <c r="O657" s="356"/>
      <c r="P657" s="272"/>
      <c r="Q657" s="1952"/>
      <c r="S657" s="2899"/>
    </row>
    <row r="658" spans="2:19" ht="9.75" customHeight="1" x14ac:dyDescent="0.25">
      <c r="B658" s="1960"/>
      <c r="C658" s="310"/>
      <c r="D658" s="311"/>
      <c r="E658" s="277"/>
      <c r="F658" s="345"/>
      <c r="G658" s="346"/>
      <c r="H658" s="277"/>
      <c r="I658" s="312"/>
      <c r="J658" s="312"/>
      <c r="K658" s="312"/>
      <c r="L658" s="312"/>
      <c r="M658" s="312"/>
      <c r="N658" s="312"/>
      <c r="O658" s="312"/>
      <c r="P658" s="313"/>
      <c r="Q658" s="1952"/>
      <c r="S658" s="2899"/>
    </row>
    <row r="659" spans="2:19" ht="18" customHeight="1" x14ac:dyDescent="0.25">
      <c r="B659" s="1960"/>
      <c r="C659" s="2000"/>
      <c r="D659" s="2000"/>
      <c r="E659" s="1951"/>
      <c r="F659" s="1951"/>
      <c r="G659" s="1951"/>
      <c r="H659" s="1951"/>
      <c r="I659" s="1951"/>
      <c r="J659" s="1951"/>
      <c r="K659" s="1951"/>
      <c r="L659" s="1951"/>
      <c r="M659" s="1951"/>
      <c r="N659" s="1951"/>
      <c r="O659" s="1951"/>
      <c r="P659" s="1951"/>
      <c r="Q659" s="1952"/>
      <c r="S659" s="2899"/>
    </row>
    <row r="660" spans="2:19" ht="16.5" customHeight="1" x14ac:dyDescent="0.25">
      <c r="B660" s="1960"/>
      <c r="C660" s="2055" t="s">
        <v>1632</v>
      </c>
      <c r="D660" s="2000"/>
      <c r="E660" s="1951"/>
      <c r="F660" s="1951"/>
      <c r="G660" s="1951"/>
      <c r="H660" s="1951"/>
      <c r="I660" s="1951"/>
      <c r="J660" s="1951"/>
      <c r="K660" s="1951"/>
      <c r="L660" s="1951"/>
      <c r="M660" s="1951"/>
      <c r="N660" s="1951"/>
      <c r="O660" s="1951"/>
      <c r="P660" s="1951"/>
      <c r="Q660" s="1952"/>
      <c r="S660" s="2899"/>
    </row>
    <row r="661" spans="2:19" ht="4.5" customHeight="1" x14ac:dyDescent="0.25">
      <c r="B661" s="1960"/>
      <c r="C661" s="2055"/>
      <c r="D661" s="2000"/>
      <c r="E661" s="1951"/>
      <c r="F661" s="1951"/>
      <c r="G661" s="1951"/>
      <c r="H661" s="1951"/>
      <c r="I661" s="1951"/>
      <c r="J661" s="1951"/>
      <c r="K661" s="1951"/>
      <c r="L661" s="1951"/>
      <c r="M661" s="1951"/>
      <c r="N661" s="1951"/>
      <c r="O661" s="1951"/>
      <c r="P661" s="1951"/>
      <c r="Q661" s="1952"/>
      <c r="S661" s="2899"/>
    </row>
    <row r="662" spans="2:19" ht="16.5" customHeight="1" x14ac:dyDescent="0.25">
      <c r="B662" s="1960"/>
      <c r="C662" s="2055" t="s">
        <v>1622</v>
      </c>
      <c r="D662" s="2000"/>
      <c r="E662" s="1951"/>
      <c r="F662" s="1951"/>
      <c r="G662" s="1951"/>
      <c r="H662" s="1951"/>
      <c r="I662" s="1951"/>
      <c r="J662" s="1951"/>
      <c r="K662" s="1951"/>
      <c r="L662" s="1949"/>
      <c r="M662" s="1951"/>
      <c r="N662" s="1949"/>
      <c r="O662" s="1951"/>
      <c r="P662" s="1951"/>
      <c r="Q662" s="1952"/>
      <c r="S662" s="2899"/>
    </row>
    <row r="663" spans="2:19" ht="19.5" customHeight="1" x14ac:dyDescent="0.25">
      <c r="B663" s="1960"/>
      <c r="C663" s="2056" t="s">
        <v>1623</v>
      </c>
      <c r="D663" s="2000"/>
      <c r="E663" s="1951"/>
      <c r="F663" s="1951"/>
      <c r="G663" s="1951"/>
      <c r="H663" s="1951"/>
      <c r="I663" s="1951"/>
      <c r="J663" s="1951"/>
      <c r="K663" s="1951"/>
      <c r="L663" s="1951"/>
      <c r="M663" s="1951"/>
      <c r="N663" s="1951"/>
      <c r="O663" s="1951"/>
      <c r="P663" s="1951"/>
      <c r="Q663" s="1952"/>
      <c r="S663" s="2899"/>
    </row>
    <row r="664" spans="2:19" ht="24" customHeight="1" x14ac:dyDescent="0.25">
      <c r="B664" s="1960"/>
      <c r="C664" s="2084" t="s">
        <v>1624</v>
      </c>
      <c r="D664" s="2000"/>
      <c r="E664" s="1951"/>
      <c r="F664" s="1951"/>
      <c r="G664" s="1951"/>
      <c r="H664" s="1951"/>
      <c r="I664" s="1951"/>
      <c r="J664" s="1951"/>
      <c r="K664" s="1951"/>
      <c r="L664" s="1951"/>
      <c r="M664" s="1951"/>
      <c r="N664" s="1951"/>
      <c r="O664" s="1951"/>
      <c r="P664" s="1951"/>
      <c r="Q664" s="1952"/>
      <c r="S664" s="2899"/>
    </row>
    <row r="665" spans="2:19" ht="17.25" customHeight="1" x14ac:dyDescent="0.25">
      <c r="B665" s="1960"/>
      <c r="C665" s="2000"/>
      <c r="D665" s="2000"/>
      <c r="E665" s="1951"/>
      <c r="F665" s="1951"/>
      <c r="G665" s="1951"/>
      <c r="H665" s="1951"/>
      <c r="I665" s="1951"/>
      <c r="J665" s="1951"/>
      <c r="K665" s="1951"/>
      <c r="L665" s="1951"/>
      <c r="M665" s="1951"/>
      <c r="N665" s="1951"/>
      <c r="O665" s="1951"/>
      <c r="P665" s="1951"/>
      <c r="Q665" s="1952"/>
      <c r="S665" s="2899"/>
    </row>
    <row r="666" spans="2:19" ht="22.5" customHeight="1" x14ac:dyDescent="0.25">
      <c r="B666" s="1960"/>
      <c r="C666" s="1949"/>
      <c r="D666" s="1949"/>
      <c r="E666" s="1949"/>
      <c r="F666" s="3080" t="s">
        <v>2057</v>
      </c>
      <c r="G666" s="3081"/>
      <c r="H666" s="3081"/>
      <c r="I666" s="3081"/>
      <c r="J666" s="3081"/>
      <c r="K666" s="3080" t="s">
        <v>2058</v>
      </c>
      <c r="L666" s="3081"/>
      <c r="M666" s="3081"/>
      <c r="N666" s="3081"/>
      <c r="O666" s="3081"/>
      <c r="P666" s="317"/>
      <c r="Q666" s="1952"/>
      <c r="S666" s="2899"/>
    </row>
    <row r="667" spans="2:19" ht="3" customHeight="1" x14ac:dyDescent="0.25">
      <c r="B667" s="1960"/>
      <c r="C667" s="1951"/>
      <c r="D667" s="1951"/>
      <c r="E667" s="1951"/>
      <c r="F667" s="1951"/>
      <c r="G667" s="1951"/>
      <c r="H667" s="1951"/>
      <c r="I667" s="1951"/>
      <c r="J667" s="1951"/>
      <c r="K667" s="1951"/>
      <c r="L667" s="1951"/>
      <c r="M667" s="1951"/>
      <c r="N667" s="1951"/>
      <c r="O667" s="1951"/>
      <c r="P667" s="1951"/>
      <c r="Q667" s="1952"/>
      <c r="S667" s="2899"/>
    </row>
    <row r="668" spans="2:19" ht="23.25" customHeight="1" x14ac:dyDescent="0.25">
      <c r="B668" s="1960"/>
      <c r="C668" s="3102" t="s">
        <v>90</v>
      </c>
      <c r="D668" s="3103"/>
      <c r="E668" s="3104"/>
      <c r="F668" s="3075" t="s">
        <v>1872</v>
      </c>
      <c r="G668" s="3076"/>
      <c r="H668" s="3077" t="s">
        <v>151</v>
      </c>
      <c r="I668" s="3077"/>
      <c r="J668" s="3077"/>
      <c r="K668" s="3075" t="s">
        <v>1872</v>
      </c>
      <c r="L668" s="3076"/>
      <c r="M668" s="3077" t="s">
        <v>151</v>
      </c>
      <c r="N668" s="3077"/>
      <c r="O668" s="3077"/>
      <c r="P668" s="348"/>
      <c r="Q668" s="1952"/>
      <c r="S668" s="2899"/>
    </row>
    <row r="669" spans="2:19" ht="29.25" customHeight="1" x14ac:dyDescent="0.25">
      <c r="B669" s="1960"/>
      <c r="C669" s="3105"/>
      <c r="D669" s="3106"/>
      <c r="E669" s="3107"/>
      <c r="F669" s="479" t="s">
        <v>300</v>
      </c>
      <c r="G669" s="349" t="s">
        <v>122</v>
      </c>
      <c r="H669" s="471" t="s">
        <v>299</v>
      </c>
      <c r="I669" s="3066" t="s">
        <v>301</v>
      </c>
      <c r="J669" s="3067"/>
      <c r="K669" s="479" t="s">
        <v>300</v>
      </c>
      <c r="L669" s="349" t="s">
        <v>122</v>
      </c>
      <c r="M669" s="471" t="s">
        <v>299</v>
      </c>
      <c r="N669" s="3066" t="s">
        <v>301</v>
      </c>
      <c r="O669" s="3110"/>
      <c r="P669" s="3067"/>
      <c r="Q669" s="1952"/>
      <c r="S669" s="2899"/>
    </row>
    <row r="670" spans="2:19" ht="21.75" customHeight="1" x14ac:dyDescent="0.25">
      <c r="B670" s="2100"/>
      <c r="C670" s="693" t="s">
        <v>91</v>
      </c>
      <c r="D670" s="598"/>
      <c r="E670" s="8" t="s">
        <v>1558</v>
      </c>
      <c r="F670" s="12" t="str">
        <f>IF(H670=1,"1- Débutant",IF(H670=2,"2- Élémentaire",IF(H670=3,"3- Intermédiaire",IF(H670=4,"4- Avancé",IF(H670=5,"5- Expert","")))))</f>
        <v/>
      </c>
      <c r="G670" s="13" t="str">
        <f>IF(OR(SUM(G671:G672)=0,H670=0),"",((SUM(G671:G672)/(2-I670)*2)*2))</f>
        <v/>
      </c>
      <c r="H670" s="536">
        <f>IF(I670=2,0,IF(I670=0,ROUNDDOWN(AVERAGE(G671:G672),0),ROUNDDOWN((SUM(G671:G672)/(2-I670)),0)))</f>
        <v>0</v>
      </c>
      <c r="I670" s="731">
        <f>COUNTIF(F671:F672,"Ne s'applique pas")</f>
        <v>0</v>
      </c>
      <c r="J670" s="18"/>
      <c r="K670" s="12" t="str">
        <f>IF(M670=1,"1- Débutant",IF(M670=2,"2- Élémentaire",IF(M670=3,"3- Intermédiaire",IF(M670=4,"4- Avancé",IF(M670=5,"5- Expert","")))))</f>
        <v/>
      </c>
      <c r="L670" s="13" t="str">
        <f>IF(OR(SUM(L671:L672)=0,M670=0),"",((SUM(L671:L672)/(2-N670)*2)*2))</f>
        <v/>
      </c>
      <c r="M670" s="536">
        <f>IF(N670=2,0,IF(N670=0,ROUNDDOWN(AVERAGE(L671:L672),0),ROUNDDOWN((SUM(L671:L672)/(2-N670)),0)))</f>
        <v>0</v>
      </c>
      <c r="N670" s="731">
        <f>COUNTIF(K671:K672,"Ne s'applique pas")</f>
        <v>0</v>
      </c>
      <c r="O670" s="3073"/>
      <c r="P670" s="3074"/>
      <c r="Q670" s="1952"/>
      <c r="S670" s="2899"/>
    </row>
    <row r="671" spans="2:19" ht="18" customHeight="1" x14ac:dyDescent="0.25">
      <c r="B671" s="2058" t="str">
        <f>IF(OR(ISBLANK(F671),ISBLANK(K671))=FALSE,"","u")</f>
        <v>u</v>
      </c>
      <c r="C671" s="3063" t="s">
        <v>110</v>
      </c>
      <c r="D671" s="3064"/>
      <c r="E671" s="3065"/>
      <c r="F671" s="688"/>
      <c r="G671" s="14">
        <f>IF(F671=$E$653,1,IF(F671=$E$654,2,IF(F671=$E$655,3,IF(F671=$E$656,4,IF(F671=$E$657,5,0)))))</f>
        <v>0</v>
      </c>
      <c r="H671" s="687"/>
      <c r="I671" s="3051"/>
      <c r="J671" s="3052"/>
      <c r="K671" s="688"/>
      <c r="L671" s="14">
        <f>IF(K671=$E$653,1,IF(K671=$E$654,2,IF(K671=$E$655,3,IF(K671=$E$656,4,IF(K671=$E$657,5,0)))))</f>
        <v>0</v>
      </c>
      <c r="M671" s="687"/>
      <c r="N671" s="3051"/>
      <c r="O671" s="3070"/>
      <c r="P671" s="3052"/>
      <c r="Q671" s="1952"/>
      <c r="S671" s="2899"/>
    </row>
    <row r="672" spans="2:19" ht="18" customHeight="1" x14ac:dyDescent="0.25">
      <c r="B672" s="2058" t="str">
        <f>IF(OR(ISBLANK(F672),ISBLANK(K672))=FALSE,"","u")</f>
        <v>u</v>
      </c>
      <c r="C672" s="3063" t="s">
        <v>111</v>
      </c>
      <c r="D672" s="3064"/>
      <c r="E672" s="3065"/>
      <c r="F672" s="688"/>
      <c r="G672" s="530">
        <f>IF(F672=$E$653,1,IF(F672=$E$654,2,IF(F672=$E$655,3,IF(F672=$E$656,4,IF(F672=$E$657,5,0)))))</f>
        <v>0</v>
      </c>
      <c r="H672" s="687"/>
      <c r="I672" s="3051"/>
      <c r="J672" s="3052"/>
      <c r="K672" s="688"/>
      <c r="L672" s="530">
        <f>IF(K672=$E$653,1,IF(K672=$E$654,2,IF(K672=$E$655,3,IF(K672=$E$656,4,IF(K672=$E$657,5,0)))))</f>
        <v>0</v>
      </c>
      <c r="M672" s="687"/>
      <c r="N672" s="3051"/>
      <c r="O672" s="3070"/>
      <c r="P672" s="3052"/>
      <c r="Q672" s="1952"/>
      <c r="S672" s="2899"/>
    </row>
    <row r="673" spans="2:19" ht="35.25" customHeight="1" x14ac:dyDescent="0.25">
      <c r="B673" s="2058"/>
      <c r="C673" s="3082" t="s">
        <v>1873</v>
      </c>
      <c r="D673" s="3083"/>
      <c r="E673" s="3084"/>
      <c r="F673" s="3053"/>
      <c r="G673" s="3054"/>
      <c r="H673" s="3054"/>
      <c r="I673" s="3054"/>
      <c r="J673" s="3054"/>
      <c r="K673" s="3053"/>
      <c r="L673" s="3054"/>
      <c r="M673" s="3054"/>
      <c r="N673" s="3054"/>
      <c r="O673" s="3054"/>
      <c r="P673" s="3055"/>
      <c r="Q673" s="1952"/>
      <c r="S673" s="2899"/>
    </row>
    <row r="674" spans="2:19" ht="21.75" customHeight="1" x14ac:dyDescent="0.25">
      <c r="B674" s="2100"/>
      <c r="C674" s="693" t="s">
        <v>98</v>
      </c>
      <c r="D674" s="334"/>
      <c r="E674" s="8" t="s">
        <v>1558</v>
      </c>
      <c r="F674" s="12" t="str">
        <f>IF(H674=1,"1- Débutant",IF(H674=2,"2- Élémentaire",IF(H674=3,"3- Intermédiaire",IF(H674=4,"4- Avancé",IF(H674=5,"5- Expert","")))))</f>
        <v/>
      </c>
      <c r="G674" s="13" t="str">
        <f>IF(SUM(G675:G676)=0,"",ROUNDDOWN(AVERAGE(G675:G676)/5*20,))</f>
        <v/>
      </c>
      <c r="H674" s="470">
        <f>ROUNDDOWN(AVERAGE(G675:G676),0)</f>
        <v>0</v>
      </c>
      <c r="I674" s="16"/>
      <c r="J674" s="18"/>
      <c r="K674" s="12" t="str">
        <f>IF(M674=1,"1- Débutant",IF(M674=2,"2- Élémentaire",IF(M674=3,"3- Intermédiaire",IF(M674=4,"4- Avancé",IF(M674=5,"5- Expert","")))))</f>
        <v/>
      </c>
      <c r="L674" s="13" t="str">
        <f>IF(SUM(L675:L676)=0,"",ROUNDDOWN(AVERAGE(L675:L676)/5*20,))</f>
        <v/>
      </c>
      <c r="M674" s="470">
        <f>ROUNDDOWN(AVERAGE(L675:L676),0)</f>
        <v>0</v>
      </c>
      <c r="N674" s="16"/>
      <c r="O674" s="3073"/>
      <c r="P674" s="3074"/>
      <c r="Q674" s="1952"/>
      <c r="S674" s="2899"/>
    </row>
    <row r="675" spans="2:19" ht="18" customHeight="1" x14ac:dyDescent="0.25">
      <c r="B675" s="2058" t="str">
        <f>IF(OR(ISBLANK(F675),ISBLANK(K675))=FALSE,"","u")</f>
        <v>u</v>
      </c>
      <c r="C675" s="3063" t="s">
        <v>1779</v>
      </c>
      <c r="D675" s="3064"/>
      <c r="E675" s="3065"/>
      <c r="F675" s="688"/>
      <c r="G675" s="14">
        <f>IF(F675=$E$653,1,IF(F675=$E$654,2,IF(F675=$E$655,3,IF(F675=$E$656,4,IF(F675=$E$657,5,0)))))</f>
        <v>0</v>
      </c>
      <c r="H675" s="687"/>
      <c r="I675" s="3051"/>
      <c r="J675" s="3052"/>
      <c r="K675" s="688"/>
      <c r="L675" s="14">
        <f>IF(K675=$E$653,1,IF(K675=$E$654,2,IF(K675=$E$655,3,IF(K675=$E$656,4,IF(K675=$E$657,5,0)))))</f>
        <v>0</v>
      </c>
      <c r="M675" s="687"/>
      <c r="N675" s="3051"/>
      <c r="O675" s="3070"/>
      <c r="P675" s="3052"/>
      <c r="Q675" s="1952"/>
      <c r="S675" s="2899"/>
    </row>
    <row r="676" spans="2:19" ht="18" customHeight="1" x14ac:dyDescent="0.25">
      <c r="B676" s="2058" t="str">
        <f>IF(OR(ISBLANK(F676),ISBLANK(K676))=FALSE,"","u")</f>
        <v>u</v>
      </c>
      <c r="C676" s="3063" t="s">
        <v>1780</v>
      </c>
      <c r="D676" s="3064"/>
      <c r="E676" s="3065"/>
      <c r="F676" s="688"/>
      <c r="G676" s="14">
        <f>IF(F676=$E$653,1,IF(F676=$E$654,2,IF(F676=$E$655,3,IF(F676=$E$656,4,IF(F676=$E$657,5,0)))))</f>
        <v>0</v>
      </c>
      <c r="H676" s="687"/>
      <c r="I676" s="3051"/>
      <c r="J676" s="3052"/>
      <c r="K676" s="688"/>
      <c r="L676" s="14">
        <f>IF(K676=$E$653,1,IF(K676=$E$654,2,IF(K676=$E$655,3,IF(K676=$E$656,4,IF(K676=$E$657,5,0)))))</f>
        <v>0</v>
      </c>
      <c r="M676" s="687"/>
      <c r="N676" s="3051"/>
      <c r="O676" s="3070"/>
      <c r="P676" s="3052"/>
      <c r="Q676" s="1952"/>
      <c r="S676" s="2899"/>
    </row>
    <row r="677" spans="2:19" ht="35.25" customHeight="1" x14ac:dyDescent="0.25">
      <c r="B677" s="2058"/>
      <c r="C677" s="3082" t="s">
        <v>1873</v>
      </c>
      <c r="D677" s="3083"/>
      <c r="E677" s="3084"/>
      <c r="F677" s="3053"/>
      <c r="G677" s="3054"/>
      <c r="H677" s="3054"/>
      <c r="I677" s="3054"/>
      <c r="J677" s="3054"/>
      <c r="K677" s="3053"/>
      <c r="L677" s="3054"/>
      <c r="M677" s="3054"/>
      <c r="N677" s="3054"/>
      <c r="O677" s="3054"/>
      <c r="P677" s="3055"/>
      <c r="Q677" s="1952"/>
      <c r="S677" s="2899"/>
    </row>
    <row r="678" spans="2:19" ht="21.75" customHeight="1" x14ac:dyDescent="0.25">
      <c r="B678" s="2100"/>
      <c r="C678" s="693" t="s">
        <v>34</v>
      </c>
      <c r="D678" s="334"/>
      <c r="E678" s="8" t="s">
        <v>136</v>
      </c>
      <c r="F678" s="12" t="str">
        <f>IF(H678=1,"1- Débutant",IF(H678=2,"2- Élémentaire",IF(H678=3,"3- Intermédiaire",IF(H678=4,"4- Avancé",IF(H678=5,"5- Expert","")))))</f>
        <v/>
      </c>
      <c r="G678" s="13" t="str">
        <f>IF(G679=0,"",G679*2)</f>
        <v/>
      </c>
      <c r="H678" s="470">
        <f>ROUNDDOWN(AVERAGE(G679),0)</f>
        <v>0</v>
      </c>
      <c r="I678" s="16"/>
      <c r="J678" s="18"/>
      <c r="K678" s="12" t="str">
        <f>IF(M678=1,"1- Débutant",IF(M678=2,"2- Élémentaire",IF(M678=3,"3- Intermédiaire",IF(M678=4,"4- Avancé",IF(M678=5,"5- Expert","")))))</f>
        <v/>
      </c>
      <c r="L678" s="13" t="str">
        <f>IF(L679=0,"",L679*2)</f>
        <v/>
      </c>
      <c r="M678" s="470">
        <f>ROUNDDOWN(AVERAGE(L679),0)</f>
        <v>0</v>
      </c>
      <c r="N678" s="16"/>
      <c r="O678" s="3073"/>
      <c r="P678" s="3074"/>
      <c r="Q678" s="1952"/>
      <c r="S678" s="2899"/>
    </row>
    <row r="679" spans="2:19" ht="18" customHeight="1" x14ac:dyDescent="0.25">
      <c r="B679" s="2058" t="str">
        <f>IF(OR(ISBLANK(F679),ISBLANK(K679))=FALSE,"","u")</f>
        <v>u</v>
      </c>
      <c r="C679" s="3063" t="s">
        <v>113</v>
      </c>
      <c r="D679" s="3064"/>
      <c r="E679" s="3065"/>
      <c r="F679" s="688"/>
      <c r="G679" s="530">
        <f>IF(F679=$E$653,1,IF(F679=$E$654,2,IF(F679=$E$655,3,IF(F679=$E$656,4,IF(F679=$E$657,5,0)))))</f>
        <v>0</v>
      </c>
      <c r="H679" s="687"/>
      <c r="I679" s="3051"/>
      <c r="J679" s="3052"/>
      <c r="K679" s="688"/>
      <c r="L679" s="530">
        <f>IF(K679=$E$653,1,IF(K679=$E$654,2,IF(K679=$E$655,3,IF(K679=$E$656,4,IF(K679=$E$657,5,0)))))</f>
        <v>0</v>
      </c>
      <c r="M679" s="687"/>
      <c r="N679" s="3051"/>
      <c r="O679" s="3070"/>
      <c r="P679" s="3052"/>
      <c r="Q679" s="1952"/>
      <c r="S679" s="2899"/>
    </row>
    <row r="680" spans="2:19" ht="35.25" customHeight="1" x14ac:dyDescent="0.25">
      <c r="B680" s="2058"/>
      <c r="C680" s="3082" t="s">
        <v>1873</v>
      </c>
      <c r="D680" s="3083"/>
      <c r="E680" s="3084"/>
      <c r="F680" s="3053"/>
      <c r="G680" s="3054"/>
      <c r="H680" s="3054"/>
      <c r="I680" s="3054"/>
      <c r="J680" s="3054"/>
      <c r="K680" s="3053"/>
      <c r="L680" s="3054"/>
      <c r="M680" s="3054"/>
      <c r="N680" s="3054"/>
      <c r="O680" s="3054"/>
      <c r="P680" s="3055"/>
      <c r="Q680" s="1952"/>
      <c r="S680" s="2899"/>
    </row>
    <row r="681" spans="2:19" ht="21.75" customHeight="1" x14ac:dyDescent="0.25">
      <c r="B681" s="2100"/>
      <c r="C681" s="693" t="s">
        <v>99</v>
      </c>
      <c r="D681" s="334"/>
      <c r="E681" s="8" t="s">
        <v>136</v>
      </c>
      <c r="F681" s="12" t="str">
        <f>IF(H681=1,"1- Débutant",IF(H681=2,"2- Élémentaire",IF(H681=3,"3- Intermédiaire",IF(H681=4,"4- Avancé",IF(H681=5,"5- Expert","")))))</f>
        <v/>
      </c>
      <c r="G681" s="13" t="str">
        <f>IF(G682=0,"",G682*2)</f>
        <v/>
      </c>
      <c r="H681" s="470">
        <f>ROUNDDOWN(AVERAGE(G682),0)</f>
        <v>0</v>
      </c>
      <c r="I681" s="16"/>
      <c r="J681" s="18"/>
      <c r="K681" s="12" t="str">
        <f>IF(M681=1,"1- Débutant",IF(M681=2,"2- Élémentaire",IF(M681=3,"3- Intermédiaire",IF(M681=4,"4- Avancé",IF(M681=5,"5- Expert","")))))</f>
        <v/>
      </c>
      <c r="L681" s="13" t="str">
        <f>IF(L682=0,"",L682*2)</f>
        <v/>
      </c>
      <c r="M681" s="470">
        <f>ROUNDDOWN(AVERAGE(L682),0)</f>
        <v>0</v>
      </c>
      <c r="N681" s="16"/>
      <c r="O681" s="3073"/>
      <c r="P681" s="3074"/>
      <c r="Q681" s="1952"/>
      <c r="S681" s="2899"/>
    </row>
    <row r="682" spans="2:19" ht="18" customHeight="1" x14ac:dyDescent="0.25">
      <c r="B682" s="2058" t="str">
        <f>IF(OR(ISBLANK(F682),ISBLANK(K682))=FALSE,"","u")</f>
        <v>u</v>
      </c>
      <c r="C682" s="3063" t="s">
        <v>112</v>
      </c>
      <c r="D682" s="3064"/>
      <c r="E682" s="3065"/>
      <c r="F682" s="688"/>
      <c r="G682" s="530">
        <f>IF(F682=$E$653,1,IF(F682=$E$654,2,IF(F682=$E$655,3,IF(F682=$E$656,4,IF(F682=$E$657,5,0)))))</f>
        <v>0</v>
      </c>
      <c r="H682" s="687"/>
      <c r="I682" s="3051"/>
      <c r="J682" s="3052"/>
      <c r="K682" s="688"/>
      <c r="L682" s="530">
        <f>IF(K682=$E$653,1,IF(K682=$E$654,2,IF(K682=$E$655,3,IF(K682=$E$656,4,IF(K682=$E$657,5,0)))))</f>
        <v>0</v>
      </c>
      <c r="M682" s="687"/>
      <c r="N682" s="3051"/>
      <c r="O682" s="3070"/>
      <c r="P682" s="3052"/>
      <c r="Q682" s="1952"/>
      <c r="S682" s="2899"/>
    </row>
    <row r="683" spans="2:19" ht="35.25" customHeight="1" x14ac:dyDescent="0.25">
      <c r="B683" s="2058"/>
      <c r="C683" s="3082" t="s">
        <v>1873</v>
      </c>
      <c r="D683" s="3083"/>
      <c r="E683" s="3084"/>
      <c r="F683" s="3053"/>
      <c r="G683" s="3054"/>
      <c r="H683" s="3054"/>
      <c r="I683" s="3054"/>
      <c r="J683" s="3054"/>
      <c r="K683" s="3053"/>
      <c r="L683" s="3054"/>
      <c r="M683" s="3054"/>
      <c r="N683" s="3054"/>
      <c r="O683" s="3054"/>
      <c r="P683" s="3055"/>
      <c r="Q683" s="1952"/>
      <c r="S683" s="2899"/>
    </row>
    <row r="684" spans="2:19" ht="21.75" customHeight="1" x14ac:dyDescent="0.25">
      <c r="B684" s="2100"/>
      <c r="C684" s="693" t="s">
        <v>100</v>
      </c>
      <c r="D684" s="695"/>
      <c r="E684" s="8" t="s">
        <v>136</v>
      </c>
      <c r="F684" s="12" t="str">
        <f>IF(H684=1,"1- Débutant",IF(H684=2,"2- Élémentaire",IF(H684=3,"3- Intermédiaire",IF(H684=4,"4- Avancé",IF(H684=5,"5- Expert","")))))</f>
        <v/>
      </c>
      <c r="G684" s="13" t="str">
        <f>IF(SUM(G685:G686)=0,"",SUM(G685:G686))</f>
        <v/>
      </c>
      <c r="H684" s="470">
        <f>ROUNDDOWN(AVERAGE(G685:G686),0)</f>
        <v>0</v>
      </c>
      <c r="I684" s="16"/>
      <c r="J684" s="18"/>
      <c r="K684" s="12" t="str">
        <f>IF(M684=1,"1- Débutant",IF(M684=2,"2- Élémentaire",IF(M684=3,"3- Intermédiaire",IF(M684=4,"4- Avancé",IF(M684=5,"5- Expert","")))))</f>
        <v/>
      </c>
      <c r="L684" s="13" t="str">
        <f>IF(SUM(L685:L686)=0,"",SUM(L685:L686))</f>
        <v/>
      </c>
      <c r="M684" s="470">
        <f>ROUNDDOWN(AVERAGE(L685:L686),0)</f>
        <v>0</v>
      </c>
      <c r="N684" s="16"/>
      <c r="O684" s="3073"/>
      <c r="P684" s="3074"/>
      <c r="Q684" s="1952"/>
      <c r="S684" s="2899"/>
    </row>
    <row r="685" spans="2:19" ht="18" customHeight="1" x14ac:dyDescent="0.25">
      <c r="B685" s="2058" t="str">
        <f>IF(OR(ISBLANK(F685),ISBLANK(K685))=FALSE,"","u")</f>
        <v>u</v>
      </c>
      <c r="C685" s="3063" t="s">
        <v>114</v>
      </c>
      <c r="D685" s="3064"/>
      <c r="E685" s="3065"/>
      <c r="F685" s="688"/>
      <c r="G685" s="14">
        <f>IF(F685=$E$653,1,IF(F685=$E$654,2,IF(F685=$E$655,3,IF(F685=$E$656,4,IF(F685=$E$657,5,0)))))</f>
        <v>0</v>
      </c>
      <c r="H685" s="687"/>
      <c r="I685" s="3051"/>
      <c r="J685" s="3052"/>
      <c r="K685" s="688"/>
      <c r="L685" s="14">
        <f>IF(K685=$E$653,1,IF(K685=$E$654,2,IF(K685=$E$655,3,IF(K685=$E$656,4,IF(K685=$E$657,5,0)))))</f>
        <v>0</v>
      </c>
      <c r="M685" s="687"/>
      <c r="N685" s="3051"/>
      <c r="O685" s="3070"/>
      <c r="P685" s="3052"/>
      <c r="Q685" s="1952"/>
      <c r="S685" s="2899"/>
    </row>
    <row r="686" spans="2:19" ht="18" customHeight="1" x14ac:dyDescent="0.25">
      <c r="B686" s="2058" t="str">
        <f>IF(OR(ISBLANK(F686),ISBLANK(K686))=FALSE,"","u")</f>
        <v>u</v>
      </c>
      <c r="C686" s="3063" t="s">
        <v>115</v>
      </c>
      <c r="D686" s="3064"/>
      <c r="E686" s="3065"/>
      <c r="F686" s="688"/>
      <c r="G686" s="530">
        <f>IF(F686=$E$653,1,IF(F686=$E$654,2,IF(F686=$E$655,3,IF(F686=$E$656,4,IF(F686=$E$657,5,0)))))</f>
        <v>0</v>
      </c>
      <c r="H686" s="687"/>
      <c r="I686" s="3051"/>
      <c r="J686" s="3052"/>
      <c r="K686" s="688"/>
      <c r="L686" s="530">
        <f>IF(K686=$E$653,1,IF(K686=$E$654,2,IF(K686=$E$655,3,IF(K686=$E$656,4,IF(K686=$E$657,5,0)))))</f>
        <v>0</v>
      </c>
      <c r="M686" s="687"/>
      <c r="N686" s="3051"/>
      <c r="O686" s="3070"/>
      <c r="P686" s="3052"/>
      <c r="Q686" s="1952"/>
      <c r="S686" s="2899"/>
    </row>
    <row r="687" spans="2:19" ht="35.25" customHeight="1" x14ac:dyDescent="0.25">
      <c r="B687" s="2058"/>
      <c r="C687" s="3082" t="s">
        <v>1873</v>
      </c>
      <c r="D687" s="3083"/>
      <c r="E687" s="3084"/>
      <c r="F687" s="3053"/>
      <c r="G687" s="3054"/>
      <c r="H687" s="3054"/>
      <c r="I687" s="3054"/>
      <c r="J687" s="3054"/>
      <c r="K687" s="3053"/>
      <c r="L687" s="3054"/>
      <c r="M687" s="3054"/>
      <c r="N687" s="3054"/>
      <c r="O687" s="3054"/>
      <c r="P687" s="3055"/>
      <c r="Q687" s="1952"/>
      <c r="S687" s="2899"/>
    </row>
    <row r="688" spans="2:19" ht="21.75" customHeight="1" x14ac:dyDescent="0.25">
      <c r="B688" s="2100"/>
      <c r="C688" s="693" t="s">
        <v>104</v>
      </c>
      <c r="D688" s="695"/>
      <c r="E688" s="8" t="s">
        <v>136</v>
      </c>
      <c r="F688" s="12" t="str">
        <f>IF(H688=1,"1- Débutant",IF(H688=2,"2- Élémentaire",IF(H688=3,"3- Intermédiaire",IF(H688=4,"4- Avancé",IF(H688=5,"5- Expert","")))))</f>
        <v/>
      </c>
      <c r="G688" s="13" t="str">
        <f>IF(SUM(G689:G690)=0,"",SUM(G689:G690))</f>
        <v/>
      </c>
      <c r="H688" s="470">
        <f>ROUNDDOWN(AVERAGE(G689:G690),0)</f>
        <v>0</v>
      </c>
      <c r="I688" s="16"/>
      <c r="J688" s="18"/>
      <c r="K688" s="12" t="str">
        <f>IF(M688=1,"1- Débutant",IF(M688=2,"2- Élémentaire",IF(M688=3,"3- Intermédiaire",IF(M688=4,"4- Avancé",IF(M688=5,"5- Expert","")))))</f>
        <v/>
      </c>
      <c r="L688" s="13" t="str">
        <f>IF(SUM(L689:L690)=0,"",SUM(L689:L690))</f>
        <v/>
      </c>
      <c r="M688" s="470">
        <f>ROUNDDOWN(AVERAGE(L689:L690),0)</f>
        <v>0</v>
      </c>
      <c r="N688" s="16"/>
      <c r="O688" s="3073"/>
      <c r="P688" s="3074"/>
      <c r="Q688" s="1952"/>
      <c r="S688" s="2899"/>
    </row>
    <row r="689" spans="2:19" ht="18" customHeight="1" x14ac:dyDescent="0.25">
      <c r="B689" s="2058" t="str">
        <f>IF(OR(ISBLANK(F689),ISBLANK(K689))=FALSE,"","u")</f>
        <v>u</v>
      </c>
      <c r="C689" s="3063" t="s">
        <v>116</v>
      </c>
      <c r="D689" s="3064"/>
      <c r="E689" s="3065"/>
      <c r="F689" s="688"/>
      <c r="G689" s="14">
        <f>IF(F689=$E$653,1,IF(F689=$E$654,2,IF(F689=$E$655,3,IF(F689=$E$656,4,IF(F689=$E$657,5,0)))))</f>
        <v>0</v>
      </c>
      <c r="H689" s="687"/>
      <c r="I689" s="3051"/>
      <c r="J689" s="3052"/>
      <c r="K689" s="688"/>
      <c r="L689" s="14">
        <f>IF(K689=$E$653,1,IF(K689=$E$654,2,IF(K689=$E$655,3,IF(K689=$E$656,4,IF(K689=$E$657,5,0)))))</f>
        <v>0</v>
      </c>
      <c r="M689" s="687"/>
      <c r="N689" s="3051"/>
      <c r="O689" s="3070"/>
      <c r="P689" s="3052"/>
      <c r="Q689" s="1952"/>
      <c r="S689" s="2899"/>
    </row>
    <row r="690" spans="2:19" ht="18" customHeight="1" x14ac:dyDescent="0.25">
      <c r="B690" s="2058" t="str">
        <f>IF(OR(ISBLANK(F690),ISBLANK(K690))=FALSE,"","u")</f>
        <v>u</v>
      </c>
      <c r="C690" s="3063" t="s">
        <v>117</v>
      </c>
      <c r="D690" s="3064"/>
      <c r="E690" s="3065"/>
      <c r="F690" s="688"/>
      <c r="G690" s="530">
        <f>IF(F690=$E$653,1,IF(F690=$E$654,2,IF(F690=$E$655,3,IF(F690=$E$656,4,IF(F690=$E$657,5,0)))))</f>
        <v>0</v>
      </c>
      <c r="H690" s="687"/>
      <c r="I690" s="3051"/>
      <c r="J690" s="3052"/>
      <c r="K690" s="688"/>
      <c r="L690" s="530">
        <f>IF(K690=$E$653,1,IF(K690=$E$654,2,IF(K690=$E$655,3,IF(K690=$E$656,4,IF(K690=$E$657,5,0)))))</f>
        <v>0</v>
      </c>
      <c r="M690" s="687"/>
      <c r="N690" s="3051"/>
      <c r="O690" s="3070"/>
      <c r="P690" s="3052"/>
      <c r="Q690" s="1952"/>
      <c r="S690" s="2899"/>
    </row>
    <row r="691" spans="2:19" ht="35.25" customHeight="1" x14ac:dyDescent="0.25">
      <c r="B691" s="2058"/>
      <c r="C691" s="3082" t="s">
        <v>1873</v>
      </c>
      <c r="D691" s="3083"/>
      <c r="E691" s="3084"/>
      <c r="F691" s="3053"/>
      <c r="G691" s="3054"/>
      <c r="H691" s="3054"/>
      <c r="I691" s="3054"/>
      <c r="J691" s="3054"/>
      <c r="K691" s="3053"/>
      <c r="L691" s="3054"/>
      <c r="M691" s="3054"/>
      <c r="N691" s="3054"/>
      <c r="O691" s="3054"/>
      <c r="P691" s="3055"/>
      <c r="Q691" s="1952"/>
      <c r="S691" s="2899"/>
    </row>
    <row r="692" spans="2:19" ht="21.75" customHeight="1" x14ac:dyDescent="0.25">
      <c r="B692" s="2100"/>
      <c r="C692" s="694" t="s">
        <v>106</v>
      </c>
      <c r="D692" s="334"/>
      <c r="E692" s="8" t="s">
        <v>138</v>
      </c>
      <c r="F692" s="12" t="str">
        <f>IF(H692=1,"1- Débutant",IF(H692=2,"2- Élémentaire",IF(H692=3,"3- Intermédiaire",IF(H692=4,"4- Avancé",IF(H692=5,"5- Expert","")))))</f>
        <v/>
      </c>
      <c r="G692" s="13" t="str">
        <f>IF(SUM(G693:G695)=0,"",SUM(G693:G695))</f>
        <v/>
      </c>
      <c r="H692" s="470">
        <f>ROUNDDOWN(AVERAGE(G693:G695),0)</f>
        <v>0</v>
      </c>
      <c r="I692" s="16"/>
      <c r="J692" s="18"/>
      <c r="K692" s="12" t="str">
        <f>IF(M692=1,"1- Débutant",IF(M692=2,"2- Élémentaire",IF(M692=3,"3- Intermédiaire",IF(M692=4,"4- Avancé",IF(M692=5,"5- Expert","")))))</f>
        <v/>
      </c>
      <c r="L692" s="13" t="str">
        <f>IF(SUM(L693:L695)=0,"",SUM(L693:L695))</f>
        <v/>
      </c>
      <c r="M692" s="470">
        <f>ROUNDDOWN(AVERAGE(L693:L695),0)</f>
        <v>0</v>
      </c>
      <c r="N692" s="16"/>
      <c r="O692" s="3073"/>
      <c r="P692" s="3074"/>
      <c r="Q692" s="1952"/>
      <c r="S692" s="2899"/>
    </row>
    <row r="693" spans="2:19" ht="18" customHeight="1" x14ac:dyDescent="0.25">
      <c r="B693" s="2058" t="str">
        <f>IF(OR(ISBLANK(F693),ISBLANK(K693))=FALSE,"","u")</f>
        <v>u</v>
      </c>
      <c r="C693" s="3063" t="s">
        <v>118</v>
      </c>
      <c r="D693" s="3064"/>
      <c r="E693" s="3065"/>
      <c r="F693" s="688"/>
      <c r="G693" s="14">
        <f>IF(F693=$E$653,1,IF(F693=$E$654,2,IF(F693=$E$655,3,IF(F693=$E$656,4,IF(F693=$E$657,5,0)))))</f>
        <v>0</v>
      </c>
      <c r="H693" s="687"/>
      <c r="I693" s="3051"/>
      <c r="J693" s="3052"/>
      <c r="K693" s="688"/>
      <c r="L693" s="14">
        <f>IF(K693=$E$653,1,IF(K693=$E$654,2,IF(K693=$E$655,3,IF(K693=$E$656,4,IF(K693=$E$657,5,0)))))</f>
        <v>0</v>
      </c>
      <c r="M693" s="687"/>
      <c r="N693" s="3051"/>
      <c r="O693" s="3070"/>
      <c r="P693" s="3052"/>
      <c r="Q693" s="1952"/>
      <c r="S693" s="2899"/>
    </row>
    <row r="694" spans="2:19" ht="17.25" customHeight="1" x14ac:dyDescent="0.25">
      <c r="B694" s="2058" t="str">
        <f>IF(OR(ISBLANK(F694),ISBLANK(K694))=FALSE,"","u")</f>
        <v>u</v>
      </c>
      <c r="C694" s="3063" t="s">
        <v>119</v>
      </c>
      <c r="D694" s="3064"/>
      <c r="E694" s="3065"/>
      <c r="F694" s="688"/>
      <c r="G694" s="14">
        <f>IF(F694=$E$653,1,IF(F694=$E$654,2,IF(F694=$E$655,3,IF(F694=$E$656,4,IF(F694=$E$657,5,0)))))</f>
        <v>0</v>
      </c>
      <c r="H694" s="687"/>
      <c r="I694" s="3051"/>
      <c r="J694" s="3052"/>
      <c r="K694" s="688"/>
      <c r="L694" s="14">
        <f>IF(K694=$E$653,1,IF(K694=$E$654,2,IF(K694=$E$655,3,IF(K694=$E$656,4,IF(K694=$E$657,5,0)))))</f>
        <v>0</v>
      </c>
      <c r="M694" s="687"/>
      <c r="N694" s="3051"/>
      <c r="O694" s="3070"/>
      <c r="P694" s="3052"/>
      <c r="Q694" s="1952"/>
      <c r="S694" s="2899"/>
    </row>
    <row r="695" spans="2:19" ht="18" customHeight="1" x14ac:dyDescent="0.25">
      <c r="B695" s="2058" t="str">
        <f>IF(OR(ISBLANK(F695),ISBLANK(K695))=FALSE,"","u")</f>
        <v>u</v>
      </c>
      <c r="C695" s="3063" t="s">
        <v>120</v>
      </c>
      <c r="D695" s="3064"/>
      <c r="E695" s="3065"/>
      <c r="F695" s="688"/>
      <c r="G695" s="530">
        <f>IF(F695=$E$653,1,IF(F695=$E$654,2,IF(F695=$E$655,3,IF(F695=$E$656,4,IF(F695=$E$657,5,0)))))</f>
        <v>0</v>
      </c>
      <c r="H695" s="687"/>
      <c r="I695" s="3051"/>
      <c r="J695" s="3052"/>
      <c r="K695" s="688"/>
      <c r="L695" s="530">
        <f>IF(K695=$E$653,1,IF(K695=$E$654,2,IF(K695=$E$655,3,IF(K695=$E$656,4,IF(K695=$E$657,5,0)))))</f>
        <v>0</v>
      </c>
      <c r="M695" s="687"/>
      <c r="N695" s="3051"/>
      <c r="O695" s="3070"/>
      <c r="P695" s="3052"/>
      <c r="Q695" s="1952"/>
      <c r="S695" s="2899"/>
    </row>
    <row r="696" spans="2:19" ht="35.25" customHeight="1" x14ac:dyDescent="0.25">
      <c r="B696" s="2058"/>
      <c r="C696" s="3082" t="s">
        <v>1873</v>
      </c>
      <c r="D696" s="3083"/>
      <c r="E696" s="3084"/>
      <c r="F696" s="3053"/>
      <c r="G696" s="3054"/>
      <c r="H696" s="3054"/>
      <c r="I696" s="3054"/>
      <c r="J696" s="3054"/>
      <c r="K696" s="3053"/>
      <c r="L696" s="3054"/>
      <c r="M696" s="3054"/>
      <c r="N696" s="3054"/>
      <c r="O696" s="3054"/>
      <c r="P696" s="3055"/>
      <c r="Q696" s="1952"/>
      <c r="S696" s="2899"/>
    </row>
    <row r="697" spans="2:19" ht="21.75" customHeight="1" x14ac:dyDescent="0.25">
      <c r="B697" s="2100"/>
      <c r="C697" s="693" t="s">
        <v>1559</v>
      </c>
      <c r="D697" s="334"/>
      <c r="E697" s="8" t="s">
        <v>137</v>
      </c>
      <c r="F697" s="12" t="str">
        <f>IF(H697=1,"1- Débutant",IF(H697=2,"2- Élémentaire",IF(H697=3,"3- Intermédiaire",IF(H697=4,"4- Avancé",IF(H697=5,"5- Expert","")))))</f>
        <v/>
      </c>
      <c r="G697" s="13" t="str">
        <f>IF(G698=0,"",G698)</f>
        <v/>
      </c>
      <c r="H697" s="470">
        <f>ROUNDDOWN(AVERAGE(G698),0)</f>
        <v>0</v>
      </c>
      <c r="I697" s="16"/>
      <c r="J697" s="18"/>
      <c r="K697" s="12" t="str">
        <f>IF(M697=1,"1- Débutant",IF(M697=2,"2- Élémentaire",IF(M697=3,"3- Intermédiaire",IF(M697=4,"4- Avancé",IF(M697=5,"5- Expert","")))))</f>
        <v/>
      </c>
      <c r="L697" s="13" t="str">
        <f>IF(L698=0,"",L698)</f>
        <v/>
      </c>
      <c r="M697" s="470">
        <f>ROUNDDOWN(AVERAGE(L698),0)</f>
        <v>0</v>
      </c>
      <c r="N697" s="16"/>
      <c r="O697" s="3073"/>
      <c r="P697" s="3074"/>
      <c r="Q697" s="1952"/>
      <c r="S697" s="2899"/>
    </row>
    <row r="698" spans="2:19" ht="18" customHeight="1" x14ac:dyDescent="0.25">
      <c r="B698" s="2058" t="str">
        <f>IF(OR(ISBLANK(F698),ISBLANK(K698))=FALSE,"","u")</f>
        <v>u</v>
      </c>
      <c r="C698" s="3260" t="s">
        <v>1560</v>
      </c>
      <c r="D698" s="3261"/>
      <c r="E698" s="3262"/>
      <c r="F698" s="688"/>
      <c r="G698" s="530">
        <f>IF(F698=$E$653,1,IF(F698=$E$654,2,IF(F698=$E$655,3,IF(F698=$E$656,4,IF(F698=$E$657,5,0)))))</f>
        <v>0</v>
      </c>
      <c r="H698" s="687"/>
      <c r="I698" s="3051"/>
      <c r="J698" s="3052"/>
      <c r="K698" s="688"/>
      <c r="L698" s="530">
        <f>IF(K698=$E$653,1,IF(K698=$E$654,2,IF(K698=$E$655,3,IF(K698=$E$656,4,IF(K698=$E$657,5,0)))))</f>
        <v>0</v>
      </c>
      <c r="M698" s="687"/>
      <c r="N698" s="3051"/>
      <c r="O698" s="3070"/>
      <c r="P698" s="3052"/>
      <c r="Q698" s="1952"/>
      <c r="S698" s="2899"/>
    </row>
    <row r="699" spans="2:19" ht="35.25" customHeight="1" x14ac:dyDescent="0.25">
      <c r="B699" s="2058"/>
      <c r="C699" s="3082" t="s">
        <v>1873</v>
      </c>
      <c r="D699" s="3083"/>
      <c r="E699" s="3084"/>
      <c r="F699" s="3053"/>
      <c r="G699" s="3054"/>
      <c r="H699" s="3054"/>
      <c r="I699" s="3054"/>
      <c r="J699" s="3054"/>
      <c r="K699" s="3053"/>
      <c r="L699" s="3054"/>
      <c r="M699" s="3054"/>
      <c r="N699" s="3054"/>
      <c r="O699" s="3054"/>
      <c r="P699" s="3055"/>
      <c r="Q699" s="1952"/>
      <c r="S699" s="2899"/>
    </row>
    <row r="700" spans="2:19" ht="22.5" customHeight="1" x14ac:dyDescent="0.25">
      <c r="B700" s="1960"/>
      <c r="C700" s="668"/>
      <c r="D700" s="350"/>
      <c r="E700" s="9" t="s">
        <v>150</v>
      </c>
      <c r="F700" s="20" t="str">
        <f>IF(H700=1,"1- Débutant",IF(H700=2,"2- Élémentaire",IF(H700=3,"3- Intermédiaire",IF(H700=4,"4- Avancé",IF(H700=5,"5- Expert","")))))</f>
        <v/>
      </c>
      <c r="G700" s="417" t="str">
        <f>IF(ISERR(G674+G678+G681+G684+G688+G692+G697)=TRUE,"",IF((G670=""),((G674+G678+G681+G684+G688+G692+G697)/80*100),(G670+G674+G678+G681+G684+G688+G692+G697)))</f>
        <v/>
      </c>
      <c r="H700" s="640">
        <f>ROUNDDOWN(AVERAGE(H670,H674,H678,H681,H684,H688,H692,H697),0)</f>
        <v>0</v>
      </c>
      <c r="I700" s="17"/>
      <c r="J700" s="17"/>
      <c r="K700" s="20" t="str">
        <f>IF(M700=1,"1- Débutant",IF(M700=2,"2- Élémentaire",IF(M700=3,"3- Intermédiaire",IF(M700=4,"4- Avancé",IF(M700=5,"5- Expert","")))))</f>
        <v/>
      </c>
      <c r="L700" s="417" t="str">
        <f>IF(ISERR(L674+L678+L681+L684+L688+L692+L697)=TRUE,"",IF((L670=""),((L674+L678+L681+L684+L688+L692+L697)/80*100),(L670+L674+L678+L681+L684+L688+L692+L697)))</f>
        <v/>
      </c>
      <c r="M700" s="640">
        <f>ROUNDDOWN(AVERAGE(M670,M674,M678,M681,M684,M688,M692,M697),0)</f>
        <v>0</v>
      </c>
      <c r="N700" s="17"/>
      <c r="O700" s="3078"/>
      <c r="P700" s="3079"/>
      <c r="Q700" s="1952"/>
      <c r="S700" s="2899"/>
    </row>
    <row r="701" spans="2:19" ht="23.25" customHeight="1" x14ac:dyDescent="0.25">
      <c r="B701" s="1960"/>
      <c r="C701" s="1951"/>
      <c r="D701" s="2068"/>
      <c r="E701" s="2068"/>
      <c r="F701" s="2068"/>
      <c r="G701" s="2068"/>
      <c r="H701" s="2068"/>
      <c r="I701" s="2072"/>
      <c r="J701" s="2070"/>
      <c r="K701" s="2070"/>
      <c r="L701" s="2070"/>
      <c r="M701" s="2070"/>
      <c r="N701" s="2070"/>
      <c r="O701" s="2070"/>
      <c r="P701" s="2070"/>
      <c r="Q701" s="1952"/>
      <c r="S701" s="2899"/>
    </row>
    <row r="702" spans="2:19" ht="18" customHeight="1" x14ac:dyDescent="0.25">
      <c r="B702" s="1960"/>
      <c r="C702" s="2071" t="s">
        <v>1573</v>
      </c>
      <c r="D702" s="2068"/>
      <c r="E702" s="2068"/>
      <c r="F702" s="2068"/>
      <c r="G702" s="1949"/>
      <c r="H702" s="3391" t="s">
        <v>1525</v>
      </c>
      <c r="I702" s="3391"/>
      <c r="J702" s="1949"/>
      <c r="K702" s="1949"/>
      <c r="L702" s="2070"/>
      <c r="M702" s="2070"/>
      <c r="N702" s="2070"/>
      <c r="O702" s="2070"/>
      <c r="P702" s="2070"/>
      <c r="Q702" s="1952"/>
      <c r="S702" s="2899"/>
    </row>
    <row r="703" spans="2:19" ht="19.5" customHeight="1" thickBot="1" x14ac:dyDescent="0.3">
      <c r="B703" s="1982"/>
      <c r="C703" s="1987"/>
      <c r="D703" s="1987"/>
      <c r="E703" s="1987"/>
      <c r="F703" s="2097"/>
      <c r="G703" s="2097"/>
      <c r="H703" s="1987"/>
      <c r="I703" s="2097"/>
      <c r="J703" s="2097"/>
      <c r="K703" s="1987"/>
      <c r="L703" s="2097"/>
      <c r="M703" s="1987"/>
      <c r="N703" s="2097"/>
      <c r="O703" s="2097"/>
      <c r="P703" s="2097"/>
      <c r="Q703" s="1988"/>
      <c r="S703" s="2904"/>
    </row>
    <row r="704" spans="2:19" ht="16.5" customHeight="1" thickBot="1" x14ac:dyDescent="0.3">
      <c r="S704" s="627"/>
    </row>
    <row r="705" spans="1:19" ht="22.5" customHeight="1" thickBot="1" x14ac:dyDescent="0.3">
      <c r="A705" s="1225"/>
      <c r="B705" s="1908" t="s">
        <v>1436</v>
      </c>
      <c r="C705" s="1908"/>
      <c r="D705" s="1908"/>
      <c r="E705" s="1908"/>
      <c r="F705" s="1908"/>
      <c r="G705" s="1908"/>
      <c r="H705" s="1908"/>
      <c r="I705" s="1908"/>
      <c r="J705" s="1908"/>
      <c r="K705" s="1908"/>
      <c r="L705" s="1913"/>
      <c r="M705" s="1913"/>
      <c r="N705" s="1913"/>
      <c r="O705" s="3398" t="s">
        <v>1641</v>
      </c>
      <c r="P705" s="3398"/>
      <c r="Q705" s="3398"/>
      <c r="S705" s="628" t="s">
        <v>1537</v>
      </c>
    </row>
    <row r="706" spans="1:19" ht="9.75" customHeight="1" thickBot="1" x14ac:dyDescent="0.3">
      <c r="S706" s="629"/>
    </row>
    <row r="707" spans="1:19" ht="8.25" customHeight="1" x14ac:dyDescent="0.25">
      <c r="B707" s="1989"/>
      <c r="C707" s="1990"/>
      <c r="D707" s="1990"/>
      <c r="E707" s="1991"/>
      <c r="F707" s="1992"/>
      <c r="G707" s="1992"/>
      <c r="H707" s="1992"/>
      <c r="I707" s="1992"/>
      <c r="J707" s="1992"/>
      <c r="K707" s="1992"/>
      <c r="L707" s="1992"/>
      <c r="M707" s="1992"/>
      <c r="N707" s="1992"/>
      <c r="O707" s="1992"/>
      <c r="P707" s="1992"/>
      <c r="Q707" s="1993"/>
      <c r="S707" s="2903"/>
    </row>
    <row r="708" spans="1:19" ht="18" customHeight="1" x14ac:dyDescent="0.25">
      <c r="B708" s="1994"/>
      <c r="C708" s="1995" t="s">
        <v>2067</v>
      </c>
      <c r="D708" s="1995"/>
      <c r="E708" s="1996"/>
      <c r="F708" s="1997"/>
      <c r="G708" s="1997"/>
      <c r="H708" s="1997"/>
      <c r="I708" s="1997"/>
      <c r="J708" s="1997"/>
      <c r="K708" s="1997"/>
      <c r="L708" s="1997"/>
      <c r="M708" s="1997"/>
      <c r="N708" s="1949"/>
      <c r="O708" s="1949"/>
      <c r="P708" s="1997"/>
      <c r="Q708" s="1998"/>
      <c r="S708" s="2901"/>
    </row>
    <row r="709" spans="1:19" ht="9.75" customHeight="1" x14ac:dyDescent="0.25">
      <c r="B709" s="1994"/>
      <c r="C709" s="1996"/>
      <c r="D709" s="1996"/>
      <c r="E709" s="1996"/>
      <c r="F709" s="1997"/>
      <c r="G709" s="1997"/>
      <c r="H709" s="1997"/>
      <c r="I709" s="1997"/>
      <c r="J709" s="1997"/>
      <c r="K709" s="1997"/>
      <c r="L709" s="1997"/>
      <c r="M709" s="1997"/>
      <c r="N709" s="1997"/>
      <c r="O709" s="1997"/>
      <c r="P709" s="1997"/>
      <c r="Q709" s="1998"/>
      <c r="S709" s="2901"/>
    </row>
    <row r="710" spans="1:19" ht="18" customHeight="1" x14ac:dyDescent="0.25">
      <c r="B710" s="1960"/>
      <c r="C710" s="1999" t="s">
        <v>2068</v>
      </c>
      <c r="D710" s="2000"/>
      <c r="E710" s="1951"/>
      <c r="F710" s="1951"/>
      <c r="G710" s="1951"/>
      <c r="H710" s="1951"/>
      <c r="I710" s="1951"/>
      <c r="J710" s="1951"/>
      <c r="K710" s="1951"/>
      <c r="L710" s="1951"/>
      <c r="M710" s="1951"/>
      <c r="N710" s="1951"/>
      <c r="O710" s="1951"/>
      <c r="P710" s="1951"/>
      <c r="Q710" s="1952"/>
      <c r="S710" s="2901"/>
    </row>
    <row r="711" spans="1:19" ht="19.5" customHeight="1" x14ac:dyDescent="0.25">
      <c r="B711" s="1960"/>
      <c r="C711" s="2001" t="s">
        <v>1633</v>
      </c>
      <c r="D711" s="2000"/>
      <c r="E711" s="1951"/>
      <c r="F711" s="1951"/>
      <c r="G711" s="1951"/>
      <c r="H711" s="1951"/>
      <c r="I711" s="1951"/>
      <c r="J711" s="1951"/>
      <c r="K711" s="1951"/>
      <c r="L711" s="1951"/>
      <c r="M711" s="1951"/>
      <c r="N711" s="1951"/>
      <c r="O711" s="1951"/>
      <c r="P711" s="1951"/>
      <c r="Q711" s="1952"/>
      <c r="S711" s="2901"/>
    </row>
    <row r="712" spans="1:19" ht="15.75" customHeight="1" x14ac:dyDescent="0.25">
      <c r="B712" s="1960"/>
      <c r="C712" s="2002" t="s">
        <v>1637</v>
      </c>
      <c r="D712" s="2000"/>
      <c r="E712" s="1951"/>
      <c r="F712" s="1951"/>
      <c r="G712" s="1951"/>
      <c r="H712" s="1951"/>
      <c r="I712" s="1951"/>
      <c r="J712" s="1951"/>
      <c r="K712" s="1951"/>
      <c r="L712" s="1951"/>
      <c r="M712" s="1951"/>
      <c r="N712" s="1951"/>
      <c r="O712" s="1951"/>
      <c r="P712" s="1951"/>
      <c r="Q712" s="1952"/>
      <c r="S712" s="2901"/>
    </row>
    <row r="713" spans="1:19" ht="9" customHeight="1" x14ac:dyDescent="0.25">
      <c r="B713" s="1960"/>
      <c r="C713" s="2003"/>
      <c r="D713" s="2000"/>
      <c r="E713" s="1951"/>
      <c r="F713" s="1951"/>
      <c r="G713" s="1951"/>
      <c r="H713" s="1951"/>
      <c r="I713" s="1951"/>
      <c r="J713" s="1951"/>
      <c r="K713" s="1951"/>
      <c r="L713" s="1951"/>
      <c r="M713" s="1951"/>
      <c r="N713" s="1951"/>
      <c r="O713" s="1951"/>
      <c r="P713" s="1951"/>
      <c r="Q713" s="1952"/>
      <c r="S713" s="2901"/>
    </row>
    <row r="714" spans="1:19" ht="18" customHeight="1" x14ac:dyDescent="0.25">
      <c r="B714" s="1960"/>
      <c r="C714" s="1999" t="s">
        <v>2069</v>
      </c>
      <c r="D714" s="2000"/>
      <c r="E714" s="1951"/>
      <c r="F714" s="1951"/>
      <c r="G714" s="1951"/>
      <c r="H714" s="1951"/>
      <c r="I714" s="1951"/>
      <c r="J714" s="1951"/>
      <c r="K714" s="1951"/>
      <c r="L714" s="1951"/>
      <c r="M714" s="1951"/>
      <c r="N714" s="1951"/>
      <c r="O714" s="1951"/>
      <c r="P714" s="1951"/>
      <c r="Q714" s="1952"/>
      <c r="S714" s="2901"/>
    </row>
    <row r="715" spans="1:19" ht="6" customHeight="1" x14ac:dyDescent="0.25">
      <c r="B715" s="1960"/>
      <c r="C715" s="1999"/>
      <c r="D715" s="2000"/>
      <c r="E715" s="1951"/>
      <c r="F715" s="1951"/>
      <c r="G715" s="1951"/>
      <c r="H715" s="1951"/>
      <c r="I715" s="1951"/>
      <c r="J715" s="1951"/>
      <c r="K715" s="1951"/>
      <c r="L715" s="1951"/>
      <c r="M715" s="1951"/>
      <c r="N715" s="1951"/>
      <c r="O715" s="1951"/>
      <c r="P715" s="1951"/>
      <c r="Q715" s="1952"/>
      <c r="S715" s="2901"/>
    </row>
    <row r="716" spans="1:19" ht="59.25" customHeight="1" x14ac:dyDescent="0.25">
      <c r="B716" s="2004" t="str">
        <f>IF(ISBLANK(C716)=FALSE,"","w")</f>
        <v>w</v>
      </c>
      <c r="C716" s="3056"/>
      <c r="D716" s="3057"/>
      <c r="E716" s="3057"/>
      <c r="F716" s="3057"/>
      <c r="G716" s="3057"/>
      <c r="H716" s="3057"/>
      <c r="I716" s="3057"/>
      <c r="J716" s="3057"/>
      <c r="K716" s="3057"/>
      <c r="L716" s="3057"/>
      <c r="M716" s="3057"/>
      <c r="N716" s="3057"/>
      <c r="O716" s="3058"/>
      <c r="P716" s="1951"/>
      <c r="Q716" s="1952"/>
      <c r="S716" s="2901"/>
    </row>
    <row r="717" spans="1:19" ht="18.75" customHeight="1" thickBot="1" x14ac:dyDescent="0.3">
      <c r="B717" s="1982"/>
      <c r="C717" s="2005"/>
      <c r="D717" s="2006"/>
      <c r="E717" s="1987"/>
      <c r="F717" s="1987"/>
      <c r="G717" s="1987"/>
      <c r="H717" s="1987"/>
      <c r="I717" s="1987"/>
      <c r="J717" s="1987"/>
      <c r="K717" s="1987"/>
      <c r="L717" s="1987"/>
      <c r="M717" s="1987"/>
      <c r="N717" s="1987"/>
      <c r="O717" s="1987"/>
      <c r="P717" s="1987"/>
      <c r="Q717" s="1988"/>
      <c r="S717" s="2901"/>
    </row>
    <row r="718" spans="1:19" ht="9.75" customHeight="1" thickBot="1" x14ac:dyDescent="0.3">
      <c r="S718" s="2901"/>
    </row>
    <row r="719" spans="1:19" ht="8.25" customHeight="1" x14ac:dyDescent="0.25">
      <c r="B719" s="1989"/>
      <c r="C719" s="1990"/>
      <c r="D719" s="1990"/>
      <c r="E719" s="1991"/>
      <c r="F719" s="1992"/>
      <c r="G719" s="1992"/>
      <c r="H719" s="1992"/>
      <c r="I719" s="1992"/>
      <c r="J719" s="1992"/>
      <c r="K719" s="1992"/>
      <c r="L719" s="1992"/>
      <c r="M719" s="1992"/>
      <c r="N719" s="1992"/>
      <c r="O719" s="1992"/>
      <c r="P719" s="1992"/>
      <c r="Q719" s="1993"/>
      <c r="S719" s="2901"/>
    </row>
    <row r="720" spans="1:19" ht="18" customHeight="1" x14ac:dyDescent="0.25">
      <c r="B720" s="1994"/>
      <c r="C720" s="1995" t="s">
        <v>1635</v>
      </c>
      <c r="D720" s="1995"/>
      <c r="E720" s="1996"/>
      <c r="F720" s="1997"/>
      <c r="G720" s="1997"/>
      <c r="H720" s="1997"/>
      <c r="I720" s="1997"/>
      <c r="J720" s="1997"/>
      <c r="K720" s="1997"/>
      <c r="L720" s="1997"/>
      <c r="M720" s="1997"/>
      <c r="N720" s="1949"/>
      <c r="O720" s="1949"/>
      <c r="P720" s="1997"/>
      <c r="Q720" s="1998"/>
      <c r="S720" s="2901"/>
    </row>
    <row r="721" spans="2:19" ht="9.75" customHeight="1" x14ac:dyDescent="0.25">
      <c r="B721" s="1994"/>
      <c r="C721" s="1996"/>
      <c r="D721" s="1996"/>
      <c r="E721" s="1996"/>
      <c r="F721" s="1997"/>
      <c r="G721" s="1997"/>
      <c r="H721" s="1997"/>
      <c r="I721" s="1997"/>
      <c r="J721" s="1997"/>
      <c r="K721" s="1997"/>
      <c r="L721" s="1997"/>
      <c r="M721" s="1997"/>
      <c r="N721" s="1997"/>
      <c r="O721" s="1997"/>
      <c r="P721" s="1997"/>
      <c r="Q721" s="1998"/>
      <c r="S721" s="2901"/>
    </row>
    <row r="722" spans="2:19" ht="18" customHeight="1" x14ac:dyDescent="0.25">
      <c r="B722" s="1960"/>
      <c r="C722" s="1999" t="s">
        <v>2070</v>
      </c>
      <c r="D722" s="2000"/>
      <c r="E722" s="1951"/>
      <c r="F722" s="1951"/>
      <c r="G722" s="1951"/>
      <c r="H722" s="1951"/>
      <c r="I722" s="1951"/>
      <c r="J722" s="1951"/>
      <c r="K722" s="1951"/>
      <c r="L722" s="1951"/>
      <c r="M722" s="1951"/>
      <c r="N722" s="1951"/>
      <c r="O722" s="1951"/>
      <c r="P722" s="1951"/>
      <c r="Q722" s="1952"/>
      <c r="S722" s="2901"/>
    </row>
    <row r="723" spans="2:19" ht="19.5" customHeight="1" x14ac:dyDescent="0.25">
      <c r="B723" s="1960"/>
      <c r="C723" s="2001" t="s">
        <v>2071</v>
      </c>
      <c r="D723" s="2000"/>
      <c r="E723" s="1951"/>
      <c r="F723" s="1951"/>
      <c r="G723" s="1951"/>
      <c r="H723" s="1951"/>
      <c r="I723" s="1951"/>
      <c r="J723" s="1951"/>
      <c r="K723" s="1951"/>
      <c r="L723" s="1951"/>
      <c r="M723" s="1951"/>
      <c r="N723" s="1951"/>
      <c r="O723" s="1951"/>
      <c r="P723" s="1951"/>
      <c r="Q723" s="1952"/>
      <c r="S723" s="2901"/>
    </row>
    <row r="724" spans="2:19" ht="15.75" customHeight="1" x14ac:dyDescent="0.25">
      <c r="B724" s="1960"/>
      <c r="C724" s="2002" t="s">
        <v>1638</v>
      </c>
      <c r="D724" s="2000"/>
      <c r="E724" s="1951"/>
      <c r="F724" s="1951"/>
      <c r="G724" s="1951"/>
      <c r="H724" s="1951"/>
      <c r="I724" s="1951"/>
      <c r="J724" s="1951"/>
      <c r="K724" s="1951"/>
      <c r="L724" s="1951"/>
      <c r="M724" s="1951"/>
      <c r="N724" s="1951"/>
      <c r="O724" s="1951"/>
      <c r="P724" s="1951"/>
      <c r="Q724" s="1952"/>
      <c r="S724" s="2901"/>
    </row>
    <row r="725" spans="2:19" ht="9" customHeight="1" x14ac:dyDescent="0.25">
      <c r="B725" s="1960"/>
      <c r="C725" s="2003"/>
      <c r="D725" s="2000"/>
      <c r="E725" s="1951"/>
      <c r="F725" s="1951"/>
      <c r="G725" s="1951"/>
      <c r="H725" s="1951"/>
      <c r="I725" s="1951"/>
      <c r="J725" s="1951"/>
      <c r="K725" s="1951"/>
      <c r="L725" s="1951"/>
      <c r="M725" s="1951"/>
      <c r="N725" s="1951"/>
      <c r="O725" s="1951"/>
      <c r="P725" s="1951"/>
      <c r="Q725" s="1952"/>
      <c r="S725" s="2901"/>
    </row>
    <row r="726" spans="2:19" ht="18" customHeight="1" x14ac:dyDescent="0.25">
      <c r="B726" s="1960"/>
      <c r="C726" s="2055" t="s">
        <v>2145</v>
      </c>
      <c r="D726" s="2000"/>
      <c r="E726" s="1951"/>
      <c r="F726" s="1951"/>
      <c r="G726" s="1951"/>
      <c r="H726" s="1951"/>
      <c r="I726" s="1951"/>
      <c r="J726" s="1951"/>
      <c r="K726" s="1951"/>
      <c r="L726" s="1951"/>
      <c r="M726" s="1951"/>
      <c r="N726" s="1951"/>
      <c r="O726" s="1951"/>
      <c r="P726" s="1951"/>
      <c r="Q726" s="1952"/>
      <c r="S726" s="2901"/>
    </row>
    <row r="727" spans="2:19" ht="6" customHeight="1" x14ac:dyDescent="0.25">
      <c r="B727" s="1960"/>
      <c r="C727" s="1999"/>
      <c r="D727" s="2000"/>
      <c r="E727" s="1951"/>
      <c r="F727" s="1951"/>
      <c r="G727" s="1951"/>
      <c r="H727" s="1951"/>
      <c r="I727" s="1951"/>
      <c r="J727" s="1951"/>
      <c r="K727" s="1951"/>
      <c r="L727" s="1951"/>
      <c r="M727" s="1951"/>
      <c r="N727" s="1951"/>
      <c r="O727" s="1951"/>
      <c r="P727" s="1951"/>
      <c r="Q727" s="1952"/>
      <c r="S727" s="2901"/>
    </row>
    <row r="728" spans="2:19" ht="29.25" customHeight="1" x14ac:dyDescent="0.25">
      <c r="B728" s="2004" t="str">
        <f>IF(ISBLANK(C728)=FALSE,"","w")</f>
        <v>w</v>
      </c>
      <c r="C728" s="3056"/>
      <c r="D728" s="3057"/>
      <c r="E728" s="3057"/>
      <c r="F728" s="3057"/>
      <c r="G728" s="3057"/>
      <c r="H728" s="3057"/>
      <c r="I728" s="3057"/>
      <c r="J728" s="3057"/>
      <c r="K728" s="3057"/>
      <c r="L728" s="3057"/>
      <c r="M728" s="3057"/>
      <c r="N728" s="3057"/>
      <c r="O728" s="3058"/>
      <c r="P728" s="1951"/>
      <c r="Q728" s="1952"/>
      <c r="S728" s="2901"/>
    </row>
    <row r="729" spans="2:19" ht="15.75" thickBot="1" x14ac:dyDescent="0.3">
      <c r="B729" s="1982"/>
      <c r="C729" s="2005"/>
      <c r="D729" s="2006"/>
      <c r="E729" s="1987"/>
      <c r="F729" s="1987"/>
      <c r="G729" s="1987"/>
      <c r="H729" s="1987"/>
      <c r="I729" s="1987"/>
      <c r="J729" s="1987"/>
      <c r="K729" s="1987"/>
      <c r="L729" s="1987"/>
      <c r="M729" s="1987"/>
      <c r="N729" s="1987"/>
      <c r="O729" s="1987"/>
      <c r="P729" s="1987"/>
      <c r="Q729" s="1988"/>
      <c r="S729" s="2902"/>
    </row>
  </sheetData>
  <sheetProtection password="C518" sheet="1" objects="1" scenarios="1"/>
  <mergeCells count="807">
    <mergeCell ref="O176:Q176"/>
    <mergeCell ref="O248:Q248"/>
    <mergeCell ref="O292:Q292"/>
    <mergeCell ref="O335:Q335"/>
    <mergeCell ref="O504:Q504"/>
    <mergeCell ref="O577:Q577"/>
    <mergeCell ref="O643:Q643"/>
    <mergeCell ref="O705:Q705"/>
    <mergeCell ref="S2:S3"/>
    <mergeCell ref="S5:S19"/>
    <mergeCell ref="S23:S42"/>
    <mergeCell ref="S117:S124"/>
    <mergeCell ref="S134:S142"/>
    <mergeCell ref="M162:O162"/>
    <mergeCell ref="M161:O161"/>
    <mergeCell ref="S143:S155"/>
    <mergeCell ref="S167:S174"/>
    <mergeCell ref="S156:S166"/>
    <mergeCell ref="L202:O202"/>
    <mergeCell ref="L201:O201"/>
    <mergeCell ref="S250:S263"/>
    <mergeCell ref="C253:M253"/>
    <mergeCell ref="C258:G259"/>
    <mergeCell ref="H258:K259"/>
    <mergeCell ref="H6:I6"/>
    <mergeCell ref="J6:K6"/>
    <mergeCell ref="L6:M6"/>
    <mergeCell ref="N6:O6"/>
    <mergeCell ref="D36:E36"/>
    <mergeCell ref="F36:G36"/>
    <mergeCell ref="H36:I36"/>
    <mergeCell ref="J36:K36"/>
    <mergeCell ref="N36:O36"/>
    <mergeCell ref="D30:F30"/>
    <mergeCell ref="H30:K30"/>
    <mergeCell ref="M30:O30"/>
    <mergeCell ref="D40:E40"/>
    <mergeCell ref="F40:G40"/>
    <mergeCell ref="H40:I40"/>
    <mergeCell ref="J40:K40"/>
    <mergeCell ref="N40:O40"/>
    <mergeCell ref="N3:Q3"/>
    <mergeCell ref="O21:Q21"/>
    <mergeCell ref="C34:C36"/>
    <mergeCell ref="D35:E35"/>
    <mergeCell ref="F35:G35"/>
    <mergeCell ref="H35:I35"/>
    <mergeCell ref="J35:K35"/>
    <mergeCell ref="N35:O35"/>
    <mergeCell ref="D39:E39"/>
    <mergeCell ref="F39:G39"/>
    <mergeCell ref="H39:I39"/>
    <mergeCell ref="J39:K39"/>
    <mergeCell ref="N39:O39"/>
    <mergeCell ref="N37:O37"/>
    <mergeCell ref="D38:E38"/>
    <mergeCell ref="F38:G38"/>
    <mergeCell ref="H38:I38"/>
    <mergeCell ref="J38:K38"/>
    <mergeCell ref="N38:O38"/>
    <mergeCell ref="D37:E37"/>
    <mergeCell ref="F37:G37"/>
    <mergeCell ref="H37:I37"/>
    <mergeCell ref="J37:K37"/>
    <mergeCell ref="S78:S85"/>
    <mergeCell ref="C79:C85"/>
    <mergeCell ref="D80:G81"/>
    <mergeCell ref="H81:M81"/>
    <mergeCell ref="H82:M82"/>
    <mergeCell ref="F84:G84"/>
    <mergeCell ref="H84:M84"/>
    <mergeCell ref="C57:D57"/>
    <mergeCell ref="E57:F57"/>
    <mergeCell ref="E58:F58"/>
    <mergeCell ref="E59:F59"/>
    <mergeCell ref="E60:F60"/>
    <mergeCell ref="S66:S77"/>
    <mergeCell ref="C69:M69"/>
    <mergeCell ref="C72:P72"/>
    <mergeCell ref="C73:O73"/>
    <mergeCell ref="C74:D74"/>
    <mergeCell ref="S43:S62"/>
    <mergeCell ref="C55:D55"/>
    <mergeCell ref="E55:F55"/>
    <mergeCell ref="G55:H57"/>
    <mergeCell ref="I55:O60"/>
    <mergeCell ref="O64:Q64"/>
    <mergeCell ref="S95:S103"/>
    <mergeCell ref="J96:L96"/>
    <mergeCell ref="M96:O96"/>
    <mergeCell ref="H98:I99"/>
    <mergeCell ref="H102:I102"/>
    <mergeCell ref="J102:O102"/>
    <mergeCell ref="S86:S94"/>
    <mergeCell ref="J87:L87"/>
    <mergeCell ref="M87:O87"/>
    <mergeCell ref="H89:I90"/>
    <mergeCell ref="H93:I93"/>
    <mergeCell ref="J93:O93"/>
    <mergeCell ref="C118:C124"/>
    <mergeCell ref="D119:G120"/>
    <mergeCell ref="H120:M120"/>
    <mergeCell ref="H121:M121"/>
    <mergeCell ref="F123:G123"/>
    <mergeCell ref="H123:M123"/>
    <mergeCell ref="S104:S116"/>
    <mergeCell ref="J105:L105"/>
    <mergeCell ref="M105:O105"/>
    <mergeCell ref="E106:O106"/>
    <mergeCell ref="H108:I108"/>
    <mergeCell ref="J108:O108"/>
    <mergeCell ref="H110:I110"/>
    <mergeCell ref="J110:O110"/>
    <mergeCell ref="H114:I114"/>
    <mergeCell ref="J114:O114"/>
    <mergeCell ref="J135:L135"/>
    <mergeCell ref="M135:O135"/>
    <mergeCell ref="H137:I138"/>
    <mergeCell ref="H141:I141"/>
    <mergeCell ref="J141:O141"/>
    <mergeCell ref="S125:S133"/>
    <mergeCell ref="J126:L126"/>
    <mergeCell ref="M126:O126"/>
    <mergeCell ref="H128:I129"/>
    <mergeCell ref="H132:I132"/>
    <mergeCell ref="J132:O132"/>
    <mergeCell ref="J144:L144"/>
    <mergeCell ref="M144:O144"/>
    <mergeCell ref="E145:O145"/>
    <mergeCell ref="H147:I147"/>
    <mergeCell ref="J147:O147"/>
    <mergeCell ref="H149:I149"/>
    <mergeCell ref="J149:O149"/>
    <mergeCell ref="H153:I153"/>
    <mergeCell ref="J153:O153"/>
    <mergeCell ref="G164:H164"/>
    <mergeCell ref="M163:O163"/>
    <mergeCell ref="D160:E162"/>
    <mergeCell ref="G160:H160"/>
    <mergeCell ref="I160:J160"/>
    <mergeCell ref="K160:L160"/>
    <mergeCell ref="M160:O160"/>
    <mergeCell ref="G161:H161"/>
    <mergeCell ref="I161:J161"/>
    <mergeCell ref="K161:L161"/>
    <mergeCell ref="I164:J164"/>
    <mergeCell ref="K164:L164"/>
    <mergeCell ref="M164:O164"/>
    <mergeCell ref="I159:J159"/>
    <mergeCell ref="G162:H162"/>
    <mergeCell ref="I162:J162"/>
    <mergeCell ref="K162:L162"/>
    <mergeCell ref="S178:S191"/>
    <mergeCell ref="C181:M181"/>
    <mergeCell ref="C186:G187"/>
    <mergeCell ref="H186:K187"/>
    <mergeCell ref="L187:O188"/>
    <mergeCell ref="F189:G189"/>
    <mergeCell ref="H189:O189"/>
    <mergeCell ref="E169:H169"/>
    <mergeCell ref="J169:P169"/>
    <mergeCell ref="D171:H171"/>
    <mergeCell ref="J171:P171"/>
    <mergeCell ref="H173:I173"/>
    <mergeCell ref="D163:E165"/>
    <mergeCell ref="G163:H163"/>
    <mergeCell ref="I163:J163"/>
    <mergeCell ref="K163:L163"/>
    <mergeCell ref="G165:H165"/>
    <mergeCell ref="I165:J165"/>
    <mergeCell ref="K165:L165"/>
    <mergeCell ref="M165:O165"/>
    <mergeCell ref="D199:E199"/>
    <mergeCell ref="F199:G199"/>
    <mergeCell ref="C192:F192"/>
    <mergeCell ref="C195:P195"/>
    <mergeCell ref="C196:P196"/>
    <mergeCell ref="D198:E198"/>
    <mergeCell ref="F198:G198"/>
    <mergeCell ref="H198:I198"/>
    <mergeCell ref="J198:K198"/>
    <mergeCell ref="H199:I199"/>
    <mergeCell ref="J199:K199"/>
    <mergeCell ref="L199:O199"/>
    <mergeCell ref="D200:E200"/>
    <mergeCell ref="F200:G200"/>
    <mergeCell ref="H200:I200"/>
    <mergeCell ref="J200:K200"/>
    <mergeCell ref="L200:O200"/>
    <mergeCell ref="C212:F212"/>
    <mergeCell ref="S212:S219"/>
    <mergeCell ref="C215:P215"/>
    <mergeCell ref="C216:P216"/>
    <mergeCell ref="D219:E219"/>
    <mergeCell ref="I219:J219"/>
    <mergeCell ref="M219:O219"/>
    <mergeCell ref="D203:E203"/>
    <mergeCell ref="F203:G203"/>
    <mergeCell ref="H203:I203"/>
    <mergeCell ref="J203:K203"/>
    <mergeCell ref="L203:O203"/>
    <mergeCell ref="C205:E205"/>
    <mergeCell ref="F205:O205"/>
    <mergeCell ref="S192:S211"/>
    <mergeCell ref="D201:E201"/>
    <mergeCell ref="F201:G201"/>
    <mergeCell ref="H201:I201"/>
    <mergeCell ref="J201:K201"/>
    <mergeCell ref="D202:E202"/>
    <mergeCell ref="F202:G202"/>
    <mergeCell ref="H202:I202"/>
    <mergeCell ref="J202:K202"/>
    <mergeCell ref="D223:E223"/>
    <mergeCell ref="I223:J223"/>
    <mergeCell ref="M223:O223"/>
    <mergeCell ref="D224:E224"/>
    <mergeCell ref="I224:J224"/>
    <mergeCell ref="M224:O224"/>
    <mergeCell ref="D220:E220"/>
    <mergeCell ref="I220:J220"/>
    <mergeCell ref="M220:O220"/>
    <mergeCell ref="D221:E221"/>
    <mergeCell ref="I221:J221"/>
    <mergeCell ref="M221:O221"/>
    <mergeCell ref="D222:E222"/>
    <mergeCell ref="I222:J222"/>
    <mergeCell ref="M222:O222"/>
    <mergeCell ref="D229:E229"/>
    <mergeCell ref="I229:J229"/>
    <mergeCell ref="M229:O229"/>
    <mergeCell ref="S230:S246"/>
    <mergeCell ref="C231:E231"/>
    <mergeCell ref="F231:O231"/>
    <mergeCell ref="E241:H241"/>
    <mergeCell ref="J241:P241"/>
    <mergeCell ref="D243:H243"/>
    <mergeCell ref="J243:P243"/>
    <mergeCell ref="S220:S229"/>
    <mergeCell ref="H245:I245"/>
    <mergeCell ref="D227:E227"/>
    <mergeCell ref="I227:J227"/>
    <mergeCell ref="M227:O227"/>
    <mergeCell ref="D228:E228"/>
    <mergeCell ref="I228:J228"/>
    <mergeCell ref="M228:O228"/>
    <mergeCell ref="D225:E225"/>
    <mergeCell ref="I225:J225"/>
    <mergeCell ref="M225:O225"/>
    <mergeCell ref="D226:E226"/>
    <mergeCell ref="I226:J226"/>
    <mergeCell ref="M226:O226"/>
    <mergeCell ref="L258:O258"/>
    <mergeCell ref="L259:O260"/>
    <mergeCell ref="F261:G261"/>
    <mergeCell ref="H261:O261"/>
    <mergeCell ref="F271:H271"/>
    <mergeCell ref="I271:O271"/>
    <mergeCell ref="D272:E272"/>
    <mergeCell ref="F272:H272"/>
    <mergeCell ref="I272:O272"/>
    <mergeCell ref="D273:E273"/>
    <mergeCell ref="F273:H273"/>
    <mergeCell ref="I273:O273"/>
    <mergeCell ref="S264:S282"/>
    <mergeCell ref="D268:E268"/>
    <mergeCell ref="F268:H268"/>
    <mergeCell ref="D269:E269"/>
    <mergeCell ref="F269:H269"/>
    <mergeCell ref="I269:O269"/>
    <mergeCell ref="D270:E270"/>
    <mergeCell ref="F270:H270"/>
    <mergeCell ref="I270:O270"/>
    <mergeCell ref="D271:E271"/>
    <mergeCell ref="S294:S307"/>
    <mergeCell ref="C297:M297"/>
    <mergeCell ref="C302:G303"/>
    <mergeCell ref="H302:K303"/>
    <mergeCell ref="L302:O302"/>
    <mergeCell ref="L303:O304"/>
    <mergeCell ref="F305:G305"/>
    <mergeCell ref="H305:O305"/>
    <mergeCell ref="F274:H274"/>
    <mergeCell ref="I274:O274"/>
    <mergeCell ref="C276:E277"/>
    <mergeCell ref="F276:O277"/>
    <mergeCell ref="S283:S290"/>
    <mergeCell ref="E285:H285"/>
    <mergeCell ref="J285:P285"/>
    <mergeCell ref="D287:H287"/>
    <mergeCell ref="J287:P287"/>
    <mergeCell ref="H289:I289"/>
    <mergeCell ref="F314:H314"/>
    <mergeCell ref="I314:O314"/>
    <mergeCell ref="D315:E315"/>
    <mergeCell ref="F315:H315"/>
    <mergeCell ref="I315:O315"/>
    <mergeCell ref="D316:E316"/>
    <mergeCell ref="F316:H316"/>
    <mergeCell ref="I316:O316"/>
    <mergeCell ref="S308:S325"/>
    <mergeCell ref="D311:E311"/>
    <mergeCell ref="F311:H311"/>
    <mergeCell ref="D312:E312"/>
    <mergeCell ref="F312:H312"/>
    <mergeCell ref="I312:O312"/>
    <mergeCell ref="D313:E313"/>
    <mergeCell ref="F313:H313"/>
    <mergeCell ref="I313:O313"/>
    <mergeCell ref="D314:E314"/>
    <mergeCell ref="F317:H317"/>
    <mergeCell ref="I317:O317"/>
    <mergeCell ref="C319:E320"/>
    <mergeCell ref="F319:O320"/>
    <mergeCell ref="S326:S333"/>
    <mergeCell ref="E328:H328"/>
    <mergeCell ref="J328:P328"/>
    <mergeCell ref="D330:H330"/>
    <mergeCell ref="J330:P330"/>
    <mergeCell ref="H332:I332"/>
    <mergeCell ref="S337:S347"/>
    <mergeCell ref="C340:M340"/>
    <mergeCell ref="S348:S357"/>
    <mergeCell ref="C349:C352"/>
    <mergeCell ref="F349:G349"/>
    <mergeCell ref="M349:N349"/>
    <mergeCell ref="F353:G353"/>
    <mergeCell ref="M353:N353"/>
    <mergeCell ref="G355:H355"/>
    <mergeCell ref="I355:O355"/>
    <mergeCell ref="S367:S373"/>
    <mergeCell ref="E369:H369"/>
    <mergeCell ref="J369:P369"/>
    <mergeCell ref="D371:H371"/>
    <mergeCell ref="J371:P371"/>
    <mergeCell ref="S374:S383"/>
    <mergeCell ref="C377:M377"/>
    <mergeCell ref="S358:S366"/>
    <mergeCell ref="C359:C361"/>
    <mergeCell ref="F359:G359"/>
    <mergeCell ref="M359:N359"/>
    <mergeCell ref="F363:G363"/>
    <mergeCell ref="M363:N363"/>
    <mergeCell ref="G365:H365"/>
    <mergeCell ref="I365:O365"/>
    <mergeCell ref="T409:T410"/>
    <mergeCell ref="U409:AD409"/>
    <mergeCell ref="AE409:AE410"/>
    <mergeCell ref="AF409:AF410"/>
    <mergeCell ref="AG409:AG410"/>
    <mergeCell ref="AH409:AH410"/>
    <mergeCell ref="S384:S406"/>
    <mergeCell ref="C405:G405"/>
    <mergeCell ref="J405:K405"/>
    <mergeCell ref="M405:N405"/>
    <mergeCell ref="C407:F407"/>
    <mergeCell ref="S407:S426"/>
    <mergeCell ref="C409:D410"/>
    <mergeCell ref="E409:N409"/>
    <mergeCell ref="O409:P410"/>
    <mergeCell ref="O411:P411"/>
    <mergeCell ref="C417:D417"/>
    <mergeCell ref="O417:P417"/>
    <mergeCell ref="C418:D418"/>
    <mergeCell ref="O418:P418"/>
    <mergeCell ref="O419:P419"/>
    <mergeCell ref="O420:P420"/>
    <mergeCell ref="O412:P412"/>
    <mergeCell ref="O413:P413"/>
    <mergeCell ref="O414:P414"/>
    <mergeCell ref="C415:D415"/>
    <mergeCell ref="O415:P415"/>
    <mergeCell ref="C416:D416"/>
    <mergeCell ref="O416:P416"/>
    <mergeCell ref="S427:S434"/>
    <mergeCell ref="C428:D428"/>
    <mergeCell ref="O428:P428"/>
    <mergeCell ref="O429:P429"/>
    <mergeCell ref="O430:P430"/>
    <mergeCell ref="O421:P421"/>
    <mergeCell ref="C422:D422"/>
    <mergeCell ref="O422:P422"/>
    <mergeCell ref="C423:D423"/>
    <mergeCell ref="O423:P423"/>
    <mergeCell ref="C424:D424"/>
    <mergeCell ref="O424:P424"/>
    <mergeCell ref="C431:D431"/>
    <mergeCell ref="O431:P431"/>
    <mergeCell ref="C432:D432"/>
    <mergeCell ref="O432:P432"/>
    <mergeCell ref="C433:D433"/>
    <mergeCell ref="O433:P433"/>
    <mergeCell ref="C425:D425"/>
    <mergeCell ref="O425:P425"/>
    <mergeCell ref="C426:D426"/>
    <mergeCell ref="E426:P426"/>
    <mergeCell ref="O427:P427"/>
    <mergeCell ref="C440:D440"/>
    <mergeCell ref="O440:P440"/>
    <mergeCell ref="C441:D441"/>
    <mergeCell ref="O441:P441"/>
    <mergeCell ref="O442:P442"/>
    <mergeCell ref="C443:D443"/>
    <mergeCell ref="O443:P443"/>
    <mergeCell ref="C434:D434"/>
    <mergeCell ref="E434:P434"/>
    <mergeCell ref="O435:P435"/>
    <mergeCell ref="O436:P436"/>
    <mergeCell ref="C437:D437"/>
    <mergeCell ref="O437:P437"/>
    <mergeCell ref="O438:P438"/>
    <mergeCell ref="C439:D439"/>
    <mergeCell ref="O439:P439"/>
    <mergeCell ref="S449:S450"/>
    <mergeCell ref="C452:F452"/>
    <mergeCell ref="S452:S471"/>
    <mergeCell ref="C454:D455"/>
    <mergeCell ref="E454:N454"/>
    <mergeCell ref="O454:P455"/>
    <mergeCell ref="O444:P444"/>
    <mergeCell ref="C445:D445"/>
    <mergeCell ref="O445:P445"/>
    <mergeCell ref="C446:D446"/>
    <mergeCell ref="O446:P446"/>
    <mergeCell ref="C447:D447"/>
    <mergeCell ref="O447:P447"/>
    <mergeCell ref="S435:S448"/>
    <mergeCell ref="O456:P456"/>
    <mergeCell ref="O457:P457"/>
    <mergeCell ref="C458:D458"/>
    <mergeCell ref="O458:P458"/>
    <mergeCell ref="O459:P459"/>
    <mergeCell ref="C460:D460"/>
    <mergeCell ref="O460:P460"/>
    <mergeCell ref="C448:D448"/>
    <mergeCell ref="E448:P448"/>
    <mergeCell ref="C449:D449"/>
    <mergeCell ref="O449:P449"/>
    <mergeCell ref="O464:P464"/>
    <mergeCell ref="C465:D465"/>
    <mergeCell ref="O465:P465"/>
    <mergeCell ref="O466:P466"/>
    <mergeCell ref="C467:D467"/>
    <mergeCell ref="O467:P467"/>
    <mergeCell ref="C461:D461"/>
    <mergeCell ref="O461:P461"/>
    <mergeCell ref="C462:D462"/>
    <mergeCell ref="O462:P462"/>
    <mergeCell ref="C463:D463"/>
    <mergeCell ref="O463:P463"/>
    <mergeCell ref="S472:S479"/>
    <mergeCell ref="C473:D473"/>
    <mergeCell ref="O473:P473"/>
    <mergeCell ref="C474:D474"/>
    <mergeCell ref="O474:P474"/>
    <mergeCell ref="O475:P475"/>
    <mergeCell ref="C476:D476"/>
    <mergeCell ref="C468:D468"/>
    <mergeCell ref="O468:P468"/>
    <mergeCell ref="C469:D469"/>
    <mergeCell ref="O469:P469"/>
    <mergeCell ref="C470:D470"/>
    <mergeCell ref="O470:P470"/>
    <mergeCell ref="O476:P476"/>
    <mergeCell ref="C477:D477"/>
    <mergeCell ref="O477:P477"/>
    <mergeCell ref="C478:D478"/>
    <mergeCell ref="O478:P478"/>
    <mergeCell ref="C479:D479"/>
    <mergeCell ref="E479:P479"/>
    <mergeCell ref="C471:D471"/>
    <mergeCell ref="E471:P471"/>
    <mergeCell ref="O472:P472"/>
    <mergeCell ref="O480:P480"/>
    <mergeCell ref="S480:S494"/>
    <mergeCell ref="O481:P481"/>
    <mergeCell ref="C482:D482"/>
    <mergeCell ref="O482:P482"/>
    <mergeCell ref="O483:P483"/>
    <mergeCell ref="C484:D484"/>
    <mergeCell ref="O484:P484"/>
    <mergeCell ref="C485:D485"/>
    <mergeCell ref="O485:P485"/>
    <mergeCell ref="C490:D490"/>
    <mergeCell ref="O490:P490"/>
    <mergeCell ref="C491:D491"/>
    <mergeCell ref="O491:P491"/>
    <mergeCell ref="C492:D492"/>
    <mergeCell ref="O492:P492"/>
    <mergeCell ref="C486:D486"/>
    <mergeCell ref="O486:P486"/>
    <mergeCell ref="O487:P487"/>
    <mergeCell ref="C488:D488"/>
    <mergeCell ref="O488:P488"/>
    <mergeCell ref="O489:P489"/>
    <mergeCell ref="C493:D493"/>
    <mergeCell ref="E493:P493"/>
    <mergeCell ref="C494:D494"/>
    <mergeCell ref="O494:P494"/>
    <mergeCell ref="S495:S502"/>
    <mergeCell ref="E497:H497"/>
    <mergeCell ref="J497:P497"/>
    <mergeCell ref="D499:H499"/>
    <mergeCell ref="J499:P499"/>
    <mergeCell ref="H501:I501"/>
    <mergeCell ref="O521:P521"/>
    <mergeCell ref="C522:D522"/>
    <mergeCell ref="O522:P522"/>
    <mergeCell ref="O523:P523"/>
    <mergeCell ref="C524:D524"/>
    <mergeCell ref="O524:P524"/>
    <mergeCell ref="S506:S514"/>
    <mergeCell ref="C509:M509"/>
    <mergeCell ref="C515:F515"/>
    <mergeCell ref="S515:S525"/>
    <mergeCell ref="C517:D518"/>
    <mergeCell ref="E517:N517"/>
    <mergeCell ref="O517:P518"/>
    <mergeCell ref="C520:D520"/>
    <mergeCell ref="O520:P520"/>
    <mergeCell ref="C521:D521"/>
    <mergeCell ref="S534:S541"/>
    <mergeCell ref="C535:D535"/>
    <mergeCell ref="O535:P535"/>
    <mergeCell ref="C536:D536"/>
    <mergeCell ref="O536:P536"/>
    <mergeCell ref="C525:D525"/>
    <mergeCell ref="E525:P525"/>
    <mergeCell ref="S526:S533"/>
    <mergeCell ref="C527:D527"/>
    <mergeCell ref="O527:P527"/>
    <mergeCell ref="O528:P528"/>
    <mergeCell ref="C529:D529"/>
    <mergeCell ref="O529:P529"/>
    <mergeCell ref="C530:D530"/>
    <mergeCell ref="O530:P530"/>
    <mergeCell ref="C537:D537"/>
    <mergeCell ref="O537:P537"/>
    <mergeCell ref="O538:P538"/>
    <mergeCell ref="C539:D539"/>
    <mergeCell ref="O539:P539"/>
    <mergeCell ref="C540:D540"/>
    <mergeCell ref="E540:P540"/>
    <mergeCell ref="O531:P531"/>
    <mergeCell ref="C532:D532"/>
    <mergeCell ref="O532:P532"/>
    <mergeCell ref="C533:D533"/>
    <mergeCell ref="E533:P533"/>
    <mergeCell ref="O549:P549"/>
    <mergeCell ref="O550:P550"/>
    <mergeCell ref="C551:D551"/>
    <mergeCell ref="O551:P551"/>
    <mergeCell ref="C552:D552"/>
    <mergeCell ref="E552:P552"/>
    <mergeCell ref="C542:F542"/>
    <mergeCell ref="S542:S552"/>
    <mergeCell ref="C544:D545"/>
    <mergeCell ref="E544:N544"/>
    <mergeCell ref="O544:P545"/>
    <mergeCell ref="C547:D547"/>
    <mergeCell ref="O547:P547"/>
    <mergeCell ref="C548:D548"/>
    <mergeCell ref="O548:P548"/>
    <mergeCell ref="C549:D549"/>
    <mergeCell ref="O559:P559"/>
    <mergeCell ref="C560:D560"/>
    <mergeCell ref="E560:P560"/>
    <mergeCell ref="S561:S567"/>
    <mergeCell ref="C562:D562"/>
    <mergeCell ref="O562:P562"/>
    <mergeCell ref="C563:D563"/>
    <mergeCell ref="O563:P563"/>
    <mergeCell ref="C564:D564"/>
    <mergeCell ref="O564:P564"/>
    <mergeCell ref="S553:S560"/>
    <mergeCell ref="C554:D554"/>
    <mergeCell ref="O554:P554"/>
    <mergeCell ref="O555:P555"/>
    <mergeCell ref="C556:D556"/>
    <mergeCell ref="O556:P556"/>
    <mergeCell ref="C557:D557"/>
    <mergeCell ref="O557:P557"/>
    <mergeCell ref="O558:P558"/>
    <mergeCell ref="C559:D559"/>
    <mergeCell ref="O565:P565"/>
    <mergeCell ref="C566:D566"/>
    <mergeCell ref="O566:P566"/>
    <mergeCell ref="C567:D567"/>
    <mergeCell ref="E567:P567"/>
    <mergeCell ref="S568:S575"/>
    <mergeCell ref="E570:H570"/>
    <mergeCell ref="J570:P570"/>
    <mergeCell ref="D572:H572"/>
    <mergeCell ref="J572:P572"/>
    <mergeCell ref="H574:I574"/>
    <mergeCell ref="S579:S599"/>
    <mergeCell ref="C582:M582"/>
    <mergeCell ref="C587:D587"/>
    <mergeCell ref="C588:D588"/>
    <mergeCell ref="F600:J600"/>
    <mergeCell ref="K600:O600"/>
    <mergeCell ref="S600:S611"/>
    <mergeCell ref="C602:E603"/>
    <mergeCell ref="F602:G602"/>
    <mergeCell ref="C605:E605"/>
    <mergeCell ref="I605:J605"/>
    <mergeCell ref="N605:P605"/>
    <mergeCell ref="C606:E606"/>
    <mergeCell ref="I606:J606"/>
    <mergeCell ref="N606:P606"/>
    <mergeCell ref="H602:J602"/>
    <mergeCell ref="K602:L602"/>
    <mergeCell ref="M602:O602"/>
    <mergeCell ref="I603:J603"/>
    <mergeCell ref="N603:P603"/>
    <mergeCell ref="O604:P604"/>
    <mergeCell ref="C609:E609"/>
    <mergeCell ref="I609:J609"/>
    <mergeCell ref="N609:P609"/>
    <mergeCell ref="C610:E610"/>
    <mergeCell ref="I610:J610"/>
    <mergeCell ref="N610:P610"/>
    <mergeCell ref="C607:E607"/>
    <mergeCell ref="I607:J607"/>
    <mergeCell ref="N607:P607"/>
    <mergeCell ref="C608:E608"/>
    <mergeCell ref="I608:J608"/>
    <mergeCell ref="N608:P608"/>
    <mergeCell ref="S616:S619"/>
    <mergeCell ref="C617:E617"/>
    <mergeCell ref="I617:J617"/>
    <mergeCell ref="N617:P617"/>
    <mergeCell ref="C618:E618"/>
    <mergeCell ref="C611:E611"/>
    <mergeCell ref="F611:J611"/>
    <mergeCell ref="K611:P611"/>
    <mergeCell ref="O612:P612"/>
    <mergeCell ref="S612:S615"/>
    <mergeCell ref="C613:E613"/>
    <mergeCell ref="I613:J613"/>
    <mergeCell ref="N613:P613"/>
    <mergeCell ref="C614:E614"/>
    <mergeCell ref="I614:J614"/>
    <mergeCell ref="I618:J618"/>
    <mergeCell ref="N618:P618"/>
    <mergeCell ref="C619:E619"/>
    <mergeCell ref="F619:J619"/>
    <mergeCell ref="K619:P619"/>
    <mergeCell ref="O620:P620"/>
    <mergeCell ref="N614:P614"/>
    <mergeCell ref="C615:E615"/>
    <mergeCell ref="F615:J615"/>
    <mergeCell ref="K615:P615"/>
    <mergeCell ref="O616:P616"/>
    <mergeCell ref="S620:S623"/>
    <mergeCell ref="C621:E621"/>
    <mergeCell ref="I621:J621"/>
    <mergeCell ref="N621:P621"/>
    <mergeCell ref="C622:E622"/>
    <mergeCell ref="I622:J622"/>
    <mergeCell ref="N622:P622"/>
    <mergeCell ref="C623:E623"/>
    <mergeCell ref="F623:J623"/>
    <mergeCell ref="K623:P623"/>
    <mergeCell ref="O624:P624"/>
    <mergeCell ref="S624:S628"/>
    <mergeCell ref="C625:E625"/>
    <mergeCell ref="I625:J625"/>
    <mergeCell ref="N625:P625"/>
    <mergeCell ref="C626:E626"/>
    <mergeCell ref="I626:J626"/>
    <mergeCell ref="N626:P626"/>
    <mergeCell ref="C627:E627"/>
    <mergeCell ref="I627:J627"/>
    <mergeCell ref="N627:P627"/>
    <mergeCell ref="C628:E628"/>
    <mergeCell ref="F628:J628"/>
    <mergeCell ref="K628:P628"/>
    <mergeCell ref="O629:P629"/>
    <mergeCell ref="C637:E637"/>
    <mergeCell ref="F637:J637"/>
    <mergeCell ref="K637:P637"/>
    <mergeCell ref="S629:S632"/>
    <mergeCell ref="C630:E630"/>
    <mergeCell ref="I630:J630"/>
    <mergeCell ref="N630:P630"/>
    <mergeCell ref="C631:E631"/>
    <mergeCell ref="I631:J631"/>
    <mergeCell ref="N631:P631"/>
    <mergeCell ref="C632:E632"/>
    <mergeCell ref="F632:J632"/>
    <mergeCell ref="K632:P632"/>
    <mergeCell ref="O638:P638"/>
    <mergeCell ref="S638:S641"/>
    <mergeCell ref="H640:I640"/>
    <mergeCell ref="S633:S637"/>
    <mergeCell ref="C634:E634"/>
    <mergeCell ref="I634:J634"/>
    <mergeCell ref="N634:P634"/>
    <mergeCell ref="C635:E635"/>
    <mergeCell ref="I635:J635"/>
    <mergeCell ref="N635:P635"/>
    <mergeCell ref="C636:E636"/>
    <mergeCell ref="I636:J636"/>
    <mergeCell ref="N636:P636"/>
    <mergeCell ref="O633:P633"/>
    <mergeCell ref="S645:S665"/>
    <mergeCell ref="C648:M648"/>
    <mergeCell ref="C653:D653"/>
    <mergeCell ref="C654:D654"/>
    <mergeCell ref="F666:J666"/>
    <mergeCell ref="K666:O666"/>
    <mergeCell ref="S666:S673"/>
    <mergeCell ref="C668:E669"/>
    <mergeCell ref="F668:G668"/>
    <mergeCell ref="H668:J668"/>
    <mergeCell ref="C672:E672"/>
    <mergeCell ref="I672:J672"/>
    <mergeCell ref="N672:P672"/>
    <mergeCell ref="C673:E673"/>
    <mergeCell ref="F673:J673"/>
    <mergeCell ref="K673:P673"/>
    <mergeCell ref="K668:L668"/>
    <mergeCell ref="M668:O668"/>
    <mergeCell ref="I669:J669"/>
    <mergeCell ref="N669:P669"/>
    <mergeCell ref="O670:P670"/>
    <mergeCell ref="C671:E671"/>
    <mergeCell ref="I671:J671"/>
    <mergeCell ref="N671:P671"/>
    <mergeCell ref="O674:P674"/>
    <mergeCell ref="S674:S677"/>
    <mergeCell ref="C675:E675"/>
    <mergeCell ref="I675:J675"/>
    <mergeCell ref="N675:P675"/>
    <mergeCell ref="C676:E676"/>
    <mergeCell ref="I676:J676"/>
    <mergeCell ref="N676:P676"/>
    <mergeCell ref="C677:E677"/>
    <mergeCell ref="F677:J677"/>
    <mergeCell ref="K677:P677"/>
    <mergeCell ref="O678:P678"/>
    <mergeCell ref="S678:S680"/>
    <mergeCell ref="C679:E679"/>
    <mergeCell ref="I679:J679"/>
    <mergeCell ref="N679:P679"/>
    <mergeCell ref="C680:E680"/>
    <mergeCell ref="F680:J680"/>
    <mergeCell ref="K680:P680"/>
    <mergeCell ref="O688:P688"/>
    <mergeCell ref="S688:S691"/>
    <mergeCell ref="C689:E689"/>
    <mergeCell ref="I689:J689"/>
    <mergeCell ref="N689:P689"/>
    <mergeCell ref="C690:E690"/>
    <mergeCell ref="O681:P681"/>
    <mergeCell ref="S681:S683"/>
    <mergeCell ref="C682:E682"/>
    <mergeCell ref="I682:J682"/>
    <mergeCell ref="N682:P682"/>
    <mergeCell ref="C683:E683"/>
    <mergeCell ref="F683:J683"/>
    <mergeCell ref="K683:P683"/>
    <mergeCell ref="O684:P684"/>
    <mergeCell ref="S684:S687"/>
    <mergeCell ref="C685:E685"/>
    <mergeCell ref="I685:J685"/>
    <mergeCell ref="N685:P685"/>
    <mergeCell ref="C686:E686"/>
    <mergeCell ref="I686:J686"/>
    <mergeCell ref="N686:P686"/>
    <mergeCell ref="C687:E687"/>
    <mergeCell ref="F687:J687"/>
    <mergeCell ref="K687:P687"/>
    <mergeCell ref="I690:J690"/>
    <mergeCell ref="N690:P690"/>
    <mergeCell ref="C691:E691"/>
    <mergeCell ref="K691:P691"/>
    <mergeCell ref="O692:P692"/>
    <mergeCell ref="O700:P700"/>
    <mergeCell ref="S700:S703"/>
    <mergeCell ref="H702:I702"/>
    <mergeCell ref="S707:S717"/>
    <mergeCell ref="C716:O716"/>
    <mergeCell ref="S692:S696"/>
    <mergeCell ref="C693:E693"/>
    <mergeCell ref="I693:J693"/>
    <mergeCell ref="N693:P693"/>
    <mergeCell ref="C694:E694"/>
    <mergeCell ref="I694:J694"/>
    <mergeCell ref="N694:P694"/>
    <mergeCell ref="C695:E695"/>
    <mergeCell ref="I695:J695"/>
    <mergeCell ref="N695:P695"/>
    <mergeCell ref="C696:E696"/>
    <mergeCell ref="F696:J696"/>
    <mergeCell ref="K696:P696"/>
    <mergeCell ref="F691:J691"/>
    <mergeCell ref="S718:S729"/>
    <mergeCell ref="C728:O728"/>
    <mergeCell ref="O697:P697"/>
    <mergeCell ref="S697:S699"/>
    <mergeCell ref="C698:E698"/>
    <mergeCell ref="I698:J698"/>
    <mergeCell ref="N698:P698"/>
    <mergeCell ref="C699:E699"/>
    <mergeCell ref="F699:J699"/>
    <mergeCell ref="K699:P699"/>
  </mergeCells>
  <conditionalFormatting sqref="C716 C728">
    <cfRule type="notContainsBlanks" dxfId="413" priority="3">
      <formula>LEN(TRIM(C716))&gt;0</formula>
    </cfRule>
  </conditionalFormatting>
  <conditionalFormatting sqref="D199:D201 F199:F201 H199:H201 J199:J201">
    <cfRule type="notContainsBlanks" dxfId="411" priority="5">
      <formula>LEN(TRIM(D199))&gt;0</formula>
    </cfRule>
  </conditionalFormatting>
  <conditionalFormatting sqref="E413:N414 E420:N421 E428:N430 E437:N438 E443:N444">
    <cfRule type="notContainsBlanks" dxfId="408" priority="7">
      <formula>LEN(TRIM(E413))&gt;0</formula>
    </cfRule>
  </conditionalFormatting>
  <conditionalFormatting sqref="E458:N459 E465:N466 E473:N475 E482:N483 E488:N489">
    <cfRule type="notContainsBlanks" dxfId="407" priority="6">
      <formula>LEN(TRIM(E458))&gt;0</formula>
    </cfRule>
  </conditionalFormatting>
  <conditionalFormatting sqref="E521:N522 E529:N530 E536:N537 E548:N549 E556:N557 E563:N564">
    <cfRule type="notContainsBlanks" dxfId="406" priority="4">
      <formula>LEN(TRIM(E521))&gt;0</formula>
    </cfRule>
  </conditionalFormatting>
  <conditionalFormatting sqref="F351 H351 K351 M351 O351 F361 H361 K361 M361 O361">
    <cfRule type="notContainsBlanks" dxfId="405" priority="8">
      <formula>LEN(TRIM(F351))&gt;0</formula>
    </cfRule>
  </conditionalFormatting>
  <conditionalFormatting sqref="F605:F610 K605:K610 F613:F614 K613:K614 F617:F618 K617:K618 F621:F622 K621:K622 F625:F627 K625:K627 F630:F631 K630:K631 F634:F636 K634:K636">
    <cfRule type="notContainsBlanks" dxfId="404" priority="1">
      <formula>LEN(TRIM(F605))&gt;0</formula>
    </cfRule>
  </conditionalFormatting>
  <conditionalFormatting sqref="F671:F672 K671:K672 F675:F676 K675:K676 F679 K679 F682 K682 F685:F686 K685:K686 F689:F690 K689:K690 F693:F695 K693:K695 F698 K698">
    <cfRule type="notContainsBlanks" dxfId="403" priority="2">
      <formula>LEN(TRIM(F671))&gt;0</formula>
    </cfRule>
  </conditionalFormatting>
  <conditionalFormatting sqref="G89 J89:N89 G91">
    <cfRule type="expression" dxfId="402" priority="14">
      <formula>OR($O$81=1,$O$81=3)</formula>
    </cfRule>
  </conditionalFormatting>
  <conditionalFormatting sqref="G98 J98:N98 G100">
    <cfRule type="expression" dxfId="401" priority="13">
      <formula>OR($O$81=1,$O$81=2)</formula>
    </cfRule>
  </conditionalFormatting>
  <conditionalFormatting sqref="G128 J128:N128 G130">
    <cfRule type="expression" dxfId="400" priority="12">
      <formula>OR($O$120=1,$O$120=3)</formula>
    </cfRule>
  </conditionalFormatting>
  <conditionalFormatting sqref="G137 J137:N137 G139">
    <cfRule type="expression" dxfId="399" priority="11">
      <formula>OR($O$120=1,$O$120=2)</formula>
    </cfRule>
  </conditionalFormatting>
  <conditionalFormatting sqref="H186 D220:J222 H258 F269:H273 H302 F312:H316">
    <cfRule type="notContainsBlanks" dxfId="398" priority="9">
      <formula>LEN(TRIM(D186))&gt;0</formula>
    </cfRule>
  </conditionalFormatting>
  <conditionalFormatting sqref="H81:M81 G89 J89:N89 G91 G98 J98:N98 G100 H120:M120 G128 J128:N128 G130 G137 J137:N137 G139 G157">
    <cfRule type="notContainsBlanks" dxfId="397" priority="10">
      <formula>LEN(TRIM(G81))&gt;0</formula>
    </cfRule>
  </conditionalFormatting>
  <conditionalFormatting sqref="I169 I171 I241 I243 I285 I287 I328 I330 I369 I371 I497 I499 I570 I572">
    <cfRule type="containsText" dxfId="396" priority="17" operator="containsText" text="Complété">
      <formula>NOT(ISERROR(SEARCH("Complété",I169)))</formula>
    </cfRule>
    <cfRule type="containsText" dxfId="395" priority="18" operator="containsText" text="À compléter">
      <formula>NOT(ISERROR(SEARCH("À compléter",I169)))</formula>
    </cfRule>
  </conditionalFormatting>
  <conditionalFormatting sqref="O24 O45 O67 O179 O251 O295 O338 O375 O507 O580 O646">
    <cfRule type="containsText" dxfId="394" priority="19" operator="containsText" text="Complété">
      <formula>NOT(ISERROR(SEARCH("Complété",O24)))</formula>
    </cfRule>
    <cfRule type="containsText" dxfId="393" priority="20" operator="containsText" text="À compléter">
      <formula>NOT(ISERROR(SEARCH("À compléter",O24)))</formula>
    </cfRule>
  </conditionalFormatting>
  <dataValidations count="1">
    <dataValidation allowBlank="1" showInputMessage="1" showErrorMessage="1" promptTitle="Explications: " prompt="Indiquer le total des coûts additionnels à planifier sur la ligne rose. Ce coût peut être un montant global ou l'addition des coûts inscrits sur les lignes jaunes facultatives, qui permettent de détailler ces coûts additionnels (plus de détails dans AIDE)" sqref="D414 D438 D421 D430 D444 D459 D466 D475 D483 D489" xr:uid="{00000000-0002-0000-0700-000000000000}"/>
  </dataValidations>
  <hyperlinks>
    <hyperlink ref="C16" location="'FORMULAIRE PGA Eaux usées'!A577" display="Partie 7A" xr:uid="{00000000-0004-0000-0700-000000000000}"/>
    <hyperlink ref="C8" location="'FORMULAIRE PGA Eaux usées'!A21" display="Partie 1" xr:uid="{00000000-0004-0000-0700-000001000000}"/>
    <hyperlink ref="C9" location="'FORMULAIRE PGA Eaux usées'!A64" display="Partie 2" xr:uid="{00000000-0004-0000-0700-000002000000}"/>
    <hyperlink ref="C10" location="'FORMULAIRE PGA Eaux usées'!A176" display="Partie 3" xr:uid="{00000000-0004-0000-0700-000003000000}"/>
    <hyperlink ref="C12" location="'FORMULAIRE PGA Eaux usées'!A292" display="Partie 4B" xr:uid="{00000000-0004-0000-0700-000004000000}"/>
    <hyperlink ref="H173:I173" location="'SOMMAIRE PGA Eaux usées'!B6" display="Voir le sommaire du portrait des actifs" xr:uid="{00000000-0004-0000-0700-000005000000}"/>
    <hyperlink ref="H245:I245" location="'SOMMAIRE PGA Eaux usées'!B29" display="Voir le sommaire niveaux de service" xr:uid="{00000000-0004-0000-0700-000006000000}"/>
    <hyperlink ref="C13" location="'FORMULAIRE PGA Eaux usées'!A335" display="Partie 5A" xr:uid="{00000000-0004-0000-0700-000007000000}"/>
    <hyperlink ref="C15" location="'FORMULAIRE PGA Eaux usées'!A504" display="Partie 6" xr:uid="{00000000-0004-0000-0700-000008000000}"/>
    <hyperlink ref="C11" location="'FORMULAIRE PGA Eaux usées'!A248" display="Partie 4A" xr:uid="{00000000-0004-0000-0700-000009000000}"/>
    <hyperlink ref="C14" location="'FORMULAIRE PGA Eaux usées'!A375" display="Partie 5B" xr:uid="{00000000-0004-0000-0700-00000A000000}"/>
    <hyperlink ref="C17" location="'FORMULAIRE PGA Eaux usées'!A643" display="Partie 7B" xr:uid="{00000000-0004-0000-0700-00000B000000}"/>
    <hyperlink ref="H332:I332" location="'SOMMAIRE PGA Eaux usées'!AQ46" display="Voir le sommaire de la demande à venir" xr:uid="{00000000-0004-0000-0700-00000C000000}"/>
    <hyperlink ref="H289:I289" location="'SOMMAIRE PGA Eaux usées'!C46" display="Voir le sommaire pour les risques" xr:uid="{00000000-0004-0000-0700-00000D000000}"/>
    <hyperlink ref="H501:I501" location="'SOMMAIRE PGA Eaux usées'!B54" display="Voir le sommaire des prévisions" xr:uid="{00000000-0004-0000-0700-00000E000000}"/>
    <hyperlink ref="H574:I574" location="'SOMMAIRE PGA Eaux usées'!B95" display="Voir le sommaire du financement" xr:uid="{00000000-0004-0000-0700-00000F000000}"/>
    <hyperlink ref="H640:I640" location="'SOMMAIRE PGA Eaux usées'!AQ111" display="Voir le sommaire du niveau de confiance" xr:uid="{00000000-0004-0000-0700-000010000000}"/>
    <hyperlink ref="H702:I702" location="'SOMMAIRE PGA Eaux usées'!C111" display="Voir le sommaire du niveau de progression" xr:uid="{00000000-0004-0000-0700-000011000000}"/>
    <hyperlink ref="J169:P169" location="'FORMULAIRE PGA Eaux usées'!A604" display="Aller à la partie 7 pour déterminer maintenant le niveau de confiance de votre municipalité pour cette partie du PGA" xr:uid="{00000000-0004-0000-0700-000012000000}"/>
    <hyperlink ref="J171:P171" location="'FORMULAIRE PGA Eaux usées'!A670" display="Aller à la partie 7 pour déterminer maintenant le niveau de progression de votre municipalité pour cette partie du PGA" xr:uid="{00000000-0004-0000-0700-000013000000}"/>
    <hyperlink ref="J241:P241" location="'FORMULAIRE PGA Eaux usées'!A612" display="Aller à la partie 7 pour déterminer maintenant le niveau de confiance de votre municipalité pour cette partie du PGA" xr:uid="{00000000-0004-0000-0700-000014000000}"/>
    <hyperlink ref="J243:P243" location="'FORMULAIRE PGA Eaux usées'!A674" display="Aller à la partie 7 pour déterminer maintenant le niveau de progression de votre municipalité pour cette partie du PGA" xr:uid="{00000000-0004-0000-0700-000015000000}"/>
    <hyperlink ref="J328:P328" location="'FORMULAIRE PGA Eaux usées'!A620" display="Aller à la partie 7 pour déterminer maintenant le niveau de confiance de votre municipalité pour cette partie du PGA" xr:uid="{00000000-0004-0000-0700-000016000000}"/>
    <hyperlink ref="J330:P330" location="'FORMULAIRE PGA Eaux usées'!A681" display="Aller à la partie 7 pour déterminer maintenant le niveau de progression de votre municipalité pour cette partie du PGA" xr:uid="{00000000-0004-0000-0700-000017000000}"/>
    <hyperlink ref="J285:P285" location="'FORMULAIRE PGA Eaux usées'!A616" display="Aller à la partie 7 pour déterminer maintenant le niveau de confiance de votre municipalité pour cette partie du PGA" xr:uid="{00000000-0004-0000-0700-000018000000}"/>
    <hyperlink ref="J287:P287" location="'FORMULAIRE PGA Eaux usées'!A678" display="Aller à la partie 7 pour déterminer maintenant le niveau de progression de votre municipalité pour cette partie du PGA" xr:uid="{00000000-0004-0000-0700-000019000000}"/>
    <hyperlink ref="J369:P369" location="'FORMULAIRE PGA Eaux usées'!A624" display="Aller à la partie 7 pour déterminer maintenant le niveau de confiance de votre municipalité pour cette partie du PGA" xr:uid="{00000000-0004-0000-0700-00001A000000}"/>
    <hyperlink ref="J371:P371" location="'FORMULAIRE PGA Eaux usées'!A684" display="Aller à la partie 7 pour déterminer maintenant le niveau de progression de votre municipalité pour cette partie du PGA" xr:uid="{00000000-0004-0000-0700-00001B000000}"/>
    <hyperlink ref="J497:P497" location="'FORMULAIRE PGA Eaux usées'!A624" display="Aller à la partie 7 pour déterminer maintenant le niveau de confiance de votre municipalité pour cette partie du PGA" xr:uid="{00000000-0004-0000-0700-00001C000000}"/>
    <hyperlink ref="J499:P499" location="'FORMULAIRE PGA Eaux usées'!A684" display="Aller à la partie 7 pour déterminer maintenant le niveau de progression de votre municipalité pour cette partie du PGA" xr:uid="{00000000-0004-0000-0700-00001D000000}"/>
    <hyperlink ref="J570:P570" location="'FORMULAIRE PGA Eaux usées'!A633" display="Aller à la partie 7 pour déterminer maintenant le niveau de confiance de votre municipalité pour cette partie du PGA" xr:uid="{00000000-0004-0000-0700-00001E000000}"/>
    <hyperlink ref="J572:P572" location="'FORMULAIRE PGA Eaux usées'!A692" display="Aller à la partie 7 pour déterminer maintenant le niveau de progression de votre municipalité pour cette partie du PGA" xr:uid="{00000000-0004-0000-0700-00001F000000}"/>
    <hyperlink ref="C604" location="'FORMULAIRE PGA Eaux usées'!A64" display="PORTRAIT DES ACTIFS" xr:uid="{00000000-0004-0000-0700-000020000000}"/>
    <hyperlink ref="C612" location="'FORMULAIRE PGA Eaux usées'!A176" display="NIVEAUX DE SERVICE" xr:uid="{00000000-0004-0000-0700-000021000000}"/>
    <hyperlink ref="C620" location="'FORMULAIRE PGA Eaux usées'!A292" display="DEMANDE À VENIR" xr:uid="{00000000-0004-0000-0700-000022000000}"/>
    <hyperlink ref="C616" location="'FORMULAIRE PGA Eaux usées'!A248" display="GESTION DES RISQUES" xr:uid="{00000000-0004-0000-0700-000023000000}"/>
    <hyperlink ref="C624" location="'FORMULAIRE PGA Eaux usées'!A375" display="CYCLE DE VIE - IMMOBILISATIONS" xr:uid="{00000000-0004-0000-0700-000024000000}"/>
    <hyperlink ref="C629" location="'FORMULAIRE PGA Eaux usées'!A375" display="CYCLE DE VIE - FONCTIONNEMENT" xr:uid="{00000000-0004-0000-0700-000025000000}"/>
    <hyperlink ref="C633" location="'FORMULAIRE PGA Eaux usées'!A504" display="RÉSUMÉ FINANCIER" xr:uid="{00000000-0004-0000-0700-000026000000}"/>
    <hyperlink ref="C670" location="'FORMULAIRE PGA Eaux usées'!A64" display="PORTRAIT DES ACTIFS" xr:uid="{00000000-0004-0000-0700-000027000000}"/>
    <hyperlink ref="C674" location="'FORMULAIRE PGA Eaux usées'!A176" display="NIVEAUX DE SERVICES" xr:uid="{00000000-0004-0000-0700-000028000000}"/>
    <hyperlink ref="C681" location="'FORMULAIRE PGA Eaux usées'!A292" display="DEMANDE À VENIR" xr:uid="{00000000-0004-0000-0700-000029000000}"/>
    <hyperlink ref="C678" location="'FORMULAIRE PGA Eaux usées'!A248" display="GESTION DES RISQUES" xr:uid="{00000000-0004-0000-0700-00002A000000}"/>
    <hyperlink ref="C684" location="'FORMULAIRE PGA Eaux usées'!A375" display="CYCLE DE VIE - IMMOBILISATIONS" xr:uid="{00000000-0004-0000-0700-00002B000000}"/>
    <hyperlink ref="C688" location="'FORMULAIRE PGA Eaux usées'!A375" display="CYCLE DE VIE - FONCTIONNEMENT" xr:uid="{00000000-0004-0000-0700-00002C000000}"/>
    <hyperlink ref="C692" location="'FORMULAIRE PGA Eaux usées'!A504" display="RÉSUMÉ FINANCIER" xr:uid="{00000000-0004-0000-0700-00002D000000}"/>
    <hyperlink ref="C697" location="'FORMULAIRE PGA Eaux usées'!A577" display="AMÉLIORATION ET SUIVI" xr:uid="{00000000-0004-0000-0700-00002E000000}"/>
    <hyperlink ref="C18" location="'FORMULAIRE PGA Eaux usées'!A705" display="Partie 8" xr:uid="{00000000-0004-0000-0700-00002F000000}"/>
    <hyperlink ref="O21:Q21" location="AIDE!A21" display="AIDE" xr:uid="{00000000-0004-0000-0700-000030000000}"/>
    <hyperlink ref="O64:Q64" location="AIDE!A47" display="AIDE" xr:uid="{00000000-0004-0000-0700-000031000000}"/>
    <hyperlink ref="O176:Q176" location="AIDE!A87" display="AIDE" xr:uid="{00000000-0004-0000-0700-000032000000}"/>
    <hyperlink ref="O248:Q248" location="AIDE!A137" display="AIDE" xr:uid="{00000000-0004-0000-0700-000033000000}"/>
    <hyperlink ref="O292:Q292" location="AIDE!A137" display="AIDE" xr:uid="{00000000-0004-0000-0700-000034000000}"/>
    <hyperlink ref="O335:Q335" location="AIDE!A173" display="AIDE" xr:uid="{00000000-0004-0000-0700-000035000000}"/>
    <hyperlink ref="O504:Q504" location="AIDE!A216" display="AIDE" xr:uid="{00000000-0004-0000-0700-000036000000}"/>
    <hyperlink ref="O577:Q577" location="AIDE!A236" display="AIDE" xr:uid="{00000000-0004-0000-0700-000037000000}"/>
    <hyperlink ref="O643:Q643" location="AIDE!A236" display="AIDE" xr:uid="{00000000-0004-0000-0700-000038000000}"/>
    <hyperlink ref="O705:Q705" location="AIDE!A267" display="AIDE" xr:uid="{00000000-0004-0000-0700-000039000000}"/>
  </hyperlinks>
  <pageMargins left="0.82677165354330717" right="0.62992125984251968" top="0.47244094488188981" bottom="0.47244094488188981" header="0.31496062992125984" footer="0.31496062992125984"/>
  <pageSetup scale="54" fitToHeight="0" orientation="landscape" r:id="rId1"/>
  <headerFooter>
    <oddFooter>&amp;L&amp;K08-040Version 1.0    © CERIU, 2023&amp;R&amp;K08-038FORMULAIRE PGA Eaux usées
  Page &amp;P / &amp;N</oddFooter>
  </headerFooter>
  <rowBreaks count="17" manualBreakCount="17">
    <brk id="63" max="16383" man="1"/>
    <brk id="116" max="16383" man="1"/>
    <brk id="175" max="16383" man="1"/>
    <brk id="211" max="16383" man="1"/>
    <brk id="247" max="16383" man="1"/>
    <brk id="291" max="16383" man="1"/>
    <brk id="334" max="16383" man="1"/>
    <brk id="373" max="16383" man="1"/>
    <brk id="405" max="16383" man="1"/>
    <brk id="450" max="17" man="1"/>
    <brk id="503" max="16383" man="1"/>
    <brk id="541" max="16383" man="1"/>
    <brk id="576" max="16383" man="1"/>
    <brk id="598" max="16383" man="1"/>
    <brk id="642" max="16383" man="1"/>
    <brk id="664" max="16383" man="1"/>
    <brk id="704" max="16383" man="1"/>
  </rowBreaks>
  <colBreaks count="1" manualBreakCount="1">
    <brk id="1" max="729" man="1"/>
  </colBreaks>
  <extLst>
    <ext xmlns:x14="http://schemas.microsoft.com/office/spreadsheetml/2009/9/main" uri="{78C0D931-6437-407d-A8EE-F0AAD7539E65}">
      <x14:conditionalFormattings>
        <x14:conditionalFormatting xmlns:xm="http://schemas.microsoft.com/office/excel/2006/main">
          <x14:cfRule type="notContainsBlanks" priority="16" id="{08AC2E59-0421-4C64-8142-8764D73D0499}">
            <xm:f>LEN(TRIM(IDENTIFICATION!D31))&gt;0</xm:f>
            <x14:dxf>
              <fill>
                <patternFill>
                  <bgColor theme="9" tint="0.59996337778862885"/>
                </patternFill>
              </fill>
            </x14:dxf>
          </x14:cfRule>
          <xm:sqref>D30 M30</xm:sqref>
        </x14:conditionalFormatting>
        <x14:conditionalFormatting xmlns:xm="http://schemas.microsoft.com/office/excel/2006/main">
          <x14:cfRule type="notContainsBlanks" priority="21" id="{838002AE-C6B4-4867-A895-3F846D72DCF5}">
            <xm:f>LEN(TRIM(IDENTIFICATION!E49))&gt;0</xm:f>
            <x14:dxf>
              <fill>
                <patternFill>
                  <bgColor theme="9" tint="0.59996337778862885"/>
                </patternFill>
              </fill>
            </x14:dxf>
          </x14:cfRule>
          <xm:sqref>E51 E53</xm:sqref>
        </x14:conditionalFormatting>
        <x14:conditionalFormatting xmlns:xm="http://schemas.microsoft.com/office/excel/2006/main">
          <x14:cfRule type="notContainsBlanks" priority="15" id="{DD66703D-DB79-42A8-A9D0-2DBF7409A768}">
            <xm:f>LEN(TRIM(IDENTIFICATION!F55))&gt;0</xm:f>
            <x14:dxf>
              <fill>
                <patternFill>
                  <bgColor theme="9" tint="0.59996337778862885"/>
                </patternFill>
              </fill>
            </x14:dxf>
          </x14:cfRule>
          <xm:sqref>E55 E57:E60</xm:sqref>
        </x14:conditionalFormatting>
      </x14:conditionalFormattings>
    </ext>
    <ext xmlns:x14="http://schemas.microsoft.com/office/spreadsheetml/2009/9/main" uri="{CCE6A557-97BC-4b89-ADB6-D9C93CAAB3DF}">
      <x14:dataValidations xmlns:xm="http://schemas.microsoft.com/office/excel/2006/main" count="19">
        <x14:dataValidation type="list" allowBlank="1" showInputMessage="1" showErrorMessage="1" xr:uid="{00000000-0002-0000-0700-000001000000}">
          <x14:formula1>
            <xm:f>'MENU DÉROULANT'!$E$110:$E$114</xm:f>
          </x14:formula1>
          <xm:sqref>F675:F676 K675:K676 F679 K679 F682 K682 F685:F686 K685:K686 F689:F690 K689:K690 F693:F695 K693:K695 F698 K698</xm:sqref>
        </x14:dataValidation>
        <x14:dataValidation type="list" allowBlank="1" showInputMessage="1" showErrorMessage="1" xr:uid="{00000000-0002-0000-0700-000002000000}">
          <x14:formula1>
            <xm:f>'MENU DÉROULANT'!$G$76:$G$77</xm:f>
          </x14:formula1>
          <xm:sqref>H199:I203</xm:sqref>
        </x14:dataValidation>
        <x14:dataValidation type="list" allowBlank="1" showInputMessage="1" showErrorMessage="1" xr:uid="{00000000-0002-0000-0700-000003000000}">
          <x14:formula1>
            <xm:f>'MENU DÉROULANT'!$C$92:$C$94</xm:f>
          </x14:formula1>
          <xm:sqref>H302:K303</xm:sqref>
        </x14:dataValidation>
        <x14:dataValidation type="list" allowBlank="1" showInputMessage="1" showErrorMessage="1" xr:uid="{00000000-0002-0000-0700-000004000000}">
          <x14:formula1>
            <xm:f>'MENU DÉROULANT'!$C$96:$C$100</xm:f>
          </x14:formula1>
          <xm:sqref>F312:H317</xm:sqref>
        </x14:dataValidation>
        <x14:dataValidation type="list" allowBlank="1" showInputMessage="1" showErrorMessage="1" xr:uid="{00000000-0002-0000-0700-000005000000}">
          <x14:formula1>
            <xm:f>'MENU DÉROULANT'!$C$81:$C$83</xm:f>
          </x14:formula1>
          <xm:sqref>H258:K259</xm:sqref>
        </x14:dataValidation>
        <x14:dataValidation type="list" allowBlank="1" showInputMessage="1" showErrorMessage="1" xr:uid="{00000000-0002-0000-0700-000006000000}">
          <x14:formula1>
            <xm:f>'MENU DÉROULANT'!$C$68:$C$70</xm:f>
          </x14:formula1>
          <xm:sqref>H186:K187</xm:sqref>
        </x14:dataValidation>
        <x14:dataValidation type="list" allowBlank="1" showInputMessage="1" showErrorMessage="1" xr:uid="{00000000-0002-0000-0700-000007000000}">
          <x14:formula1>
            <xm:f>'MENU DÉROULANT'!$F$41:$F$45</xm:f>
          </x14:formula1>
          <xm:sqref>H120:M120</xm:sqref>
        </x14:dataValidation>
        <x14:dataValidation type="list" allowBlank="1" showInputMessage="1" showErrorMessage="1" xr:uid="{00000000-0002-0000-0700-000008000000}">
          <x14:formula1>
            <xm:f>'MENU DÉROULANT'!$D$110:$D$115</xm:f>
          </x14:formula1>
          <xm:sqref>F605:F610 K605:K610</xm:sqref>
        </x14:dataValidation>
        <x14:dataValidation type="list" allowBlank="1" showInputMessage="1" showErrorMessage="1" xr:uid="{00000000-0002-0000-0700-000009000000}">
          <x14:formula1>
            <xm:f>'MENU DÉROULANT'!$C$47:$C$48</xm:f>
          </x14:formula1>
          <xm:sqref>G157</xm:sqref>
        </x14:dataValidation>
        <x14:dataValidation type="list" allowBlank="1" showInputMessage="1" showErrorMessage="1" xr:uid="{00000000-0002-0000-0700-00000A000000}">
          <x14:formula1>
            <xm:f>'MENU DÉROULANT'!$D$73:$D$74</xm:f>
          </x14:formula1>
          <xm:sqref>G220:G229</xm:sqref>
        </x14:dataValidation>
        <x14:dataValidation type="list" allowBlank="1" showInputMessage="1" showErrorMessage="1" xr:uid="{00000000-0002-0000-0700-00000B000000}">
          <x14:formula1>
            <xm:f>'MENU DÉROULANT'!$C$73:$C$77</xm:f>
          </x14:formula1>
          <xm:sqref>F220:F229</xm:sqref>
        </x14:dataValidation>
        <x14:dataValidation type="list" allowBlank="1" showInputMessage="1" showErrorMessage="1" xr:uid="{00000000-0002-0000-0700-00000C000000}">
          <x14:formula1>
            <xm:f>'MENU DÉROULANT'!$F$73:$F$76</xm:f>
          </x14:formula1>
          <xm:sqref>I220:J229</xm:sqref>
        </x14:dataValidation>
        <x14:dataValidation type="list" allowBlank="1" showInputMessage="1" showErrorMessage="1" xr:uid="{00000000-0002-0000-0700-00000D000000}">
          <x14:formula1>
            <xm:f>'MENU DÉROULANT'!$C$110:$C$113</xm:f>
          </x14:formula1>
          <xm:sqref>H605:H610 M605:M610 H613:H614 M613:M614 H617:H618 M617:M618 H621:H622 M621:M622 H625:H627 M625:M627 H630:H631 M630:M631 H634:H636 M634:M636 H671:H672 M671:M672 H675:H676 M675:M676 H679 M679 H682 M682 H685:H686 M685:M686 H689:H690 M689:M690 H693:H695 M693:M695 H698 M698</xm:sqref>
        </x14:dataValidation>
        <x14:dataValidation type="list" allowBlank="1" showInputMessage="1" showErrorMessage="1" xr:uid="{00000000-0002-0000-0700-00000E000000}">
          <x14:formula1>
            <xm:f>'MENU DÉROULANT'!$C$85:$C$88</xm:f>
          </x14:formula1>
          <xm:sqref>F269:H274</xm:sqref>
        </x14:dataValidation>
        <x14:dataValidation type="list" allowBlank="1" showInputMessage="1" showErrorMessage="1" xr:uid="{00000000-0002-0000-0700-00000F000000}">
          <x14:formula1>
            <xm:f>'MENU DÉROULANT'!$E$73:$E$76</xm:f>
          </x14:formula1>
          <xm:sqref>H220:H229</xm:sqref>
        </x14:dataValidation>
        <x14:dataValidation type="list" allowBlank="1" showInputMessage="1" showErrorMessage="1" xr:uid="{00000000-0002-0000-0700-000010000000}">
          <x14:formula1>
            <xm:f>'MENU DÉROULANT'!$E$110:$E$115</xm:f>
          </x14:formula1>
          <xm:sqref>F671:F672 K671:K672</xm:sqref>
        </x14:dataValidation>
        <x14:dataValidation type="list" allowBlank="1" showInputMessage="1" showErrorMessage="1" xr:uid="{00000000-0002-0000-0700-000011000000}">
          <x14:formula1>
            <xm:f>'MENU DÉROULANT'!$D$110:$D$114</xm:f>
          </x14:formula1>
          <xm:sqref>F613:F614 K613:K614 F617:F618 K617:K618 F621:F622 K621:K622 F625:F627 F630:F631 K625:K627 K630:K631 F634:F636 K634:K636</xm:sqref>
        </x14:dataValidation>
        <x14:dataValidation type="list" allowBlank="1" showInputMessage="1" showErrorMessage="1" xr:uid="{00000000-0002-0000-0700-000012000000}">
          <x14:formula1>
            <xm:f>'MENU DÉROULANT'!$C$41:$C$45</xm:f>
          </x14:formula1>
          <xm:sqref>H81:M81</xm:sqref>
        </x14:dataValidation>
        <x14:dataValidation type="list" allowBlank="1" showInputMessage="1" showErrorMessage="1" xr:uid="{00000000-0002-0000-0700-000013000000}">
          <x14:formula1>
            <xm:f>'MENU DÉROULANT'!$F$47:$F$51</xm:f>
          </x14:formula1>
          <xm:sqref>K160:L165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499984740745262"/>
    <pageSetUpPr fitToPage="1"/>
  </sheetPr>
  <dimension ref="A1:AF407"/>
  <sheetViews>
    <sheetView workbookViewId="0"/>
  </sheetViews>
  <sheetFormatPr baseColWidth="10" defaultRowHeight="15" x14ac:dyDescent="0.25"/>
  <cols>
    <col min="1" max="1" width="3.7109375" style="55" customWidth="1"/>
    <col min="2" max="2" width="20.42578125" style="28" customWidth="1"/>
    <col min="3" max="3" width="1.5703125" style="28" customWidth="1"/>
    <col min="4" max="4" width="25.5703125" style="28" customWidth="1"/>
    <col min="5" max="5" width="13.42578125" style="28" customWidth="1"/>
    <col min="6" max="15" width="11.7109375" style="28" customWidth="1"/>
    <col min="16" max="16" width="74.28515625" style="28" customWidth="1"/>
    <col min="17" max="17" width="28.42578125" style="28" customWidth="1"/>
    <col min="18" max="18" width="1.28515625" style="28" customWidth="1"/>
    <col min="19" max="30" width="7.7109375" style="28" customWidth="1"/>
    <col min="31" max="31" width="2" style="28" customWidth="1"/>
    <col min="32" max="16384" width="11.42578125" style="28"/>
  </cols>
  <sheetData>
    <row r="1" spans="2:32" s="55" customFormat="1" ht="9" customHeight="1" thickBot="1" x14ac:dyDescent="0.3"/>
    <row r="2" spans="2:32" s="55" customFormat="1" ht="32.25" customHeight="1" x14ac:dyDescent="0.25">
      <c r="B2" s="1279" t="s">
        <v>2009</v>
      </c>
      <c r="C2" s="1280"/>
      <c r="D2" s="1281"/>
      <c r="E2" s="1281"/>
      <c r="F2" s="1281"/>
      <c r="G2" s="1281"/>
      <c r="H2" s="1281"/>
      <c r="I2" s="1281"/>
      <c r="J2" s="1281"/>
      <c r="K2" s="1281"/>
      <c r="L2" s="1281"/>
      <c r="M2" s="1281"/>
      <c r="N2" s="1281"/>
      <c r="O2" s="1281"/>
      <c r="P2" s="1281"/>
      <c r="Q2" s="1282"/>
      <c r="R2" s="1282"/>
      <c r="S2" s="1282"/>
      <c r="T2" s="1282"/>
      <c r="U2" s="1282"/>
      <c r="V2" s="1282"/>
      <c r="W2" s="1282"/>
      <c r="X2" s="1282"/>
      <c r="Y2" s="1282"/>
      <c r="Z2" s="1282"/>
      <c r="AA2" s="1282"/>
      <c r="AB2" s="1282"/>
      <c r="AC2" s="1282"/>
      <c r="AD2" s="1282"/>
      <c r="AE2" s="1282"/>
      <c r="AF2" s="1282"/>
    </row>
    <row r="3" spans="2:32" s="55" customFormat="1" ht="57.75" customHeight="1" x14ac:dyDescent="0.25">
      <c r="P3" s="2582" t="s">
        <v>2149</v>
      </c>
    </row>
    <row r="4" spans="2:32" ht="31.5" customHeight="1" x14ac:dyDescent="0.35">
      <c r="B4" s="1283" t="s">
        <v>248</v>
      </c>
      <c r="C4" s="1283"/>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row>
    <row r="6" spans="2:32" ht="26.25" customHeight="1" x14ac:dyDescent="0.3">
      <c r="B6" s="1285" t="s">
        <v>164</v>
      </c>
      <c r="C6" s="1285"/>
      <c r="D6" s="1285"/>
      <c r="E6" s="1285"/>
      <c r="F6" s="1285"/>
      <c r="G6" s="1285"/>
      <c r="H6" s="1285"/>
      <c r="I6" s="1285"/>
      <c r="J6" s="1285"/>
      <c r="K6" s="1285"/>
      <c r="L6" s="1285"/>
      <c r="M6" s="1285"/>
      <c r="N6" s="1285"/>
      <c r="O6" s="1285"/>
      <c r="P6" s="1285"/>
      <c r="Q6" s="1285"/>
      <c r="R6" s="1285"/>
      <c r="S6" s="1285"/>
      <c r="T6" s="1285"/>
      <c r="U6" s="1285"/>
      <c r="V6" s="1285"/>
      <c r="W6" s="1285"/>
      <c r="X6" s="1285"/>
      <c r="Y6" s="1285"/>
      <c r="Z6" s="1285"/>
      <c r="AA6" s="1285"/>
      <c r="AB6" s="1285"/>
      <c r="AC6" s="1285"/>
      <c r="AD6" s="1285"/>
      <c r="AE6" s="1285"/>
      <c r="AF6" s="1285"/>
    </row>
    <row r="7" spans="2:32" ht="21" x14ac:dyDescent="0.35">
      <c r="B7" s="1767"/>
      <c r="C7" s="1767"/>
    </row>
    <row r="8" spans="2:32" x14ac:dyDescent="0.25">
      <c r="D8" s="1286" t="s">
        <v>160</v>
      </c>
      <c r="E8" s="1287"/>
      <c r="G8" s="1288" t="str">
        <f>IF(ISBLANK('FORMULAIRE PGA Eaux usées'!H30)=TRUE,"##",'FORMULAIRE PGA Eaux usées'!H30)</f>
        <v/>
      </c>
      <c r="H8" s="1289"/>
      <c r="I8" s="1289"/>
      <c r="J8" s="1289"/>
      <c r="K8" s="1287"/>
    </row>
    <row r="9" spans="2:32" x14ac:dyDescent="0.25">
      <c r="D9" s="1286" t="s">
        <v>159</v>
      </c>
      <c r="E9" s="1287"/>
      <c r="G9" s="1288" t="str">
        <f>IF(ISBLANK('FORMULAIRE PGA Eaux usées'!D30)=TRUE,"##",'FORMULAIRE PGA Eaux usées'!D30)</f>
        <v/>
      </c>
      <c r="H9" s="1289"/>
      <c r="I9" s="1289"/>
      <c r="J9" s="1289"/>
      <c r="K9" s="1287"/>
    </row>
    <row r="10" spans="2:32" x14ac:dyDescent="0.25">
      <c r="D10" s="1286" t="s">
        <v>158</v>
      </c>
      <c r="E10" s="1287"/>
      <c r="G10" s="1288" t="str">
        <f>IF(ISBLANK('FORMULAIRE PGA Eaux usées'!M30)=TRUE,"##",'FORMULAIRE PGA Eaux usées'!M30)</f>
        <v/>
      </c>
      <c r="H10" s="1289"/>
      <c r="I10" s="1289"/>
      <c r="J10" s="1289"/>
      <c r="K10" s="1287"/>
    </row>
    <row r="11" spans="2:32" x14ac:dyDescent="0.25">
      <c r="D11" s="1250" t="s">
        <v>285</v>
      </c>
      <c r="E11" s="1768"/>
      <c r="G11" s="1290" t="str">
        <f>IF(ISBLANK('FORMULAIRE PGA Eaux usées'!E51)=TRUE,"##",'FORMULAIRE PGA Eaux usées'!E51)</f>
        <v/>
      </c>
      <c r="H11" s="1289"/>
      <c r="I11" s="1289"/>
      <c r="J11" s="1289"/>
      <c r="K11" s="1287"/>
      <c r="L11" s="104"/>
    </row>
    <row r="12" spans="2:32" x14ac:dyDescent="0.25">
      <c r="D12" s="1769"/>
      <c r="E12" s="1770"/>
      <c r="G12" s="1291" t="s">
        <v>1794</v>
      </c>
      <c r="H12" s="1292" t="str">
        <f>IF(ISBLANK('FORMULAIRE PGA Eaux usées'!E53)=TRUE,"##",'FORMULAIRE PGA Eaux usées'!E53)</f>
        <v/>
      </c>
      <c r="I12" s="1286" t="s">
        <v>1793</v>
      </c>
      <c r="J12" s="1289"/>
      <c r="K12" s="1287"/>
      <c r="L12" s="104"/>
      <c r="M12" s="919"/>
      <c r="N12" s="919"/>
    </row>
    <row r="13" spans="2:32" x14ac:dyDescent="0.25">
      <c r="D13" s="1286" t="s">
        <v>1795</v>
      </c>
      <c r="E13" s="1287"/>
      <c r="G13" s="1293" t="str">
        <f>IF(ISBLANK('FORMULAIRE PGA Eaux usées'!E55)=TRUE,"##",'FORMULAIRE PGA Eaux usées'!E55)</f>
        <v/>
      </c>
      <c r="H13" s="1289"/>
      <c r="I13" s="1289"/>
      <c r="J13" s="1289"/>
      <c r="K13" s="1287"/>
      <c r="L13" s="104"/>
    </row>
    <row r="16" spans="2:32" ht="31.5" customHeight="1" x14ac:dyDescent="0.35">
      <c r="B16" s="1283" t="s">
        <v>249</v>
      </c>
      <c r="C16" s="1283"/>
      <c r="D16" s="1284"/>
      <c r="E16" s="1284"/>
      <c r="F16" s="1284"/>
      <c r="G16" s="1284"/>
      <c r="H16" s="1284"/>
      <c r="I16" s="1284"/>
      <c r="J16" s="1284"/>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84"/>
    </row>
    <row r="18" spans="1:32" ht="22.5" customHeight="1" x14ac:dyDescent="0.3">
      <c r="B18" s="1285" t="s">
        <v>167</v>
      </c>
      <c r="C18" s="1285"/>
      <c r="D18" s="1285"/>
      <c r="E18" s="1285"/>
      <c r="F18" s="1285"/>
      <c r="G18" s="1285"/>
      <c r="H18" s="1285"/>
      <c r="I18" s="1285"/>
      <c r="J18" s="1285"/>
      <c r="K18" s="1285"/>
      <c r="L18" s="1285"/>
      <c r="M18" s="1285"/>
      <c r="N18" s="1285"/>
      <c r="O18" s="1285"/>
      <c r="P18" s="1285"/>
      <c r="Q18" s="1285"/>
      <c r="R18" s="1285"/>
      <c r="S18" s="1285"/>
      <c r="T18" s="1285"/>
      <c r="U18" s="1285"/>
      <c r="V18" s="1285"/>
      <c r="W18" s="1285"/>
      <c r="X18" s="1285"/>
      <c r="Y18" s="1285"/>
      <c r="Z18" s="1285"/>
      <c r="AA18" s="1285"/>
      <c r="AB18" s="1285"/>
      <c r="AC18" s="1285"/>
      <c r="AD18" s="1285"/>
      <c r="AE18" s="1285"/>
      <c r="AF18" s="1285"/>
    </row>
    <row r="19" spans="1:32" ht="22.5" customHeight="1" x14ac:dyDescent="0.3">
      <c r="B19" s="1294"/>
      <c r="C19" s="1294"/>
      <c r="D19" s="1294"/>
      <c r="E19" s="1294"/>
      <c r="F19" s="1294"/>
      <c r="G19" s="1294"/>
      <c r="H19" s="1294"/>
      <c r="I19" s="1294"/>
      <c r="J19" s="1294"/>
      <c r="M19" s="1294"/>
      <c r="N19" s="1294"/>
      <c r="O19" s="1294"/>
      <c r="P19" s="1294"/>
      <c r="Q19" s="1294"/>
      <c r="R19" s="1294"/>
      <c r="S19" s="1294"/>
      <c r="T19" s="1294"/>
      <c r="U19" s="1294"/>
    </row>
    <row r="20" spans="1:32" s="72" customFormat="1" ht="43.5" customHeight="1" x14ac:dyDescent="0.25">
      <c r="A20" s="82"/>
      <c r="B20" s="1295"/>
      <c r="C20" s="1296"/>
      <c r="D20" s="1297"/>
      <c r="E20" s="1298" t="s">
        <v>71</v>
      </c>
      <c r="F20" s="1299" t="s">
        <v>127</v>
      </c>
      <c r="G20" s="1300" t="s">
        <v>1805</v>
      </c>
      <c r="H20" s="1297"/>
      <c r="I20" s="1299" t="s">
        <v>1806</v>
      </c>
      <c r="J20" s="1301" t="s">
        <v>2157</v>
      </c>
      <c r="K20" s="82"/>
      <c r="L20" s="82"/>
      <c r="M20" s="82"/>
      <c r="N20" s="82"/>
      <c r="O20" s="82"/>
    </row>
    <row r="21" spans="1:32" x14ac:dyDescent="0.25">
      <c r="B21" s="1302"/>
      <c r="C21" s="1303"/>
      <c r="D21" s="1304" t="s">
        <v>2035</v>
      </c>
      <c r="E21" s="1305">
        <f>'FORMULAIRE PGA Eaux usées'!G91</f>
        <v>0</v>
      </c>
      <c r="F21" s="1306" t="str">
        <f>IF(G21=0,"Aucun",G21)</f>
        <v>Aucun</v>
      </c>
      <c r="G21" s="1307">
        <f>'FORMULAIRE PGA Eaux usées'!G89</f>
        <v>0</v>
      </c>
      <c r="H21" s="1308"/>
      <c r="I21" s="1309" t="e">
        <f t="shared" ref="I21:I26" si="0">E21/$E$28</f>
        <v>#DIV/0!</v>
      </c>
      <c r="J21" s="369">
        <f>ROUNDDOWN(AVERAGE('FORMULAIRE PGA Eaux usées'!G605,'FORMULAIRE PGA Eaux usées'!G607),0)</f>
        <v>0</v>
      </c>
      <c r="K21" s="3406" t="s">
        <v>1528</v>
      </c>
      <c r="L21" s="1310" t="str">
        <f>D21</f>
        <v>Collecte / Linéaire</v>
      </c>
      <c r="M21" s="55"/>
      <c r="N21" s="1311"/>
      <c r="O21" s="1311"/>
      <c r="P21" s="3279"/>
      <c r="Q21" s="1310"/>
      <c r="R21" s="1310"/>
      <c r="S21" s="1310"/>
      <c r="T21" s="1310"/>
    </row>
    <row r="22" spans="1:32" ht="19.5" customHeight="1" x14ac:dyDescent="0.25">
      <c r="B22" s="1312"/>
      <c r="C22" s="1313"/>
      <c r="D22" s="1314" t="s">
        <v>2036</v>
      </c>
      <c r="E22" s="1315">
        <f>'FORMULAIRE PGA Eaux usées'!G100</f>
        <v>0</v>
      </c>
      <c r="F22" s="1316" t="str">
        <f>IF(G22=0,"Aucun",G22)</f>
        <v>Aucun</v>
      </c>
      <c r="G22" s="1317">
        <f>'FORMULAIRE PGA Eaux usées'!G98</f>
        <v>0</v>
      </c>
      <c r="H22" s="1308"/>
      <c r="I22" s="1318" t="e">
        <f t="shared" si="0"/>
        <v>#DIV/0!</v>
      </c>
      <c r="J22" s="1319">
        <f>ROUNDDOWN(AVERAGE('FORMULAIRE PGA Eaux usées'!G606,'FORMULAIRE PGA Eaux usées'!G608),0)</f>
        <v>0</v>
      </c>
      <c r="K22" s="3406"/>
      <c r="L22" s="3288" t="str">
        <f>F21</f>
        <v>Aucun</v>
      </c>
      <c r="M22" s="3288"/>
      <c r="N22" s="3288"/>
      <c r="O22" s="1320"/>
      <c r="P22" s="3279"/>
    </row>
    <row r="23" spans="1:32" x14ac:dyDescent="0.25">
      <c r="B23" s="1321"/>
      <c r="C23" s="1322"/>
      <c r="D23" s="1323" t="s">
        <v>2037</v>
      </c>
      <c r="E23" s="1324">
        <f>'FORMULAIRE PGA Eaux usées'!G112</f>
        <v>0</v>
      </c>
      <c r="F23" s="1325" t="str">
        <f>IF(AND(G23=0,H23=0),"Aucun",CONCATENATE(G23," km; ",H23," ouvrages"))</f>
        <v>Aucun</v>
      </c>
      <c r="G23" s="1335">
        <f>'FORMULAIRE PGA Eaux usées'!G108</f>
        <v>0</v>
      </c>
      <c r="H23" s="1336">
        <f>'FORMULAIRE PGA Eaux usées'!G110</f>
        <v>0</v>
      </c>
      <c r="I23" s="1337" t="e">
        <f t="shared" si="0"/>
        <v>#DIV/0!</v>
      </c>
      <c r="J23" s="2601"/>
      <c r="K23" s="3405" t="s">
        <v>1528</v>
      </c>
      <c r="L23" s="1310" t="str">
        <f>D22</f>
        <v>Collecte / Ponctuel</v>
      </c>
      <c r="M23" s="55"/>
      <c r="N23" s="1320"/>
      <c r="O23" s="1320"/>
      <c r="P23" s="3279"/>
    </row>
    <row r="24" spans="1:32" ht="19.5" customHeight="1" x14ac:dyDescent="0.25">
      <c r="B24" s="1302"/>
      <c r="C24" s="1303"/>
      <c r="D24" s="1326" t="s">
        <v>2038</v>
      </c>
      <c r="E24" s="1305">
        <f>'FORMULAIRE PGA Eaux usées'!G130</f>
        <v>0</v>
      </c>
      <c r="F24" s="1306" t="str">
        <f>IF(G24=0,"Aucun",G24)</f>
        <v>Aucun</v>
      </c>
      <c r="G24" s="1307">
        <f>'FORMULAIRE PGA Eaux usées'!G128</f>
        <v>0</v>
      </c>
      <c r="H24" s="1308"/>
      <c r="I24" s="1309" t="e">
        <f t="shared" si="0"/>
        <v>#DIV/0!</v>
      </c>
      <c r="J24" s="369">
        <f>ROUNDDOWN(AVERAGE('FORMULAIRE PGA Eaux usées'!L605,'FORMULAIRE PGA Eaux usées'!L607),0)</f>
        <v>0</v>
      </c>
      <c r="K24" s="3405"/>
      <c r="L24" s="3287" t="str">
        <f>F22</f>
        <v>Aucun</v>
      </c>
      <c r="M24" s="3287"/>
      <c r="N24" s="3287"/>
      <c r="O24" s="1311"/>
    </row>
    <row r="25" spans="1:32" x14ac:dyDescent="0.25">
      <c r="B25" s="1327"/>
      <c r="C25" s="1328"/>
      <c r="D25" s="1329" t="s">
        <v>2039</v>
      </c>
      <c r="E25" s="1330">
        <f>'FORMULAIRE PGA Eaux usées'!G139</f>
        <v>0</v>
      </c>
      <c r="F25" s="1331" t="str">
        <f>IF(G25=0,"Aucun",G25)</f>
        <v>Aucun</v>
      </c>
      <c r="G25" s="1317">
        <f>'FORMULAIRE PGA Eaux usées'!G137</f>
        <v>0</v>
      </c>
      <c r="H25" s="1332"/>
      <c r="I25" s="1318" t="e">
        <f t="shared" si="0"/>
        <v>#DIV/0!</v>
      </c>
      <c r="J25" s="1319">
        <f>ROUNDDOWN(AVERAGE('FORMULAIRE PGA Eaux usées'!L606,'FORMULAIRE PGA Eaux usées'!L608),0)</f>
        <v>0</v>
      </c>
      <c r="K25" s="3403" t="s">
        <v>1528</v>
      </c>
      <c r="L25" s="1310" t="str">
        <f>D24</f>
        <v>Traitement / Linéaire</v>
      </c>
      <c r="M25" s="55"/>
      <c r="N25" s="1320"/>
      <c r="O25" s="1320"/>
    </row>
    <row r="26" spans="1:32" ht="19.5" customHeight="1" x14ac:dyDescent="0.25">
      <c r="B26" s="1333"/>
      <c r="C26" s="517"/>
      <c r="D26" s="1323" t="s">
        <v>2040</v>
      </c>
      <c r="E26" s="1334">
        <f>'FORMULAIRE PGA Eaux usées'!G151</f>
        <v>0</v>
      </c>
      <c r="F26" s="1325" t="str">
        <f>IF(AND(G26=0,H26=0),"Aucun",CONCATENATE(G26," km; ",H26," ouvrages"))</f>
        <v>Aucun</v>
      </c>
      <c r="G26" s="1335">
        <f>'FORMULAIRE PGA Eaux usées'!G147</f>
        <v>0</v>
      </c>
      <c r="H26" s="1336">
        <f>'FORMULAIRE PGA Eaux usées'!G149</f>
        <v>0</v>
      </c>
      <c r="I26" s="1337" t="e">
        <f t="shared" si="0"/>
        <v>#DIV/0!</v>
      </c>
      <c r="J26" s="2601"/>
      <c r="K26" s="3403"/>
      <c r="L26" s="3288" t="str">
        <f>F24</f>
        <v>Aucun</v>
      </c>
      <c r="M26" s="3288"/>
      <c r="N26" s="3288"/>
      <c r="O26" s="1320"/>
    </row>
    <row r="27" spans="1:32" ht="15" customHeight="1" x14ac:dyDescent="0.25">
      <c r="D27" s="1338"/>
      <c r="E27" s="1339"/>
      <c r="F27" s="1340"/>
      <c r="G27" s="1341"/>
      <c r="H27" s="1342"/>
      <c r="J27" s="1343" t="s">
        <v>163</v>
      </c>
      <c r="K27" s="3407" t="s">
        <v>1528</v>
      </c>
      <c r="L27" s="1310" t="str">
        <f>D25</f>
        <v>Traitement / Ponctuel</v>
      </c>
      <c r="M27" s="1320"/>
      <c r="N27" s="1320"/>
      <c r="O27" s="1320"/>
      <c r="P27" s="1428" t="s">
        <v>183</v>
      </c>
    </row>
    <row r="28" spans="1:32" ht="19.5" customHeight="1" x14ac:dyDescent="0.25">
      <c r="D28" s="1338" t="s">
        <v>1790</v>
      </c>
      <c r="E28" s="3266">
        <f>SUM(E21:E26)</f>
        <v>0</v>
      </c>
      <c r="F28" s="3266"/>
      <c r="G28" s="1341"/>
      <c r="H28" s="1342"/>
      <c r="I28" s="298" t="s">
        <v>2022</v>
      </c>
      <c r="J28" s="369">
        <f>IF(I33=1,0,IF(I33=2,J21,IF(I33=3,J22,ROUNDDOWN(AVERAGE(J21:J22),0))))</f>
        <v>0</v>
      </c>
      <c r="K28" s="3407"/>
      <c r="L28" s="3287" t="str">
        <f>F25</f>
        <v>Aucun</v>
      </c>
      <c r="M28" s="3287"/>
      <c r="N28" s="3287"/>
      <c r="O28" s="1320"/>
      <c r="P28" s="1429" t="s">
        <v>2168</v>
      </c>
    </row>
    <row r="29" spans="1:32" ht="15" customHeight="1" x14ac:dyDescent="0.25">
      <c r="D29" s="1338"/>
      <c r="E29" s="3266"/>
      <c r="F29" s="3266"/>
      <c r="G29" s="1341"/>
      <c r="H29" s="1342"/>
      <c r="I29" s="298" t="s">
        <v>2023</v>
      </c>
      <c r="J29" s="1344">
        <f>IF(I41=1,0,IF(I41=2,J24,IF(I41=3,J25,ROUNDDOWN(AVERAGE(J24:J25),0))))</f>
        <v>0</v>
      </c>
      <c r="K29" s="3408" t="s">
        <v>1528</v>
      </c>
      <c r="L29" s="1310" t="str">
        <f>D26</f>
        <v>Traitement / Autres actifs</v>
      </c>
      <c r="M29" s="1320"/>
      <c r="N29" s="1320"/>
      <c r="O29" s="1320"/>
      <c r="P29" s="2624" t="s">
        <v>2170</v>
      </c>
    </row>
    <row r="30" spans="1:32" ht="19.5" customHeight="1" x14ac:dyDescent="0.25">
      <c r="B30" s="1346" t="s">
        <v>1786</v>
      </c>
      <c r="C30" s="1346"/>
      <c r="D30" s="1347" t="s">
        <v>286</v>
      </c>
      <c r="E30" s="1348"/>
      <c r="F30" s="1342"/>
      <c r="G30" s="1341"/>
      <c r="H30" s="1342"/>
      <c r="J30" s="1344">
        <f>IF(I33=1,J29,IF(I41=1,J28,ROUNDDOWN(AVERAGE(J28:J29),0)))</f>
        <v>0</v>
      </c>
      <c r="K30" s="3408"/>
      <c r="L30" s="3287" t="str">
        <f>F26</f>
        <v>Aucun</v>
      </c>
      <c r="M30" s="3287"/>
      <c r="N30" s="3287"/>
      <c r="O30" s="1320"/>
      <c r="P30" s="1429" t="s">
        <v>2169</v>
      </c>
    </row>
    <row r="31" spans="1:32" x14ac:dyDescent="0.25">
      <c r="J31" s="1345"/>
      <c r="K31" s="3409" t="s">
        <v>1528</v>
      </c>
      <c r="L31" s="1310" t="str">
        <f>D23</f>
        <v>Collecte / Autres actifs</v>
      </c>
      <c r="M31" s="1320"/>
      <c r="N31" s="1320"/>
      <c r="O31" s="1320"/>
    </row>
    <row r="32" spans="1:32" ht="15.75" customHeight="1" x14ac:dyDescent="0.25">
      <c r="B32" s="2588" t="s">
        <v>1796</v>
      </c>
      <c r="C32" s="2589"/>
      <c r="D32" s="2589"/>
      <c r="E32" s="2590"/>
      <c r="F32" s="2591"/>
      <c r="G32" s="2592"/>
      <c r="H32" s="2591"/>
      <c r="I32" s="2589"/>
      <c r="J32" s="1345"/>
      <c r="K32" s="3409"/>
      <c r="L32" s="3287" t="str">
        <f>F23</f>
        <v>Aucun</v>
      </c>
      <c r="M32" s="3287"/>
      <c r="N32" s="3287"/>
      <c r="O32" s="1320"/>
    </row>
    <row r="33" spans="2:18" ht="19.5" customHeight="1" x14ac:dyDescent="0.35">
      <c r="B33" s="2593" t="s">
        <v>2041</v>
      </c>
      <c r="C33" s="2593"/>
      <c r="D33" s="2594">
        <f>'FORMULAIRE PGA Eaux usées'!H81</f>
        <v>0</v>
      </c>
      <c r="E33" s="2595"/>
      <c r="F33" s="2596"/>
      <c r="G33" s="2597"/>
      <c r="H33" s="2596"/>
      <c r="I33" s="2594">
        <f>IF('FORMULAIRE PGA Eaux usées'!O81="",0,'FORMULAIRE PGA Eaux usées'!O81)</f>
        <v>0</v>
      </c>
      <c r="J33" s="1345"/>
      <c r="K33" s="1349"/>
      <c r="L33" s="55"/>
      <c r="M33" s="55"/>
      <c r="N33" s="55"/>
      <c r="O33" s="1320"/>
    </row>
    <row r="34" spans="2:18" ht="15" customHeight="1" x14ac:dyDescent="0.25">
      <c r="B34" s="2589"/>
      <c r="C34" s="2589"/>
      <c r="D34" s="2598" t="s">
        <v>2159</v>
      </c>
      <c r="E34" s="3274" t="str">
        <f>IF(I33=1,"Aucun actif lié au sous-service Collecte dans la municipalité.","")</f>
        <v/>
      </c>
      <c r="F34" s="3274"/>
      <c r="G34" s="3274"/>
      <c r="H34" s="3274"/>
      <c r="I34" s="2589"/>
      <c r="M34" s="1345"/>
      <c r="N34" s="1345"/>
      <c r="O34" s="1320"/>
    </row>
    <row r="35" spans="2:18" x14ac:dyDescent="0.25">
      <c r="B35" s="2599"/>
      <c r="C35" s="2599"/>
      <c r="D35" s="2598"/>
      <c r="E35" s="3274"/>
      <c r="F35" s="3274"/>
      <c r="G35" s="3274"/>
      <c r="H35" s="3274"/>
      <c r="I35" s="2589"/>
      <c r="M35" s="1345"/>
      <c r="N35" s="1345"/>
      <c r="O35" s="1320"/>
    </row>
    <row r="36" spans="2:18" ht="15" customHeight="1" x14ac:dyDescent="0.25">
      <c r="B36" s="2589"/>
      <c r="C36" s="2589"/>
      <c r="D36" s="2598" t="s">
        <v>1800</v>
      </c>
      <c r="E36" s="3274" t="str">
        <f>IF(I33=2,"(Aucun actif ponctuel pour Collecte)","")</f>
        <v/>
      </c>
      <c r="F36" s="3274"/>
      <c r="G36" s="3274"/>
      <c r="H36" s="3274"/>
      <c r="I36" s="2589"/>
      <c r="M36" s="1345"/>
      <c r="N36" s="1345"/>
      <c r="O36" s="1320"/>
    </row>
    <row r="37" spans="2:18" x14ac:dyDescent="0.25">
      <c r="B37" s="2599"/>
      <c r="C37" s="2599"/>
      <c r="D37" s="2589"/>
      <c r="E37" s="3274"/>
      <c r="F37" s="3274"/>
      <c r="G37" s="3274"/>
      <c r="H37" s="3274"/>
      <c r="I37" s="2589"/>
      <c r="M37" s="1345"/>
      <c r="N37" s="1345"/>
      <c r="O37" s="1320"/>
    </row>
    <row r="38" spans="2:18" ht="15" customHeight="1" x14ac:dyDescent="0.25">
      <c r="B38" s="2589"/>
      <c r="C38" s="2589"/>
      <c r="D38" s="2598" t="s">
        <v>1799</v>
      </c>
      <c r="E38" s="3274" t="str">
        <f>IF(I33=3,"(Aucun actif linéaire pour Collecte)","")</f>
        <v/>
      </c>
      <c r="F38" s="3274"/>
      <c r="G38" s="3274"/>
      <c r="H38" s="3274"/>
      <c r="I38" s="2589"/>
      <c r="M38" s="1345"/>
      <c r="N38" s="1345"/>
      <c r="O38" s="1320"/>
    </row>
    <row r="39" spans="2:18" x14ac:dyDescent="0.25">
      <c r="B39" s="2599"/>
      <c r="C39" s="2599"/>
      <c r="D39" s="2598"/>
      <c r="E39" s="3274"/>
      <c r="F39" s="3274"/>
      <c r="G39" s="3274"/>
      <c r="H39" s="3274"/>
      <c r="I39" s="2589"/>
      <c r="M39" s="1345"/>
      <c r="N39" s="1345"/>
      <c r="O39" s="1320"/>
    </row>
    <row r="40" spans="2:18" x14ac:dyDescent="0.25">
      <c r="B40" s="2599"/>
      <c r="C40" s="2599"/>
      <c r="D40" s="2598"/>
      <c r="E40" s="2600"/>
      <c r="F40" s="2600"/>
      <c r="G40" s="2600"/>
      <c r="H40" s="2600"/>
      <c r="I40" s="2589"/>
      <c r="M40" s="1345"/>
      <c r="N40" s="1345"/>
      <c r="O40" s="1320"/>
    </row>
    <row r="41" spans="2:18" ht="19.5" customHeight="1" x14ac:dyDescent="0.25">
      <c r="B41" s="2593" t="s">
        <v>2042</v>
      </c>
      <c r="C41" s="2593"/>
      <c r="D41" s="2594">
        <f>'FORMULAIRE PGA Eaux usées'!H120</f>
        <v>0</v>
      </c>
      <c r="E41" s="2590"/>
      <c r="F41" s="2591"/>
      <c r="G41" s="2592"/>
      <c r="H41" s="2591"/>
      <c r="I41" s="2594">
        <f>IF('FORMULAIRE PGA Eaux usées'!O120="",0,'FORMULAIRE PGA Eaux usées'!O120)</f>
        <v>0</v>
      </c>
      <c r="J41" s="1345"/>
      <c r="M41" s="1345"/>
      <c r="N41" s="1345"/>
      <c r="O41" s="1320"/>
    </row>
    <row r="42" spans="2:18" x14ac:dyDescent="0.25">
      <c r="B42" s="2599"/>
      <c r="C42" s="2599"/>
      <c r="D42" s="2598" t="s">
        <v>2160</v>
      </c>
      <c r="E42" s="3274" t="str">
        <f>IF(I41=1,"Aucun actif lié au sous-service Traitement dans la municipalité.","")</f>
        <v/>
      </c>
      <c r="F42" s="3274"/>
      <c r="G42" s="3274"/>
      <c r="H42" s="3274"/>
      <c r="I42" s="2589"/>
      <c r="J42" s="1345"/>
      <c r="M42" s="1345"/>
      <c r="N42" s="1345"/>
      <c r="O42" s="1320"/>
    </row>
    <row r="43" spans="2:18" x14ac:dyDescent="0.25">
      <c r="B43" s="2599"/>
      <c r="C43" s="2599"/>
      <c r="D43" s="2598"/>
      <c r="E43" s="3274"/>
      <c r="F43" s="3274"/>
      <c r="G43" s="3274"/>
      <c r="H43" s="3274"/>
      <c r="I43" s="2589"/>
      <c r="J43" s="1345"/>
      <c r="M43" s="1345"/>
      <c r="N43" s="1345"/>
      <c r="O43" s="1320"/>
    </row>
    <row r="44" spans="2:18" x14ac:dyDescent="0.25">
      <c r="B44" s="2599"/>
      <c r="C44" s="2599"/>
      <c r="D44" s="2598" t="s">
        <v>1800</v>
      </c>
      <c r="E44" s="3274" t="str">
        <f>IF(I41=2,"(Aucun actif ponctuel pour Traitement)","")</f>
        <v/>
      </c>
      <c r="F44" s="3274"/>
      <c r="G44" s="3274"/>
      <c r="H44" s="3274"/>
      <c r="I44" s="2589"/>
      <c r="J44" s="1345"/>
      <c r="M44" s="1345"/>
      <c r="N44" s="1345"/>
      <c r="O44" s="1320"/>
    </row>
    <row r="45" spans="2:18" x14ac:dyDescent="0.25">
      <c r="B45" s="2599"/>
      <c r="C45" s="2599"/>
      <c r="D45" s="2589"/>
      <c r="E45" s="3274"/>
      <c r="F45" s="3274"/>
      <c r="G45" s="3274"/>
      <c r="H45" s="3274"/>
      <c r="I45" s="2589"/>
      <c r="J45" s="1345"/>
      <c r="M45" s="1345"/>
      <c r="N45" s="1345"/>
      <c r="O45" s="1320"/>
    </row>
    <row r="46" spans="2:18" x14ac:dyDescent="0.25">
      <c r="B46" s="2599"/>
      <c r="C46" s="2599"/>
      <c r="D46" s="2598" t="s">
        <v>1799</v>
      </c>
      <c r="E46" s="3274" t="str">
        <f>IF(I41=3,"(Aucun actif linéaire pour Traitement)","")</f>
        <v/>
      </c>
      <c r="F46" s="3274"/>
      <c r="G46" s="3274"/>
      <c r="H46" s="3274"/>
      <c r="I46" s="2589"/>
      <c r="J46" s="1345"/>
      <c r="M46" s="1345"/>
      <c r="N46" s="1345"/>
      <c r="O46" s="1320"/>
    </row>
    <row r="47" spans="2:18" x14ac:dyDescent="0.25">
      <c r="B47" s="2589"/>
      <c r="C47" s="2589"/>
      <c r="D47" s="2598"/>
      <c r="E47" s="3274"/>
      <c r="F47" s="3274"/>
      <c r="G47" s="3274"/>
      <c r="H47" s="3274"/>
      <c r="I47" s="2589"/>
      <c r="J47" s="1345"/>
      <c r="O47" s="1320"/>
      <c r="P47" s="55"/>
      <c r="Q47" s="55"/>
      <c r="R47" s="55"/>
    </row>
    <row r="48" spans="2:18" ht="279" customHeight="1" x14ac:dyDescent="0.25">
      <c r="P48" s="55"/>
      <c r="Q48" s="55"/>
      <c r="R48" s="55"/>
    </row>
    <row r="49" spans="1:32" ht="36" customHeight="1" x14ac:dyDescent="0.25">
      <c r="E49" s="3404" t="s">
        <v>1789</v>
      </c>
      <c r="F49" s="3404"/>
    </row>
    <row r="50" spans="1:32" ht="27.75" customHeight="1" x14ac:dyDescent="0.25">
      <c r="D50" s="2042" t="str">
        <f>IF('FORMULAIRE PGA Eaux usées'!G157="oui","Certains actifs de la municipalité inclus ci-dessus, sont en mode partagé, soit:","Aucun des actifs inclus ci-dessus n'est en mode partagé")</f>
        <v>Aucun des actifs inclus ci-dessus n'est en mode partagé</v>
      </c>
      <c r="E50" s="2043"/>
      <c r="F50" s="2043"/>
      <c r="G50" s="2043"/>
      <c r="H50" s="2043"/>
      <c r="I50" s="2043"/>
      <c r="J50" s="2044"/>
      <c r="K50" s="2045"/>
      <c r="L50" s="2045"/>
      <c r="M50" s="2046"/>
      <c r="N50" s="1356"/>
    </row>
    <row r="51" spans="1:32" ht="22.5" customHeight="1" x14ac:dyDescent="0.25">
      <c r="D51" s="2044"/>
      <c r="E51" s="2047" t="s">
        <v>2022</v>
      </c>
      <c r="F51" s="2563" t="str">
        <f>IF(('FORMULAIRE PGA Eaux usées'!$H$81='MENU DÉROULANT'!$C$41),"(Aucun actif)","")</f>
        <v/>
      </c>
      <c r="G51" s="2047"/>
      <c r="H51" s="2047"/>
      <c r="I51" s="2047" t="s">
        <v>2023</v>
      </c>
      <c r="J51" s="2563" t="str">
        <f>IF(('FORMULAIRE PGA Eaux usées'!$H$120='MENU DÉROULANT'!$F$41),"(Aucun actif)","")</f>
        <v/>
      </c>
      <c r="K51" s="2047"/>
      <c r="L51" s="2047"/>
      <c r="M51" s="2046"/>
      <c r="N51" s="1356"/>
    </row>
    <row r="52" spans="1:32" ht="18" customHeight="1" x14ac:dyDescent="0.25">
      <c r="D52" s="2049" t="s">
        <v>269</v>
      </c>
      <c r="E52" s="3269" t="str">
        <f>IF(ISBLANK('FORMULAIRE PGA Eaux usées'!G160)=TRUE,"",CONCATENATE('FORMULAIRE PGA Eaux usées'!G160,"; ",'FORMULAIRE PGA Eaux usées'!K160))</f>
        <v/>
      </c>
      <c r="F52" s="3269"/>
      <c r="G52" s="3269"/>
      <c r="H52" s="3269"/>
      <c r="I52" s="3269" t="str">
        <f>IF(ISBLANK('FORMULAIRE PGA Eaux usées'!G163)=TRUE,"",CONCATENATE('FORMULAIRE PGA Eaux usées'!G163,"; ",'FORMULAIRE PGA Eaux usées'!K163))</f>
        <v/>
      </c>
      <c r="J52" s="3269"/>
      <c r="K52" s="3269"/>
      <c r="L52" s="3269"/>
      <c r="M52" s="2046"/>
      <c r="N52" s="1356"/>
    </row>
    <row r="53" spans="1:32" ht="18" customHeight="1" x14ac:dyDescent="0.25">
      <c r="D53" s="2049" t="s">
        <v>270</v>
      </c>
      <c r="E53" s="3269" t="str">
        <f>IF(ISBLANK('FORMULAIRE PGA Eaux usées'!G161)=TRUE,"",CONCATENATE('FORMULAIRE PGA Eaux usées'!G161,"; ",'FORMULAIRE PGA Eaux usées'!K161))</f>
        <v/>
      </c>
      <c r="F53" s="3269"/>
      <c r="G53" s="3269"/>
      <c r="H53" s="3269"/>
      <c r="I53" s="3269" t="str">
        <f>IF(ISBLANK('FORMULAIRE PGA Eaux usées'!G164)=TRUE,"",CONCATENATE('FORMULAIRE PGA Eaux usées'!G164,"; ",'FORMULAIRE PGA Eaux usées'!K164))</f>
        <v/>
      </c>
      <c r="J53" s="3269"/>
      <c r="K53" s="3269"/>
      <c r="L53" s="3269"/>
      <c r="M53" s="2046"/>
      <c r="N53" s="1356"/>
    </row>
    <row r="54" spans="1:32" ht="18" customHeight="1" x14ac:dyDescent="0.25">
      <c r="D54" s="2049" t="s">
        <v>191</v>
      </c>
      <c r="E54" s="3269" t="str">
        <f>IF(ISBLANK('FORMULAIRE PGA Eaux usées'!G162)=TRUE,"",CONCATENATE('FORMULAIRE PGA Eaux usées'!G162,"; ",'FORMULAIRE PGA Eaux usées'!K162))</f>
        <v/>
      </c>
      <c r="F54" s="3269"/>
      <c r="G54" s="3269"/>
      <c r="H54" s="3269"/>
      <c r="I54" s="3269" t="str">
        <f>IF(ISBLANK('FORMULAIRE PGA Eaux usées'!G165)=TRUE,"",CONCATENATE('FORMULAIRE PGA Eaux usées'!G165,"; ",'FORMULAIRE PGA Eaux usées'!K165))</f>
        <v/>
      </c>
      <c r="J54" s="3269"/>
      <c r="K54" s="3269"/>
      <c r="L54" s="3269"/>
      <c r="M54" s="2046"/>
      <c r="N54" s="1356"/>
    </row>
    <row r="55" spans="1:32" x14ac:dyDescent="0.25">
      <c r="D55" s="2048"/>
      <c r="E55" s="2048"/>
      <c r="F55" s="2048"/>
      <c r="G55" s="2048"/>
      <c r="H55" s="2048"/>
      <c r="I55" s="2048"/>
      <c r="J55" s="2048"/>
      <c r="K55" s="2048"/>
      <c r="L55" s="2048"/>
      <c r="M55" s="2048"/>
    </row>
    <row r="58" spans="1:32" ht="22.5" customHeight="1" x14ac:dyDescent="0.3">
      <c r="B58" s="1285" t="s">
        <v>168</v>
      </c>
      <c r="C58" s="1285"/>
      <c r="D58" s="1285"/>
      <c r="E58" s="1285"/>
      <c r="F58" s="1285"/>
      <c r="G58" s="1285"/>
      <c r="H58" s="1285"/>
      <c r="I58" s="1285"/>
      <c r="J58" s="1285"/>
      <c r="K58" s="1285"/>
      <c r="L58" s="1285"/>
      <c r="M58" s="1285"/>
      <c r="N58" s="1285"/>
      <c r="O58" s="1285"/>
      <c r="P58" s="1285"/>
      <c r="Q58" s="1285"/>
      <c r="R58" s="1285"/>
      <c r="S58" s="1285"/>
      <c r="T58" s="1285"/>
      <c r="U58" s="1285"/>
      <c r="V58" s="1285"/>
      <c r="W58" s="1285"/>
      <c r="X58" s="1285"/>
      <c r="Y58" s="1285"/>
      <c r="Z58" s="1285"/>
      <c r="AA58" s="1285"/>
      <c r="AB58" s="1285"/>
      <c r="AC58" s="1285"/>
      <c r="AD58" s="1285"/>
      <c r="AE58" s="1285"/>
      <c r="AF58" s="1285"/>
    </row>
    <row r="59" spans="1:32" ht="18.75" x14ac:dyDescent="0.3">
      <c r="B59" s="1294"/>
      <c r="C59" s="1294"/>
      <c r="D59" s="1294"/>
      <c r="E59" s="1294"/>
      <c r="F59" s="1294"/>
      <c r="G59" s="1294"/>
      <c r="H59" s="1294"/>
      <c r="I59" s="1294"/>
      <c r="J59" s="1294"/>
      <c r="K59" s="1294"/>
      <c r="L59" s="1294"/>
      <c r="M59" s="1294"/>
      <c r="N59" s="1294"/>
      <c r="O59" s="1294"/>
      <c r="P59" s="1294"/>
    </row>
    <row r="60" spans="1:32" ht="24" x14ac:dyDescent="0.25">
      <c r="B60" s="517"/>
      <c r="C60" s="517"/>
      <c r="D60" s="517"/>
      <c r="E60" s="2613" t="s">
        <v>46</v>
      </c>
      <c r="F60" s="2614" t="s">
        <v>47</v>
      </c>
      <c r="G60" s="2614" t="s">
        <v>48</v>
      </c>
      <c r="H60" s="2614" t="s">
        <v>49</v>
      </c>
      <c r="I60" s="2614" t="s">
        <v>50</v>
      </c>
      <c r="J60" s="2614" t="s">
        <v>35</v>
      </c>
      <c r="K60" s="2615" t="s">
        <v>176</v>
      </c>
      <c r="L60" s="2614" t="s">
        <v>161</v>
      </c>
      <c r="M60" s="2614" t="s">
        <v>2161</v>
      </c>
      <c r="N60" s="2614" t="s">
        <v>2162</v>
      </c>
    </row>
    <row r="61" spans="1:32" s="314" customFormat="1" ht="105.75" customHeight="1" x14ac:dyDescent="0.25">
      <c r="A61" s="684"/>
      <c r="B61" s="380" t="s">
        <v>2022</v>
      </c>
      <c r="C61" s="380"/>
      <c r="D61" s="380" t="s">
        <v>69</v>
      </c>
      <c r="E61" s="2609">
        <f>'FORMULAIRE PGA Eaux usées'!J89</f>
        <v>0</v>
      </c>
      <c r="F61" s="1360">
        <f>'FORMULAIRE PGA Eaux usées'!K89</f>
        <v>0</v>
      </c>
      <c r="G61" s="1360">
        <f>'FORMULAIRE PGA Eaux usées'!L89</f>
        <v>0</v>
      </c>
      <c r="H61" s="1360">
        <f>'FORMULAIRE PGA Eaux usées'!M89</f>
        <v>0</v>
      </c>
      <c r="I61" s="1360">
        <f>'FORMULAIRE PGA Eaux usées'!N89</f>
        <v>0</v>
      </c>
      <c r="J61" s="1360">
        <f>'FORMULAIRE PGA Eaux usées'!O89</f>
        <v>1</v>
      </c>
      <c r="K61" s="2611">
        <f>SUM(E61:J61)</f>
        <v>1</v>
      </c>
      <c r="L61" s="314">
        <f>'FORMULAIRE PGA Eaux usées'!G609</f>
        <v>0</v>
      </c>
      <c r="M61" s="3292">
        <f>IF(I33=1,0,IF(I33=2,L61,IF(I33=3,L62,ROUNDDOWN(AVERAGE(L61:L62),0))))</f>
        <v>0</v>
      </c>
      <c r="N61" s="3292">
        <f>IF(I33=1,M61,IF(I41=1,M63,ROUNDDOWN(AVERAGE(M61:M64),0)))</f>
        <v>0</v>
      </c>
    </row>
    <row r="62" spans="1:32" s="314" customFormat="1" ht="105.75" customHeight="1" x14ac:dyDescent="0.25">
      <c r="A62" s="684"/>
      <c r="B62" s="2606" t="s">
        <v>2022</v>
      </c>
      <c r="C62" s="2606"/>
      <c r="D62" s="2606" t="s">
        <v>77</v>
      </c>
      <c r="E62" s="2610">
        <f>'FORMULAIRE PGA Eaux usées'!J98</f>
        <v>0</v>
      </c>
      <c r="F62" s="2607">
        <f>'FORMULAIRE PGA Eaux usées'!K98</f>
        <v>0</v>
      </c>
      <c r="G62" s="2607">
        <f>'FORMULAIRE PGA Eaux usées'!L98</f>
        <v>0</v>
      </c>
      <c r="H62" s="2607">
        <f>'FORMULAIRE PGA Eaux usées'!M98</f>
        <v>0</v>
      </c>
      <c r="I62" s="2607">
        <f>'FORMULAIRE PGA Eaux usées'!N98</f>
        <v>0</v>
      </c>
      <c r="J62" s="2607">
        <f>'FORMULAIRE PGA Eaux usées'!O98</f>
        <v>1</v>
      </c>
      <c r="K62" s="2612">
        <f>SUM(E62:J62)</f>
        <v>1</v>
      </c>
      <c r="L62" s="2608">
        <f>'FORMULAIRE PGA Eaux usées'!G610</f>
        <v>0</v>
      </c>
      <c r="M62" s="3294"/>
      <c r="N62" s="3293"/>
    </row>
    <row r="63" spans="1:32" s="314" customFormat="1" ht="105.75" customHeight="1" x14ac:dyDescent="0.25">
      <c r="A63" s="684"/>
      <c r="B63" s="380" t="s">
        <v>2023</v>
      </c>
      <c r="C63" s="380"/>
      <c r="D63" s="380" t="s">
        <v>69</v>
      </c>
      <c r="E63" s="2609">
        <f>'FORMULAIRE PGA Eaux usées'!J128</f>
        <v>0</v>
      </c>
      <c r="F63" s="1360">
        <f>'FORMULAIRE PGA Eaux usées'!K128</f>
        <v>0</v>
      </c>
      <c r="G63" s="1360">
        <f>'FORMULAIRE PGA Eaux usées'!L128</f>
        <v>0</v>
      </c>
      <c r="H63" s="1360">
        <f>'FORMULAIRE PGA Eaux usées'!M128</f>
        <v>0</v>
      </c>
      <c r="I63" s="1360">
        <f>'FORMULAIRE PGA Eaux usées'!N128</f>
        <v>0</v>
      </c>
      <c r="J63" s="1360">
        <f>'FORMULAIRE PGA Eaux usées'!O128</f>
        <v>1</v>
      </c>
      <c r="K63" s="2611">
        <f>SUM(E63:J63)</f>
        <v>1</v>
      </c>
      <c r="L63" s="314">
        <f>'FORMULAIRE PGA Eaux usées'!L609</f>
        <v>0</v>
      </c>
      <c r="M63" s="3292">
        <f>IF(I41=1,0,IF(I41=2,L63,IF(I41=3,L64,ROUNDDOWN(AVERAGE(L63:L64),0))))</f>
        <v>0</v>
      </c>
      <c r="N63" s="3293"/>
    </row>
    <row r="64" spans="1:32" s="314" customFormat="1" ht="105.75" customHeight="1" x14ac:dyDescent="0.25">
      <c r="A64" s="684"/>
      <c r="B64" s="2606" t="s">
        <v>2023</v>
      </c>
      <c r="C64" s="2606"/>
      <c r="D64" s="2606" t="s">
        <v>77</v>
      </c>
      <c r="E64" s="2610">
        <f>'FORMULAIRE PGA Eaux usées'!J137</f>
        <v>0</v>
      </c>
      <c r="F64" s="2607">
        <f>'FORMULAIRE PGA Eaux usées'!K137</f>
        <v>0</v>
      </c>
      <c r="G64" s="2607">
        <f>'FORMULAIRE PGA Eaux usées'!L137</f>
        <v>0</v>
      </c>
      <c r="H64" s="2607">
        <f>'FORMULAIRE PGA Eaux usées'!M137</f>
        <v>0</v>
      </c>
      <c r="I64" s="2607">
        <f>'FORMULAIRE PGA Eaux usées'!N137</f>
        <v>0</v>
      </c>
      <c r="J64" s="2607">
        <f>'FORMULAIRE PGA Eaux usées'!O137</f>
        <v>1</v>
      </c>
      <c r="K64" s="2612">
        <f>SUM(E64:J64)</f>
        <v>1</v>
      </c>
      <c r="L64" s="2608">
        <f>'FORMULAIRE PGA Eaux usées'!L610</f>
        <v>0</v>
      </c>
      <c r="M64" s="3294"/>
      <c r="N64" s="3294"/>
    </row>
    <row r="65" spans="1:32" s="314" customFormat="1" ht="17.25" customHeight="1" x14ac:dyDescent="0.25">
      <c r="A65" s="684"/>
      <c r="B65" s="380"/>
      <c r="C65" s="380"/>
      <c r="D65" s="380"/>
      <c r="E65" s="1360"/>
      <c r="F65" s="1360"/>
      <c r="G65" s="1360"/>
      <c r="H65" s="1360"/>
      <c r="I65" s="1360"/>
      <c r="J65" s="1360"/>
      <c r="K65" s="1361"/>
    </row>
    <row r="67" spans="1:32" ht="31.5" customHeight="1" x14ac:dyDescent="0.35">
      <c r="B67" s="1283" t="s">
        <v>250</v>
      </c>
      <c r="C67" s="1283"/>
      <c r="D67" s="1284"/>
      <c r="E67" s="1284"/>
      <c r="F67" s="1284"/>
      <c r="G67" s="1284"/>
      <c r="H67" s="1284"/>
      <c r="I67" s="1284"/>
      <c r="J67" s="1284"/>
      <c r="K67" s="1284"/>
      <c r="L67" s="1284"/>
      <c r="M67" s="1284"/>
      <c r="N67" s="1284"/>
      <c r="O67" s="1284"/>
      <c r="P67" s="1284"/>
      <c r="Q67" s="1284"/>
      <c r="R67" s="1284"/>
      <c r="S67" s="1284"/>
      <c r="T67" s="1284"/>
      <c r="U67" s="1284"/>
      <c r="V67" s="1284"/>
      <c r="W67" s="1284"/>
      <c r="X67" s="1284"/>
      <c r="Y67" s="1284"/>
      <c r="Z67" s="1284"/>
      <c r="AA67" s="1284"/>
      <c r="AB67" s="1284"/>
      <c r="AC67" s="1284"/>
      <c r="AD67" s="1284"/>
      <c r="AE67" s="1284"/>
      <c r="AF67" s="1284"/>
    </row>
    <row r="69" spans="1:32" ht="22.5" customHeight="1" x14ac:dyDescent="0.3">
      <c r="B69" s="1285" t="s">
        <v>226</v>
      </c>
      <c r="C69" s="1285"/>
      <c r="D69" s="1285"/>
      <c r="E69" s="1285"/>
      <c r="F69" s="1285"/>
      <c r="G69" s="1285"/>
      <c r="H69" s="1285"/>
      <c r="I69" s="1285"/>
      <c r="J69" s="1285"/>
      <c r="K69" s="1285"/>
      <c r="L69" s="1285"/>
      <c r="M69" s="1285"/>
      <c r="N69" s="1285"/>
      <c r="O69" s="1285"/>
      <c r="P69" s="1285"/>
      <c r="Q69" s="1285"/>
      <c r="R69" s="1285"/>
      <c r="S69" s="1285"/>
      <c r="T69" s="1285"/>
      <c r="U69" s="1285"/>
      <c r="V69" s="1285"/>
      <c r="W69" s="1285"/>
      <c r="X69" s="1285"/>
      <c r="Y69" s="1285"/>
      <c r="Z69" s="1285"/>
      <c r="AA69" s="1285"/>
      <c r="AB69" s="1285"/>
      <c r="AC69" s="1285"/>
      <c r="AD69" s="1285"/>
      <c r="AE69" s="1285"/>
      <c r="AF69" s="1285"/>
    </row>
    <row r="70" spans="1:32" ht="18.75" x14ac:dyDescent="0.3">
      <c r="B70" s="1294"/>
      <c r="C70" s="1294"/>
      <c r="D70" s="1294"/>
      <c r="E70" s="1294"/>
      <c r="F70" s="1294"/>
      <c r="G70" s="1294"/>
      <c r="H70" s="1294"/>
      <c r="I70" s="1294"/>
      <c r="J70" s="1294"/>
      <c r="K70" s="1294"/>
      <c r="L70" s="1294"/>
      <c r="M70" s="1294"/>
      <c r="N70" s="1294"/>
      <c r="O70" s="1294"/>
      <c r="P70" s="1294"/>
      <c r="Q70" s="1294"/>
      <c r="R70" s="1294"/>
      <c r="S70" s="1294"/>
      <c r="T70" s="1294"/>
      <c r="U70" s="1294"/>
      <c r="V70" s="1294"/>
      <c r="W70" s="1294"/>
      <c r="X70" s="1294"/>
      <c r="Y70" s="1294"/>
      <c r="Z70" s="1294"/>
      <c r="AA70" s="1294"/>
      <c r="AB70" s="1294"/>
      <c r="AC70" s="1294"/>
      <c r="AD70" s="1294"/>
      <c r="AE70" s="1294"/>
      <c r="AF70" s="1294"/>
    </row>
    <row r="71" spans="1:32" ht="25.5" customHeight="1" x14ac:dyDescent="0.3">
      <c r="B71" s="1294"/>
      <c r="C71" s="1294"/>
      <c r="D71" s="1362" t="s">
        <v>1811</v>
      </c>
      <c r="E71" s="1294"/>
      <c r="F71" s="1294"/>
      <c r="I71" s="1294"/>
      <c r="L71" s="1294"/>
      <c r="N71" s="1363" t="s">
        <v>161</v>
      </c>
      <c r="O71" s="1364">
        <f>IF(I33=1,'FORMULAIRE PGA Eaux usées'!L613,IF(I44=1,'FORMULAIRE PGA Eaux usées'!G613,ROUNDDOWN(AVERAGE('FORMULAIRE PGA Eaux usées'!G613,'FORMULAIRE PGA Eaux usées'!L613),0)))</f>
        <v>0</v>
      </c>
      <c r="P71" s="1294"/>
      <c r="Q71" s="1294"/>
      <c r="R71" s="1294"/>
      <c r="S71" s="1294"/>
      <c r="T71" s="1294"/>
      <c r="U71" s="1294"/>
      <c r="V71" s="1294"/>
      <c r="W71" s="1294"/>
      <c r="X71" s="1294"/>
      <c r="Y71" s="1294"/>
      <c r="Z71" s="1294"/>
      <c r="AA71" s="1294"/>
      <c r="AB71" s="1294"/>
      <c r="AC71" s="1294"/>
      <c r="AD71" s="1294"/>
      <c r="AE71" s="1294"/>
      <c r="AF71" s="1294"/>
    </row>
    <row r="72" spans="1:32" ht="18.75" x14ac:dyDescent="0.3">
      <c r="B72" s="1294"/>
      <c r="C72" s="1294"/>
      <c r="D72" s="1294"/>
      <c r="E72" s="1294"/>
      <c r="F72" s="1294"/>
      <c r="G72" s="1294"/>
      <c r="H72" s="1294"/>
      <c r="I72" s="1294"/>
      <c r="J72" s="1294"/>
      <c r="K72" s="1294"/>
      <c r="L72" s="1294"/>
      <c r="O72" s="1294"/>
      <c r="P72" s="1294"/>
      <c r="Q72" s="1294"/>
      <c r="R72" s="1294"/>
      <c r="S72" s="1294"/>
      <c r="T72" s="1294"/>
      <c r="U72" s="1294"/>
      <c r="V72" s="1294"/>
      <c r="W72" s="1294"/>
      <c r="X72" s="1294"/>
      <c r="Y72" s="1294"/>
      <c r="Z72" s="1294"/>
      <c r="AA72" s="1294"/>
      <c r="AB72" s="1294"/>
      <c r="AC72" s="1294"/>
      <c r="AD72" s="1294"/>
      <c r="AE72" s="1294"/>
      <c r="AF72" s="1294"/>
    </row>
    <row r="73" spans="1:32" ht="18.75" x14ac:dyDescent="0.3">
      <c r="B73" s="1294"/>
      <c r="C73" s="1294"/>
      <c r="D73" s="1294"/>
      <c r="E73" s="1294"/>
      <c r="F73" s="1294"/>
      <c r="G73" s="1294"/>
      <c r="H73" s="1294"/>
      <c r="I73" s="1294"/>
      <c r="J73" s="1294"/>
      <c r="K73" s="1294"/>
      <c r="L73" s="1294"/>
      <c r="M73" s="1294"/>
      <c r="N73" s="1294"/>
      <c r="O73" s="1294"/>
      <c r="P73" s="1294"/>
      <c r="Q73" s="1294"/>
      <c r="R73" s="1294"/>
      <c r="S73" s="1294"/>
      <c r="T73" s="1294"/>
      <c r="U73" s="1294"/>
      <c r="V73" s="1294"/>
      <c r="W73" s="1294"/>
      <c r="X73" s="1294"/>
      <c r="Y73" s="1294"/>
      <c r="Z73" s="1294"/>
      <c r="AA73" s="1294"/>
      <c r="AB73" s="1294"/>
      <c r="AC73" s="1294"/>
      <c r="AD73" s="1294"/>
      <c r="AE73" s="1294"/>
      <c r="AF73" s="1294"/>
    </row>
    <row r="74" spans="1:32" ht="22.5" customHeight="1" x14ac:dyDescent="0.3">
      <c r="B74" s="1285" t="s">
        <v>230</v>
      </c>
      <c r="C74" s="1285"/>
      <c r="D74" s="1285"/>
      <c r="E74" s="1285"/>
      <c r="F74" s="1285"/>
      <c r="G74" s="1285"/>
      <c r="H74" s="1285"/>
      <c r="I74" s="1285"/>
      <c r="J74" s="1285"/>
      <c r="K74" s="1285"/>
      <c r="L74" s="1285"/>
      <c r="M74" s="1285"/>
      <c r="N74" s="1285"/>
      <c r="O74" s="1285"/>
      <c r="P74" s="1285"/>
      <c r="Q74" s="1285"/>
      <c r="R74" s="1285"/>
      <c r="S74" s="1285"/>
      <c r="T74" s="1285"/>
      <c r="U74" s="1285"/>
      <c r="V74" s="1285"/>
      <c r="W74" s="1285"/>
      <c r="X74" s="1285"/>
      <c r="Y74" s="1285"/>
      <c r="Z74" s="1285"/>
      <c r="AA74" s="1285"/>
      <c r="AB74" s="1285"/>
      <c r="AC74" s="1285"/>
      <c r="AD74" s="1285"/>
      <c r="AE74" s="1285"/>
      <c r="AF74" s="1285"/>
    </row>
    <row r="75" spans="1:32" ht="18.75" x14ac:dyDescent="0.3">
      <c r="B75" s="1294"/>
      <c r="C75" s="1294"/>
      <c r="D75" s="1294"/>
      <c r="E75" s="1294"/>
      <c r="F75" s="1294"/>
      <c r="G75" s="1294"/>
      <c r="H75" s="1294"/>
      <c r="I75" s="1294"/>
      <c r="J75" s="1294"/>
      <c r="K75" s="1294"/>
      <c r="L75" s="1294"/>
      <c r="M75" s="1294"/>
      <c r="N75" s="1294"/>
      <c r="O75" s="1294"/>
      <c r="P75" s="1294"/>
      <c r="Q75" s="1294"/>
      <c r="R75" s="1294"/>
      <c r="S75" s="1294"/>
      <c r="T75" s="1294"/>
      <c r="U75" s="1294"/>
      <c r="V75" s="1294"/>
      <c r="W75" s="1294"/>
      <c r="X75" s="1294"/>
      <c r="Y75" s="1294"/>
      <c r="Z75" s="1294"/>
      <c r="AA75" s="1294"/>
      <c r="AB75" s="1294"/>
      <c r="AC75" s="1294"/>
      <c r="AD75" s="1294"/>
      <c r="AE75" s="1294"/>
      <c r="AF75" s="1294"/>
    </row>
    <row r="76" spans="1:32" ht="25.5" customHeight="1" x14ac:dyDescent="0.25">
      <c r="D76" s="1365" t="s">
        <v>223</v>
      </c>
      <c r="E76" s="1365" t="s">
        <v>1514</v>
      </c>
      <c r="F76" s="1365" t="s">
        <v>1515</v>
      </c>
      <c r="G76" s="1366"/>
      <c r="H76" s="314"/>
      <c r="I76" s="1367"/>
      <c r="J76" s="1368" t="str">
        <f>'MENU DÉROULANT'!D73</f>
        <v>Technique</v>
      </c>
      <c r="K76" s="1369" t="str">
        <f>'MENU DÉROULANT'!D74</f>
        <v>Citoyen</v>
      </c>
      <c r="L76" s="325"/>
      <c r="N76" s="1363" t="s">
        <v>161</v>
      </c>
      <c r="O76" s="1364">
        <f>O71</f>
        <v>0</v>
      </c>
    </row>
    <row r="77" spans="1:32" ht="18" customHeight="1" x14ac:dyDescent="0.25">
      <c r="B77" s="298"/>
      <c r="C77" s="298"/>
      <c r="D77" s="1127">
        <f>'FORMULAIRE PGA Eaux usées'!D220</f>
        <v>0</v>
      </c>
      <c r="E77" s="1127">
        <f>'FORMULAIRE PGA Eaux usées'!F220</f>
        <v>0</v>
      </c>
      <c r="F77" s="1127">
        <f>'FORMULAIRE PGA Eaux usées'!G220</f>
        <v>0</v>
      </c>
      <c r="G77" s="28">
        <v>1</v>
      </c>
      <c r="H77" s="1370"/>
      <c r="I77" s="1371" t="str">
        <f>'MENU DÉROULANT'!C73</f>
        <v>Fonction</v>
      </c>
      <c r="J77" s="1372">
        <f>SUMIFS($G$77:$G$86,$E$77:$E$86,I77,$F$77:$F$86,$J$76)</f>
        <v>0</v>
      </c>
      <c r="K77" s="1373">
        <f>SUMIFS($G$77:$G$86,$E$77:$E$86,I77,$F$77:$F$86,$K$76)</f>
        <v>0</v>
      </c>
      <c r="L77" s="325"/>
      <c r="M77" s="325"/>
      <c r="N77" s="152"/>
    </row>
    <row r="78" spans="1:32" ht="18" customHeight="1" x14ac:dyDescent="0.25">
      <c r="B78" s="298"/>
      <c r="C78" s="298"/>
      <c r="D78" s="1127">
        <f>'FORMULAIRE PGA Eaux usées'!D221</f>
        <v>0</v>
      </c>
      <c r="E78" s="1127">
        <f>'FORMULAIRE PGA Eaux usées'!F221</f>
        <v>0</v>
      </c>
      <c r="F78" s="1127">
        <f>'FORMULAIRE PGA Eaux usées'!G221</f>
        <v>0</v>
      </c>
      <c r="G78" s="28">
        <v>1</v>
      </c>
      <c r="H78" s="1370"/>
      <c r="I78" s="1371" t="str">
        <f>'MENU DÉROULANT'!C74</f>
        <v>Qualité</v>
      </c>
      <c r="J78" s="1374">
        <f>SUMIFS($G$77:$G$86,$E$77:$E$86,I78,$F$77:$F$86,$J$76)</f>
        <v>0</v>
      </c>
      <c r="K78" s="1375">
        <f>SUMIFS($G$77:$G$86,$E$77:$E$86,I78,$F$77:$F$86,$K$76)</f>
        <v>0</v>
      </c>
      <c r="L78" s="325"/>
      <c r="M78" s="325"/>
    </row>
    <row r="79" spans="1:32" ht="18" customHeight="1" x14ac:dyDescent="0.25">
      <c r="B79" s="298"/>
      <c r="C79" s="298"/>
      <c r="D79" s="1127">
        <f>'FORMULAIRE PGA Eaux usées'!D222</f>
        <v>0</v>
      </c>
      <c r="E79" s="1127">
        <f>'FORMULAIRE PGA Eaux usées'!F222</f>
        <v>0</v>
      </c>
      <c r="F79" s="1127">
        <f>'FORMULAIRE PGA Eaux usées'!G222</f>
        <v>0</v>
      </c>
      <c r="G79" s="28">
        <v>1</v>
      </c>
      <c r="H79" s="1370"/>
      <c r="I79" s="1371" t="str">
        <f>'MENU DÉROULANT'!C75</f>
        <v>État</v>
      </c>
      <c r="J79" s="1374">
        <f>SUMIFS($G$77:$G$86,$E$77:$E$86,I79,$F$77:$F$86,$J$76)</f>
        <v>0</v>
      </c>
      <c r="K79" s="1375">
        <f>SUMIFS($G$77:$G$86,$E$77:$E$86,I79,$F$77:$F$86,$K$76)</f>
        <v>0</v>
      </c>
      <c r="L79" s="325"/>
      <c r="M79" s="325"/>
      <c r="N79" s="152"/>
    </row>
    <row r="80" spans="1:32" ht="18" customHeight="1" x14ac:dyDescent="0.25">
      <c r="B80" s="298"/>
      <c r="C80" s="298"/>
      <c r="D80" s="1127">
        <f>'FORMULAIRE PGA Eaux usées'!D223</f>
        <v>0</v>
      </c>
      <c r="E80" s="1127">
        <f>'FORMULAIRE PGA Eaux usées'!F223</f>
        <v>0</v>
      </c>
      <c r="F80" s="1127">
        <f>'FORMULAIRE PGA Eaux usées'!G223</f>
        <v>0</v>
      </c>
      <c r="G80" s="28">
        <v>1</v>
      </c>
      <c r="H80" s="1370"/>
      <c r="I80" s="1371" t="str">
        <f>'MENU DÉROULANT'!C76</f>
        <v>Capacité</v>
      </c>
      <c r="J80" s="1374">
        <f>SUMIFS($G$77:$G$86,$E$77:$E$86,I80,$F$77:$F$86,$J$76)</f>
        <v>0</v>
      </c>
      <c r="K80" s="1375">
        <f>SUMIFS($G$77:$G$86,$E$77:$E$86,I80,$F$77:$F$86,$K$76)</f>
        <v>0</v>
      </c>
      <c r="L80" s="325"/>
      <c r="M80" s="325"/>
      <c r="N80" s="152"/>
    </row>
    <row r="81" spans="2:32" ht="18" customHeight="1" x14ac:dyDescent="0.25">
      <c r="B81" s="298"/>
      <c r="C81" s="298"/>
      <c r="D81" s="1127">
        <f>'FORMULAIRE PGA Eaux usées'!D224</f>
        <v>0</v>
      </c>
      <c r="E81" s="1127">
        <f>'FORMULAIRE PGA Eaux usées'!F224</f>
        <v>0</v>
      </c>
      <c r="F81" s="1127">
        <f>'FORMULAIRE PGA Eaux usées'!G224</f>
        <v>0</v>
      </c>
      <c r="G81" s="28">
        <v>1</v>
      </c>
      <c r="H81" s="1370"/>
      <c r="I81" s="1376" t="str">
        <f>'MENU DÉROULANT'!C77</f>
        <v>Autre</v>
      </c>
      <c r="J81" s="1377">
        <f>SUMIFS($G$77:$G$86,$E$77:$E$86,I81,$F$77:$F$86,$J$76)</f>
        <v>0</v>
      </c>
      <c r="K81" s="1378">
        <f>SUMIFS($G$77:$G$86,$E$77:$E$86,I81,$F$77:$F$86,$K$76)</f>
        <v>0</v>
      </c>
      <c r="L81" s="325"/>
      <c r="M81" s="325"/>
      <c r="N81" s="152"/>
    </row>
    <row r="82" spans="2:32" ht="18" customHeight="1" x14ac:dyDescent="0.25">
      <c r="D82" s="1127">
        <f>'FORMULAIRE PGA Eaux usées'!D225</f>
        <v>0</v>
      </c>
      <c r="E82" s="1127">
        <f>'FORMULAIRE PGA Eaux usées'!F225</f>
        <v>0</v>
      </c>
      <c r="F82" s="1127">
        <f>'FORMULAIRE PGA Eaux usées'!G225</f>
        <v>0</v>
      </c>
      <c r="G82" s="28">
        <v>1</v>
      </c>
      <c r="H82" s="1370"/>
      <c r="I82" s="1370"/>
      <c r="K82" s="1127"/>
      <c r="L82" s="325"/>
      <c r="M82" s="325"/>
    </row>
    <row r="83" spans="2:32" ht="18" customHeight="1" x14ac:dyDescent="0.25">
      <c r="D83" s="1127">
        <f>'FORMULAIRE PGA Eaux usées'!D226</f>
        <v>0</v>
      </c>
      <c r="E83" s="1127">
        <f>'FORMULAIRE PGA Eaux usées'!F226</f>
        <v>0</v>
      </c>
      <c r="F83" s="1127">
        <f>'FORMULAIRE PGA Eaux usées'!G226</f>
        <v>0</v>
      </c>
      <c r="G83" s="28">
        <v>1</v>
      </c>
      <c r="H83" s="1370"/>
      <c r="I83" s="1370"/>
      <c r="J83" s="325"/>
      <c r="K83" s="1127"/>
      <c r="L83" s="325"/>
      <c r="M83" s="1379"/>
      <c r="N83" s="325"/>
    </row>
    <row r="84" spans="2:32" ht="18" customHeight="1" x14ac:dyDescent="0.25">
      <c r="D84" s="1127">
        <f>'FORMULAIRE PGA Eaux usées'!D227</f>
        <v>0</v>
      </c>
      <c r="E84" s="1127">
        <f>'FORMULAIRE PGA Eaux usées'!F227</f>
        <v>0</v>
      </c>
      <c r="F84" s="1127">
        <f>'FORMULAIRE PGA Eaux usées'!G227</f>
        <v>0</v>
      </c>
      <c r="G84" s="28">
        <v>1</v>
      </c>
      <c r="H84" s="1370"/>
      <c r="I84" s="1370"/>
      <c r="J84" s="325"/>
      <c r="K84" s="1127"/>
      <c r="L84" s="325"/>
      <c r="M84" s="1379"/>
      <c r="N84" s="325"/>
    </row>
    <row r="85" spans="2:32" ht="18" customHeight="1" x14ac:dyDescent="0.25">
      <c r="D85" s="1127">
        <f>'FORMULAIRE PGA Eaux usées'!D228</f>
        <v>0</v>
      </c>
      <c r="E85" s="1127">
        <f>'FORMULAIRE PGA Eaux usées'!F228</f>
        <v>0</v>
      </c>
      <c r="F85" s="1127">
        <f>'FORMULAIRE PGA Eaux usées'!G228</f>
        <v>0</v>
      </c>
      <c r="G85" s="28">
        <v>1</v>
      </c>
      <c r="H85" s="1370"/>
      <c r="I85" s="1370"/>
      <c r="J85" s="325"/>
      <c r="K85" s="1127"/>
      <c r="L85" s="325"/>
      <c r="M85" s="1379"/>
      <c r="N85" s="325"/>
    </row>
    <row r="86" spans="2:32" ht="18" customHeight="1" x14ac:dyDescent="0.25">
      <c r="D86" s="1127">
        <f>'FORMULAIRE PGA Eaux usées'!D229</f>
        <v>0</v>
      </c>
      <c r="E86" s="1127">
        <f>'FORMULAIRE PGA Eaux usées'!F229</f>
        <v>0</v>
      </c>
      <c r="F86" s="1127">
        <f>'FORMULAIRE PGA Eaux usées'!G229</f>
        <v>0</v>
      </c>
      <c r="G86" s="28">
        <v>1</v>
      </c>
      <c r="H86" s="1370"/>
      <c r="I86" s="1370"/>
      <c r="J86" s="325"/>
      <c r="K86" s="1127"/>
      <c r="L86" s="325"/>
      <c r="M86" s="1379"/>
      <c r="N86" s="325"/>
    </row>
    <row r="87" spans="2:32" ht="18" customHeight="1" x14ac:dyDescent="0.25">
      <c r="D87" s="1127"/>
      <c r="E87" s="1127"/>
      <c r="F87" s="1127"/>
      <c r="H87" s="1370"/>
      <c r="I87" s="1370"/>
      <c r="J87" s="325"/>
      <c r="K87" s="1127"/>
      <c r="L87" s="325"/>
      <c r="M87" s="1379"/>
      <c r="N87" s="325"/>
    </row>
    <row r="88" spans="2:32" x14ac:dyDescent="0.25">
      <c r="M88" s="1127"/>
    </row>
    <row r="89" spans="2:32" ht="22.5" customHeight="1" x14ac:dyDescent="0.3">
      <c r="B89" s="1285" t="s">
        <v>1810</v>
      </c>
      <c r="C89" s="1285"/>
      <c r="D89" s="1285"/>
      <c r="E89" s="1285"/>
      <c r="F89" s="1285"/>
      <c r="G89" s="1285"/>
      <c r="H89" s="1285"/>
      <c r="I89" s="1285"/>
      <c r="J89" s="1285"/>
      <c r="K89" s="1285"/>
      <c r="L89" s="1285"/>
      <c r="M89" s="1285"/>
      <c r="N89" s="1285"/>
      <c r="O89" s="1285"/>
      <c r="P89" s="1285"/>
      <c r="Q89" s="1285"/>
      <c r="R89" s="1285"/>
      <c r="S89" s="1285"/>
      <c r="T89" s="1285"/>
      <c r="U89" s="1285"/>
      <c r="V89" s="1285"/>
      <c r="W89" s="1285"/>
      <c r="X89" s="1285"/>
      <c r="Y89" s="1285"/>
      <c r="Z89" s="1285"/>
      <c r="AA89" s="1285"/>
      <c r="AB89" s="1285"/>
      <c r="AC89" s="1285"/>
      <c r="AD89" s="1285"/>
      <c r="AE89" s="1285"/>
      <c r="AF89" s="1285"/>
    </row>
    <row r="91" spans="2:32" ht="25.5" customHeight="1" x14ac:dyDescent="0.25">
      <c r="D91" s="2178" t="s">
        <v>223</v>
      </c>
      <c r="E91" s="1380" t="s">
        <v>1516</v>
      </c>
      <c r="F91" s="1380" t="s">
        <v>1517</v>
      </c>
      <c r="G91" s="72"/>
      <c r="H91" s="1380"/>
      <c r="I91" s="3290" t="s">
        <v>1516</v>
      </c>
      <c r="J91" s="3291"/>
      <c r="K91" s="3290" t="s">
        <v>1517</v>
      </c>
      <c r="L91" s="3291"/>
      <c r="N91" s="1363" t="s">
        <v>161</v>
      </c>
      <c r="O91" s="1364">
        <f>O71</f>
        <v>0</v>
      </c>
    </row>
    <row r="92" spans="2:32" x14ac:dyDescent="0.25">
      <c r="D92" s="298">
        <f>'FORMULAIRE PGA Eaux usées'!D220</f>
        <v>0</v>
      </c>
      <c r="E92" s="325">
        <f>'FORMULAIRE PGA Eaux usées'!H220</f>
        <v>0</v>
      </c>
      <c r="F92" s="325">
        <f>'FORMULAIRE PGA Eaux usées'!I220</f>
        <v>0</v>
      </c>
      <c r="I92" s="1381" t="str">
        <f>IF(E92=$G$99,"h",IF(E92=$G$100,"g",IF((E92=$G$101),"i","")))</f>
        <v/>
      </c>
      <c r="J92" s="1308" t="str">
        <f>IF(E92=$G$102,"Inconnu","")</f>
        <v/>
      </c>
      <c r="K92" s="1382" t="str">
        <f>IF(F92=$J$99,5,IF(F92=$J$100,0,IF((F92=$J$101),6,"")))</f>
        <v/>
      </c>
      <c r="L92" s="1383" t="str">
        <f>IF(F92=$J$102,"Aucun","")</f>
        <v/>
      </c>
    </row>
    <row r="93" spans="2:32" x14ac:dyDescent="0.25">
      <c r="D93" s="298">
        <f>'FORMULAIRE PGA Eaux usées'!D221</f>
        <v>0</v>
      </c>
      <c r="E93" s="325">
        <f>'FORMULAIRE PGA Eaux usées'!H221</f>
        <v>0</v>
      </c>
      <c r="F93" s="325">
        <f>'FORMULAIRE PGA Eaux usées'!I221</f>
        <v>0</v>
      </c>
      <c r="I93" s="1381" t="str">
        <f>IF(E93=$G$99,"h",IF(E93=$G$100,"g",IF((E93=$G$101),"i","")))</f>
        <v/>
      </c>
      <c r="J93" s="1308" t="str">
        <f>IF(E93=$G$102,"Inconnu","")</f>
        <v/>
      </c>
      <c r="K93" s="1382" t="str">
        <f>IF(F93=$J$99,5,IF(F93=$J$100,0,IF((F93=$J$101),6,"")))</f>
        <v/>
      </c>
      <c r="L93" s="1383" t="str">
        <f>IF(F93=$J$102,"Aucun","")</f>
        <v/>
      </c>
    </row>
    <row r="94" spans="2:32" x14ac:dyDescent="0.25">
      <c r="D94" s="298">
        <f>'FORMULAIRE PGA Eaux usées'!D222</f>
        <v>0</v>
      </c>
      <c r="E94" s="325">
        <f>'FORMULAIRE PGA Eaux usées'!H222</f>
        <v>0</v>
      </c>
      <c r="F94" s="325">
        <f>'FORMULAIRE PGA Eaux usées'!I222</f>
        <v>0</v>
      </c>
      <c r="I94" s="1384" t="str">
        <f>IF(E94=$G$99,"h",IF(E94=$G$100,"g",IF((E94=$G$101),"i","")))</f>
        <v/>
      </c>
      <c r="J94" s="1385" t="str">
        <f>IF(E94=$G$102,"Inconnu","")</f>
        <v/>
      </c>
      <c r="K94" s="1386" t="str">
        <f>IF(F94=$J$99,5,IF(F94=$J$100,0,IF((F94=$J$101),6,"")))</f>
        <v/>
      </c>
      <c r="L94" s="1387" t="str">
        <f>IF(F94=$J$102,"Aucun","")</f>
        <v/>
      </c>
    </row>
    <row r="95" spans="2:32" x14ac:dyDescent="0.25">
      <c r="I95" s="1388" t="str">
        <f t="shared" ref="I95:I96" si="1">IF(E95=$G$99,"h",IF(E95=$G$100,"g",IF((E95=$G$101),"i","")))</f>
        <v/>
      </c>
      <c r="J95" s="1389" t="str">
        <f t="shared" ref="J95:J96" si="2">IF(E95=$G$102,"Inconnu","")</f>
        <v/>
      </c>
      <c r="K95" s="1388" t="str">
        <f>IF(F95=$J$99,5,IF(F95=$J$100,0,IF((F95=$J$101),6,"")))</f>
        <v/>
      </c>
      <c r="L95" s="1390" t="str">
        <f t="shared" ref="L95:L96" si="3">IF(F95=$J$102,"Aucun","")</f>
        <v/>
      </c>
    </row>
    <row r="96" spans="2:32" x14ac:dyDescent="0.25">
      <c r="I96" s="1384" t="str">
        <f t="shared" si="1"/>
        <v/>
      </c>
      <c r="J96" s="1385" t="str">
        <f t="shared" si="2"/>
        <v/>
      </c>
      <c r="K96" s="1384" t="str">
        <f>IF(F96=$J$99,5,IF(F96=$J$100,0,IF((F96=$J$101),6,"")))</f>
        <v/>
      </c>
      <c r="L96" s="1387" t="str">
        <f t="shared" si="3"/>
        <v/>
      </c>
    </row>
    <row r="97" spans="2:32" x14ac:dyDescent="0.25">
      <c r="I97" s="1379"/>
      <c r="K97" s="1379"/>
    </row>
    <row r="98" spans="2:32" ht="15.75" x14ac:dyDescent="0.25">
      <c r="F98" s="1391"/>
      <c r="G98" s="1392" t="s">
        <v>1808</v>
      </c>
      <c r="H98" s="1393"/>
      <c r="I98" s="1391"/>
      <c r="J98" s="1392" t="s">
        <v>1809</v>
      </c>
      <c r="K98" s="1379"/>
    </row>
    <row r="99" spans="2:32" x14ac:dyDescent="0.25">
      <c r="G99" s="1379" t="str">
        <f>'MENU DÉROULANT'!E73</f>
        <v>Amélioration</v>
      </c>
      <c r="H99" s="325"/>
      <c r="J99" s="1379" t="str">
        <f>'MENU DÉROULANT'!F73</f>
        <v>Augmenter la performance</v>
      </c>
      <c r="K99" s="1379"/>
    </row>
    <row r="100" spans="2:32" x14ac:dyDescent="0.25">
      <c r="G100" s="1379" t="str">
        <f>'MENU DÉROULANT'!E74</f>
        <v>Stabilité</v>
      </c>
      <c r="H100" s="325"/>
      <c r="J100" s="1379" t="str">
        <f>'MENU DÉROULANT'!F74</f>
        <v>Maintenir la performance</v>
      </c>
      <c r="K100" s="1379"/>
    </row>
    <row r="101" spans="2:32" x14ac:dyDescent="0.25">
      <c r="G101" s="1379" t="str">
        <f>'MENU DÉROULANT'!E75</f>
        <v>Détérioration</v>
      </c>
      <c r="H101" s="325"/>
      <c r="J101" s="1379" t="str">
        <f>'MENU DÉROULANT'!F75</f>
        <v>Diminuer la performance</v>
      </c>
      <c r="K101" s="1379"/>
    </row>
    <row r="102" spans="2:32" x14ac:dyDescent="0.25">
      <c r="G102" s="1379" t="str">
        <f>'MENU DÉROULANT'!E76</f>
        <v>Inconnu</v>
      </c>
      <c r="J102" s="1379" t="str">
        <f>'MENU DÉROULANT'!F76</f>
        <v>Aucun objectif pour le moment</v>
      </c>
      <c r="K102" s="325"/>
    </row>
    <row r="103" spans="2:32" x14ac:dyDescent="0.25">
      <c r="G103" s="1379"/>
      <c r="J103" s="1379"/>
      <c r="K103" s="325"/>
    </row>
    <row r="104" spans="2:32" x14ac:dyDescent="0.25">
      <c r="I104" s="325"/>
      <c r="K104" s="325"/>
    </row>
    <row r="105" spans="2:32" ht="31.5" customHeight="1" x14ac:dyDescent="0.35">
      <c r="B105" s="1283" t="s">
        <v>2339</v>
      </c>
      <c r="C105" s="1283"/>
      <c r="D105" s="1284"/>
      <c r="E105" s="1284"/>
      <c r="F105" s="1284"/>
      <c r="G105" s="1284"/>
      <c r="H105" s="1284"/>
      <c r="I105" s="1284"/>
      <c r="J105" s="1284"/>
      <c r="K105" s="1284"/>
      <c r="L105" s="1284"/>
      <c r="M105" s="1284"/>
      <c r="N105" s="1284"/>
      <c r="O105" s="1284"/>
      <c r="P105" s="1284"/>
      <c r="Q105" s="1284"/>
      <c r="R105" s="1284"/>
      <c r="S105" s="1284"/>
      <c r="T105" s="1284"/>
      <c r="U105" s="1284"/>
      <c r="V105" s="1284"/>
      <c r="W105" s="1284"/>
      <c r="X105" s="1284"/>
      <c r="Y105" s="1284"/>
      <c r="Z105" s="1284"/>
      <c r="AA105" s="1284"/>
      <c r="AB105" s="1284"/>
      <c r="AC105" s="1284"/>
      <c r="AD105" s="1284"/>
      <c r="AE105" s="1284"/>
      <c r="AF105" s="1284"/>
    </row>
    <row r="107" spans="2:32" ht="22.5" customHeight="1" x14ac:dyDescent="0.3">
      <c r="B107" s="1285" t="s">
        <v>195</v>
      </c>
      <c r="C107" s="1285"/>
      <c r="D107" s="1285"/>
      <c r="E107" s="1285"/>
      <c r="F107" s="1285"/>
      <c r="G107" s="1285"/>
      <c r="H107" s="1285"/>
      <c r="I107" s="1285"/>
      <c r="J107" s="1285"/>
      <c r="K107" s="1285"/>
      <c r="L107" s="1285"/>
      <c r="M107" s="1285"/>
      <c r="N107" s="1285"/>
      <c r="O107" s="1285"/>
      <c r="P107" s="1285"/>
      <c r="Q107" s="1285"/>
      <c r="R107" s="1285"/>
      <c r="S107" s="1285"/>
      <c r="T107" s="1285"/>
      <c r="U107" s="1285"/>
      <c r="V107" s="1285"/>
      <c r="W107" s="1285"/>
      <c r="X107" s="1285"/>
      <c r="Y107" s="1285"/>
      <c r="Z107" s="1285"/>
      <c r="AA107" s="1285"/>
      <c r="AB107" s="1285"/>
      <c r="AC107" s="1285"/>
      <c r="AD107" s="1285"/>
      <c r="AE107" s="1285"/>
      <c r="AF107" s="1285"/>
    </row>
    <row r="109" spans="2:32" ht="18.75" x14ac:dyDescent="0.3">
      <c r="D109" s="1394" t="str">
        <f>'FORMULAIRE PGA Eaux usées'!D311</f>
        <v>Catégories de changements</v>
      </c>
    </row>
    <row r="110" spans="2:32" x14ac:dyDescent="0.25">
      <c r="D110" s="1379" t="str">
        <f>'FORMULAIRE PGA Eaux usées'!D312</f>
        <v>Démographiques</v>
      </c>
      <c r="E110" s="1395">
        <f>'FORMULAIRE PGA Eaux usées'!F312</f>
        <v>0</v>
      </c>
      <c r="I110" s="28">
        <f t="shared" ref="I110:I115" si="4">IF(E110=$L$114,4,IF(E110=$L$113,3,IF(E110=$L$112,2,IF(E110=$L$111,1,0))))</f>
        <v>0</v>
      </c>
      <c r="K110" s="28" t="s">
        <v>166</v>
      </c>
      <c r="L110" s="1396" t="str">
        <f>'MENU DÉROULANT'!C96</f>
        <v>Aucun changement n'est anticipé.</v>
      </c>
    </row>
    <row r="111" spans="2:32" x14ac:dyDescent="0.25">
      <c r="D111" s="1379" t="str">
        <f>'FORMULAIRE PGA Eaux usées'!D313</f>
        <v>Climatiques</v>
      </c>
      <c r="E111" s="1395">
        <f>'FORMULAIRE PGA Eaux usées'!F313</f>
        <v>0</v>
      </c>
      <c r="I111" s="28">
        <f t="shared" si="4"/>
        <v>0</v>
      </c>
      <c r="L111" s="1396" t="str">
        <f>'MENU DÉROULANT'!C97</f>
        <v>Des changements sont anticipés à court terme (1-4 ans).</v>
      </c>
    </row>
    <row r="112" spans="2:32" x14ac:dyDescent="0.25">
      <c r="D112" s="1379" t="str">
        <f>'FORMULAIRE PGA Eaux usées'!D314</f>
        <v>Cadre légal et règlementaire</v>
      </c>
      <c r="E112" s="1395">
        <f>'FORMULAIRE PGA Eaux usées'!F314</f>
        <v>0</v>
      </c>
      <c r="I112" s="28">
        <f t="shared" si="4"/>
        <v>0</v>
      </c>
      <c r="L112" s="1396" t="str">
        <f>'MENU DÉROULANT'!C98</f>
        <v>Des changements sont anticipés à moyen terme (5-7 ans).</v>
      </c>
    </row>
    <row r="113" spans="4:31" x14ac:dyDescent="0.25">
      <c r="D113" s="1379" t="str">
        <f>'FORMULAIRE PGA Eaux usées'!D315</f>
        <v>Économiques</v>
      </c>
      <c r="E113" s="1395">
        <f>'FORMULAIRE PGA Eaux usées'!F315</f>
        <v>0</v>
      </c>
      <c r="I113" s="28">
        <f t="shared" si="4"/>
        <v>0</v>
      </c>
      <c r="L113" s="1396" t="str">
        <f>'MENU DÉROULANT'!C99</f>
        <v>Des changements sont à prévoir à long terme (8-10 ans).</v>
      </c>
    </row>
    <row r="114" spans="4:31" x14ac:dyDescent="0.25">
      <c r="D114" s="1379" t="str">
        <f>'FORMULAIRE PGA Eaux usées'!D316</f>
        <v>Technologiques</v>
      </c>
      <c r="E114" s="1395">
        <f>'FORMULAIRE PGA Eaux usées'!F316</f>
        <v>0</v>
      </c>
      <c r="I114" s="28">
        <f t="shared" si="4"/>
        <v>0</v>
      </c>
      <c r="L114" s="1396" t="str">
        <f>'MENU DÉROULANT'!C100</f>
        <v>Des changements sont à prévoir continuellement sur 10 ans.</v>
      </c>
    </row>
    <row r="115" spans="4:31" x14ac:dyDescent="0.25">
      <c r="D115" s="1379" t="str">
        <f>CONCATENATE(K115,L115)</f>
        <v xml:space="preserve">Autre </v>
      </c>
      <c r="E115" s="1395">
        <f>'FORMULAIRE PGA Eaux usées'!F317</f>
        <v>0</v>
      </c>
      <c r="I115" s="28">
        <f t="shared" si="4"/>
        <v>0</v>
      </c>
      <c r="K115" s="1397" t="s">
        <v>225</v>
      </c>
      <c r="L115" s="3277" t="str">
        <f>IF('FORMULAIRE PGA Eaux usées'!E317=0,"",CONCATENATE("(",'FORMULAIRE PGA Eaux usées'!E317,")"))</f>
        <v/>
      </c>
      <c r="M115" s="3277"/>
      <c r="N115" s="3277"/>
    </row>
    <row r="117" spans="4:31" ht="24.75" customHeight="1" x14ac:dyDescent="0.25">
      <c r="D117" s="1398"/>
      <c r="K117" s="1399" t="s">
        <v>1791</v>
      </c>
      <c r="L117" s="1400">
        <f>IF(I33=1,'FORMULAIRE PGA Eaux usées'!L621,IF(I44=1,'FORMULAIRE PGA Eaux usées'!G621,ROUNDDOWN(AVERAGE('FORMULAIRE PGA Eaux usées'!G621,'FORMULAIRE PGA Eaux usées'!L621),0)))</f>
        <v>0</v>
      </c>
    </row>
    <row r="118" spans="4:31" ht="9" customHeight="1" x14ac:dyDescent="0.25">
      <c r="Q118" s="88"/>
      <c r="R118" s="88"/>
      <c r="S118" s="55"/>
      <c r="T118" s="55"/>
      <c r="U118" s="55"/>
      <c r="V118" s="55"/>
      <c r="W118" s="55"/>
      <c r="X118" s="55"/>
      <c r="Y118" s="55"/>
      <c r="Z118" s="55"/>
      <c r="AA118" s="55"/>
      <c r="AB118" s="55"/>
      <c r="AC118" s="55"/>
      <c r="AD118" s="55"/>
      <c r="AE118" s="55"/>
    </row>
    <row r="119" spans="4:31" ht="8.25" customHeight="1" x14ac:dyDescent="0.25">
      <c r="Q119" s="3289" t="str">
        <f>D110</f>
        <v>Démographiques</v>
      </c>
      <c r="R119" s="1401"/>
      <c r="S119" s="122"/>
      <c r="T119" s="55"/>
      <c r="U119" s="55"/>
      <c r="V119" s="55"/>
      <c r="W119" s="55"/>
      <c r="X119" s="55"/>
      <c r="Y119" s="55"/>
      <c r="Z119" s="55"/>
      <c r="AA119" s="55"/>
      <c r="AB119" s="55"/>
      <c r="AC119" s="55"/>
      <c r="AD119" s="55"/>
      <c r="AE119" s="55"/>
    </row>
    <row r="120" spans="4:31" ht="9.75" customHeight="1" x14ac:dyDescent="0.25">
      <c r="E120" s="373"/>
      <c r="Q120" s="3289"/>
      <c r="R120" s="1401"/>
      <c r="S120" s="122"/>
      <c r="T120" s="55"/>
      <c r="U120" s="55"/>
      <c r="V120" s="55"/>
      <c r="W120" s="55"/>
      <c r="X120" s="55"/>
      <c r="Y120" s="55"/>
      <c r="Z120" s="55"/>
      <c r="AA120" s="55"/>
      <c r="AB120" s="55"/>
      <c r="AC120" s="55"/>
      <c r="AD120" s="55"/>
      <c r="AE120" s="55"/>
    </row>
    <row r="121" spans="4:31" ht="10.5" customHeight="1" x14ac:dyDescent="0.25">
      <c r="Q121" s="3289" t="str">
        <f>D111</f>
        <v>Climatiques</v>
      </c>
      <c r="R121" s="1401"/>
      <c r="S121" s="122"/>
      <c r="T121" s="55"/>
      <c r="U121" s="55"/>
      <c r="V121" s="55"/>
      <c r="W121" s="55"/>
      <c r="X121" s="55"/>
      <c r="Y121" s="55"/>
      <c r="Z121" s="55"/>
      <c r="AA121" s="55"/>
      <c r="AB121" s="55"/>
      <c r="AC121" s="55"/>
      <c r="AD121" s="55"/>
      <c r="AE121" s="55"/>
    </row>
    <row r="122" spans="4:31" ht="9.75" customHeight="1" x14ac:dyDescent="0.25">
      <c r="Q122" s="3289"/>
      <c r="R122" s="1401"/>
      <c r="S122" s="122"/>
      <c r="T122" s="55"/>
      <c r="U122" s="55"/>
      <c r="V122" s="55"/>
      <c r="W122" s="55"/>
      <c r="X122" s="55"/>
      <c r="Y122" s="55"/>
      <c r="Z122" s="55"/>
      <c r="AA122" s="55"/>
      <c r="AB122" s="55"/>
      <c r="AC122" s="55"/>
      <c r="AD122" s="55"/>
      <c r="AE122" s="55"/>
    </row>
    <row r="123" spans="4:31" ht="10.5" customHeight="1" x14ac:dyDescent="0.25">
      <c r="Q123" s="3289" t="str">
        <f>D112</f>
        <v>Cadre légal et règlementaire</v>
      </c>
      <c r="R123" s="1401"/>
      <c r="S123" s="122"/>
      <c r="T123" s="55"/>
      <c r="U123" s="55"/>
      <c r="V123" s="55"/>
      <c r="W123" s="55"/>
      <c r="X123" s="55"/>
      <c r="Y123" s="55"/>
      <c r="Z123" s="55"/>
      <c r="AA123" s="55"/>
      <c r="AB123" s="55"/>
      <c r="AC123" s="55"/>
      <c r="AD123" s="55"/>
      <c r="AE123" s="55"/>
    </row>
    <row r="124" spans="4:31" ht="9.75" customHeight="1" x14ac:dyDescent="0.25">
      <c r="Q124" s="3289"/>
      <c r="R124" s="1401"/>
      <c r="S124" s="122"/>
      <c r="T124" s="55"/>
      <c r="U124" s="55"/>
      <c r="V124" s="55"/>
      <c r="W124" s="55"/>
      <c r="X124" s="55"/>
      <c r="Y124" s="55"/>
      <c r="Z124" s="55"/>
      <c r="AA124" s="55"/>
      <c r="AB124" s="55"/>
      <c r="AC124" s="55"/>
      <c r="AD124" s="55"/>
      <c r="AE124" s="55"/>
    </row>
    <row r="125" spans="4:31" ht="10.5" customHeight="1" x14ac:dyDescent="0.25">
      <c r="Q125" s="3289" t="str">
        <f>D113</f>
        <v>Économiques</v>
      </c>
      <c r="R125" s="1401"/>
      <c r="S125" s="122"/>
      <c r="T125" s="55"/>
      <c r="U125" s="55"/>
      <c r="V125" s="55"/>
      <c r="W125" s="55"/>
      <c r="X125" s="55"/>
      <c r="Y125" s="55"/>
      <c r="Z125" s="55"/>
      <c r="AA125" s="55"/>
      <c r="AB125" s="55"/>
      <c r="AC125" s="55"/>
      <c r="AD125" s="55"/>
      <c r="AE125" s="55"/>
    </row>
    <row r="126" spans="4:31" ht="9.75" customHeight="1" x14ac:dyDescent="0.25">
      <c r="Q126" s="3289"/>
      <c r="R126" s="1401"/>
      <c r="S126" s="122"/>
      <c r="T126" s="55"/>
      <c r="U126" s="55"/>
      <c r="V126" s="55"/>
      <c r="W126" s="55"/>
      <c r="X126" s="55"/>
      <c r="Y126" s="55"/>
      <c r="Z126" s="55"/>
      <c r="AA126" s="55"/>
      <c r="AB126" s="55"/>
      <c r="AC126" s="55"/>
      <c r="AD126" s="55"/>
      <c r="AE126" s="55"/>
    </row>
    <row r="127" spans="4:31" ht="10.5" customHeight="1" x14ac:dyDescent="0.25">
      <c r="Q127" s="3289" t="str">
        <f>D114</f>
        <v>Technologiques</v>
      </c>
      <c r="R127" s="1401"/>
      <c r="S127" s="122"/>
      <c r="T127" s="55"/>
      <c r="U127" s="55"/>
      <c r="V127" s="55"/>
      <c r="W127" s="55"/>
      <c r="X127" s="55"/>
      <c r="Y127" s="55"/>
      <c r="Z127" s="55"/>
      <c r="AA127" s="55"/>
      <c r="AB127" s="55"/>
      <c r="AC127" s="55"/>
      <c r="AD127" s="55"/>
      <c r="AE127" s="55"/>
    </row>
    <row r="128" spans="4:31" ht="9.75" customHeight="1" x14ac:dyDescent="0.25">
      <c r="Q128" s="3289"/>
      <c r="R128" s="1401"/>
      <c r="S128" s="122"/>
      <c r="T128" s="55"/>
      <c r="U128" s="55"/>
      <c r="V128" s="55"/>
      <c r="W128" s="55"/>
      <c r="X128" s="55"/>
      <c r="Y128" s="55"/>
      <c r="Z128" s="55"/>
      <c r="AA128" s="55"/>
      <c r="AB128" s="55"/>
      <c r="AC128" s="55"/>
      <c r="AD128" s="55"/>
      <c r="AE128" s="55"/>
    </row>
    <row r="129" spans="2:32" ht="10.5" customHeight="1" x14ac:dyDescent="0.25">
      <c r="Q129" s="3289" t="str">
        <f>D115</f>
        <v xml:space="preserve">Autre </v>
      </c>
      <c r="R129" s="1401"/>
      <c r="S129" s="122"/>
      <c r="T129" s="55"/>
      <c r="U129" s="55"/>
      <c r="V129" s="55"/>
      <c r="W129" s="55"/>
      <c r="X129" s="55"/>
      <c r="Y129" s="55"/>
      <c r="Z129" s="55"/>
      <c r="AA129" s="55"/>
      <c r="AB129" s="55"/>
      <c r="AC129" s="55"/>
      <c r="AD129" s="55"/>
      <c r="AE129" s="55"/>
    </row>
    <row r="130" spans="2:32" ht="9.75" customHeight="1" x14ac:dyDescent="0.25">
      <c r="Q130" s="3289"/>
      <c r="R130" s="1401"/>
      <c r="S130" s="122"/>
      <c r="T130" s="55"/>
      <c r="U130" s="55"/>
      <c r="V130" s="55"/>
      <c r="W130" s="55"/>
      <c r="X130" s="55"/>
      <c r="Y130" s="55"/>
      <c r="Z130" s="55"/>
      <c r="AA130" s="55"/>
      <c r="AB130" s="55"/>
      <c r="AC130" s="55"/>
      <c r="AD130" s="55"/>
      <c r="AE130" s="55"/>
    </row>
    <row r="131" spans="2:32" ht="10.5" customHeight="1" x14ac:dyDescent="0.25">
      <c r="Q131" s="88"/>
      <c r="R131" s="1402"/>
      <c r="S131" s="1403"/>
      <c r="T131" s="162"/>
      <c r="U131" s="162"/>
      <c r="V131" s="162"/>
      <c r="W131" s="162"/>
      <c r="X131" s="162"/>
      <c r="Y131" s="162"/>
      <c r="Z131" s="162"/>
      <c r="AA131" s="162"/>
      <c r="AB131" s="162"/>
      <c r="AC131" s="162"/>
      <c r="AD131" s="162"/>
      <c r="AE131" s="55"/>
    </row>
    <row r="132" spans="2:32" ht="6.75" customHeight="1" x14ac:dyDescent="0.25">
      <c r="Q132" s="1404"/>
      <c r="R132" s="1404"/>
      <c r="S132" s="55"/>
      <c r="T132" s="55"/>
      <c r="U132" s="55"/>
      <c r="V132" s="55"/>
      <c r="W132" s="55"/>
      <c r="X132" s="55"/>
      <c r="Y132" s="55"/>
      <c r="Z132" s="55"/>
      <c r="AA132" s="55"/>
      <c r="AB132" s="55"/>
      <c r="AC132" s="55"/>
      <c r="AD132" s="55"/>
      <c r="AE132" s="55"/>
    </row>
    <row r="133" spans="2:32" ht="13.5" customHeight="1" x14ac:dyDescent="0.25">
      <c r="Q133" s="88"/>
      <c r="R133" s="88"/>
      <c r="S133" s="55"/>
      <c r="T133" s="55"/>
      <c r="U133" s="55"/>
      <c r="V133" s="1405" t="s">
        <v>231</v>
      </c>
      <c r="W133" s="1406"/>
      <c r="X133" s="1406"/>
      <c r="Y133" s="1406"/>
      <c r="Z133" s="1405" t="s">
        <v>231</v>
      </c>
      <c r="AA133" s="1406"/>
      <c r="AB133" s="1406"/>
      <c r="AC133" s="1406"/>
      <c r="AD133" s="1405" t="s">
        <v>231</v>
      </c>
      <c r="AE133" s="55"/>
    </row>
    <row r="134" spans="2:32" ht="22.5" customHeight="1" x14ac:dyDescent="0.25">
      <c r="R134" s="55"/>
      <c r="S134" s="55"/>
      <c r="U134" s="126"/>
      <c r="V134" s="1405" t="s">
        <v>237</v>
      </c>
      <c r="W134" s="1407"/>
      <c r="X134" s="1407"/>
      <c r="Y134" s="1408"/>
      <c r="Z134" s="1405" t="s">
        <v>238</v>
      </c>
      <c r="AA134" s="1407"/>
      <c r="AB134" s="1407"/>
      <c r="AC134" s="1408"/>
      <c r="AD134" s="1405" t="s">
        <v>239</v>
      </c>
      <c r="AE134" s="55"/>
    </row>
    <row r="138" spans="2:32" ht="22.5" customHeight="1" x14ac:dyDescent="0.3">
      <c r="B138" s="1285" t="s">
        <v>196</v>
      </c>
      <c r="C138" s="1285"/>
      <c r="D138" s="1285"/>
      <c r="E138" s="1285"/>
      <c r="F138" s="1285"/>
      <c r="G138" s="1285"/>
      <c r="H138" s="1285"/>
      <c r="I138" s="1285"/>
      <c r="J138" s="1285"/>
      <c r="K138" s="1285"/>
      <c r="L138" s="1285"/>
      <c r="M138" s="1285"/>
      <c r="N138" s="1285"/>
      <c r="O138" s="1285"/>
      <c r="P138" s="1285"/>
      <c r="Q138" s="1285"/>
      <c r="R138" s="1285"/>
      <c r="S138" s="1285"/>
      <c r="T138" s="1285"/>
      <c r="U138" s="1285"/>
      <c r="V138" s="1285"/>
      <c r="W138" s="1285"/>
      <c r="X138" s="1285"/>
      <c r="Y138" s="1285"/>
      <c r="Z138" s="1285"/>
      <c r="AA138" s="1285"/>
      <c r="AB138" s="1285"/>
      <c r="AC138" s="1285"/>
      <c r="AD138" s="1285"/>
      <c r="AE138" s="1285"/>
      <c r="AF138" s="1285"/>
    </row>
    <row r="140" spans="2:32" ht="18.75" x14ac:dyDescent="0.3">
      <c r="D140" s="1394" t="str">
        <f>'FORMULAIRE PGA Eaux usées'!D268</f>
        <v>Catégories de risques</v>
      </c>
    </row>
    <row r="141" spans="2:32" x14ac:dyDescent="0.25">
      <c r="D141" s="1379" t="str">
        <f>CONCATENATE(K146,L146)</f>
        <v xml:space="preserve">Autre </v>
      </c>
      <c r="E141" s="1395">
        <f>'FORMULAIRE PGA Eaux usées'!F274</f>
        <v>0</v>
      </c>
      <c r="I141" s="28">
        <f t="shared" ref="I141:I146" si="5">IF(E141=$L$144,3,IF(E141=$L$143,2,IF(E141=$L$142,1,0)))</f>
        <v>0</v>
      </c>
      <c r="K141" s="28" t="s">
        <v>166</v>
      </c>
      <c r="L141" s="325" t="str">
        <f>'MENU DÉROULANT'!C85</f>
        <v>Aucun risque associé n'a été déterminé.</v>
      </c>
    </row>
    <row r="142" spans="2:32" x14ac:dyDescent="0.25">
      <c r="D142" s="1379" t="str">
        <f>'FORMULAIRE PGA Eaux usées'!D272</f>
        <v>Manque d'informations</v>
      </c>
      <c r="E142" s="1395">
        <f>'FORMULAIRE PGA Eaux usées'!F272</f>
        <v>0</v>
      </c>
      <c r="I142" s="28">
        <f t="shared" si="5"/>
        <v>0</v>
      </c>
      <c r="L142" s="325" t="str">
        <f>'MENU DÉROULANT'!C86</f>
        <v>Les risques associés sont de niveau modéré ou faible.</v>
      </c>
    </row>
    <row r="143" spans="2:32" x14ac:dyDescent="0.25">
      <c r="D143" s="1379" t="str">
        <f>'FORMULAIRE PGA Eaux usées'!D273</f>
        <v>Changements climatiques</v>
      </c>
      <c r="E143" s="1395">
        <f>'FORMULAIRE PGA Eaux usées'!F273</f>
        <v>0</v>
      </c>
      <c r="I143" s="28">
        <f t="shared" si="5"/>
        <v>0</v>
      </c>
      <c r="L143" s="325" t="str">
        <f>'MENU DÉROULANT'!C87</f>
        <v>Certains risques associés sont de niveau élevé.</v>
      </c>
    </row>
    <row r="144" spans="2:32" x14ac:dyDescent="0.25">
      <c r="D144" s="1379" t="str">
        <f>'FORMULAIRE PGA Eaux usées'!D271</f>
        <v>Sous-financement</v>
      </c>
      <c r="E144" s="1395">
        <f>'FORMULAIRE PGA Eaux usées'!F271</f>
        <v>0</v>
      </c>
      <c r="I144" s="28">
        <f t="shared" si="5"/>
        <v>0</v>
      </c>
      <c r="L144" s="325" t="str">
        <f>'MENU DÉROULANT'!C88</f>
        <v>Certains risques associés sont de niveau très élevé.</v>
      </c>
    </row>
    <row r="145" spans="4:31" x14ac:dyDescent="0.25">
      <c r="D145" s="1379" t="str">
        <f>'FORMULAIRE PGA Eaux usées'!D270</f>
        <v>Dotation de personnel</v>
      </c>
      <c r="E145" s="1395">
        <f>'FORMULAIRE PGA Eaux usées'!F270</f>
        <v>0</v>
      </c>
      <c r="I145" s="28">
        <f t="shared" si="5"/>
        <v>0</v>
      </c>
    </row>
    <row r="146" spans="4:31" x14ac:dyDescent="0.25">
      <c r="D146" s="1379" t="str">
        <f>'FORMULAIRE PGA Eaux usées'!D269</f>
        <v>Actifs critiques</v>
      </c>
      <c r="E146" s="1395">
        <f>'FORMULAIRE PGA Eaux usées'!F269</f>
        <v>0</v>
      </c>
      <c r="I146" s="28">
        <f t="shared" si="5"/>
        <v>0</v>
      </c>
      <c r="K146" s="1409" t="s">
        <v>225</v>
      </c>
      <c r="L146" s="3277" t="str">
        <f>IF('FORMULAIRE PGA Eaux usées'!E274=0,"",CONCATENATE("(",'FORMULAIRE PGA Eaux usées'!E274,")"))</f>
        <v/>
      </c>
      <c r="M146" s="3277"/>
      <c r="N146" s="3277"/>
    </row>
    <row r="148" spans="4:31" ht="24.75" customHeight="1" x14ac:dyDescent="0.25">
      <c r="K148" s="1399" t="s">
        <v>1791</v>
      </c>
      <c r="L148" s="1400">
        <f>IF(I33=1,'FORMULAIRE PGA Eaux usées'!L617,IF(I44=1,'FORMULAIRE PGA Eaux usées'!G617,ROUNDDOWN(AVERAGE('FORMULAIRE PGA Eaux usées'!G617,'FORMULAIRE PGA Eaux usées'!L617),0)))</f>
        <v>0</v>
      </c>
    </row>
    <row r="150" spans="4:31" x14ac:dyDescent="0.25">
      <c r="Q150" s="88"/>
      <c r="R150" s="88"/>
      <c r="S150" s="55"/>
      <c r="T150" s="55"/>
      <c r="U150" s="55"/>
      <c r="V150" s="55"/>
      <c r="W150" s="55"/>
      <c r="X150" s="55"/>
      <c r="Y150" s="55"/>
      <c r="Z150" s="55"/>
      <c r="AA150" s="55"/>
      <c r="AB150" s="55"/>
      <c r="AC150" s="55"/>
      <c r="AD150" s="55"/>
      <c r="AE150" s="55"/>
    </row>
    <row r="151" spans="4:31" ht="6.75" customHeight="1" x14ac:dyDescent="0.25">
      <c r="Q151" s="3289" t="str">
        <f>D146</f>
        <v>Actifs critiques</v>
      </c>
      <c r="R151" s="1401"/>
      <c r="S151" s="122"/>
      <c r="T151" s="55"/>
      <c r="U151" s="55"/>
      <c r="V151" s="55"/>
      <c r="W151" s="55"/>
      <c r="X151" s="55"/>
      <c r="Y151" s="55"/>
      <c r="Z151" s="55"/>
      <c r="AA151" s="55"/>
      <c r="AB151" s="55"/>
      <c r="AC151" s="55"/>
      <c r="AD151" s="55"/>
      <c r="AE151" s="55"/>
    </row>
    <row r="152" spans="4:31" ht="12" customHeight="1" x14ac:dyDescent="0.25">
      <c r="Q152" s="3289"/>
      <c r="R152" s="1401"/>
      <c r="S152" s="122"/>
      <c r="T152" s="55"/>
      <c r="U152" s="55"/>
      <c r="V152" s="55"/>
      <c r="W152" s="55"/>
      <c r="X152" s="55"/>
      <c r="Y152" s="55"/>
      <c r="Z152" s="55"/>
      <c r="AA152" s="55"/>
      <c r="AB152" s="55"/>
      <c r="AC152" s="55"/>
      <c r="AD152" s="55"/>
      <c r="AE152" s="55"/>
    </row>
    <row r="153" spans="4:31" ht="6.75" customHeight="1" x14ac:dyDescent="0.25">
      <c r="Q153" s="3289" t="str">
        <f>D145</f>
        <v>Dotation de personnel</v>
      </c>
      <c r="R153" s="1401"/>
      <c r="S153" s="122"/>
      <c r="T153" s="55"/>
      <c r="U153" s="55"/>
      <c r="V153" s="55"/>
      <c r="W153" s="55"/>
      <c r="X153" s="55"/>
      <c r="Y153" s="55"/>
      <c r="Z153" s="55"/>
      <c r="AA153" s="55"/>
      <c r="AB153" s="55"/>
      <c r="AC153" s="55"/>
      <c r="AD153" s="55"/>
      <c r="AE153" s="55"/>
    </row>
    <row r="154" spans="4:31" ht="12" customHeight="1" x14ac:dyDescent="0.25">
      <c r="Q154" s="3289"/>
      <c r="R154" s="1401"/>
      <c r="S154" s="122"/>
      <c r="T154" s="55"/>
      <c r="U154" s="55"/>
      <c r="V154" s="55"/>
      <c r="W154" s="55"/>
      <c r="X154" s="55"/>
      <c r="Y154" s="55"/>
      <c r="Z154" s="55"/>
      <c r="AA154" s="55"/>
      <c r="AB154" s="55"/>
      <c r="AC154" s="55"/>
      <c r="AD154" s="55"/>
      <c r="AE154" s="55"/>
    </row>
    <row r="155" spans="4:31" ht="6.75" customHeight="1" x14ac:dyDescent="0.25">
      <c r="Q155" s="3289" t="str">
        <f>D144</f>
        <v>Sous-financement</v>
      </c>
      <c r="R155" s="1401"/>
      <c r="S155" s="122"/>
      <c r="T155" s="55"/>
      <c r="U155" s="55"/>
      <c r="V155" s="55"/>
      <c r="W155" s="55"/>
      <c r="X155" s="55"/>
      <c r="Y155" s="55"/>
      <c r="Z155" s="55"/>
      <c r="AA155" s="55"/>
      <c r="AB155" s="55"/>
      <c r="AC155" s="55"/>
      <c r="AD155" s="55"/>
      <c r="AE155" s="55"/>
    </row>
    <row r="156" spans="4:31" ht="12" customHeight="1" x14ac:dyDescent="0.25">
      <c r="Q156" s="3289"/>
      <c r="R156" s="1401"/>
      <c r="S156" s="122"/>
      <c r="T156" s="55"/>
      <c r="U156" s="55"/>
      <c r="V156" s="55"/>
      <c r="W156" s="55"/>
      <c r="X156" s="55"/>
      <c r="Y156" s="55"/>
      <c r="Z156" s="55"/>
      <c r="AA156" s="55"/>
      <c r="AB156" s="55"/>
      <c r="AC156" s="55"/>
      <c r="AD156" s="55"/>
      <c r="AE156" s="55"/>
    </row>
    <row r="157" spans="4:31" ht="6.75" customHeight="1" x14ac:dyDescent="0.25">
      <c r="Q157" s="3289" t="str">
        <f>D143</f>
        <v>Changements climatiques</v>
      </c>
      <c r="R157" s="1401"/>
      <c r="S157" s="122"/>
      <c r="T157" s="55"/>
      <c r="U157" s="55"/>
      <c r="V157" s="55"/>
      <c r="W157" s="55"/>
      <c r="X157" s="55"/>
      <c r="Y157" s="55"/>
      <c r="Z157" s="55"/>
      <c r="AA157" s="55"/>
      <c r="AB157" s="55"/>
      <c r="AC157" s="55"/>
      <c r="AD157" s="55"/>
      <c r="AE157" s="55"/>
    </row>
    <row r="158" spans="4:31" ht="12" customHeight="1" x14ac:dyDescent="0.25">
      <c r="Q158" s="3289"/>
      <c r="R158" s="1401"/>
      <c r="S158" s="122"/>
      <c r="T158" s="55"/>
      <c r="U158" s="55"/>
      <c r="V158" s="55"/>
      <c r="W158" s="55"/>
      <c r="X158" s="55"/>
      <c r="Y158" s="55"/>
      <c r="Z158" s="55"/>
      <c r="AA158" s="55"/>
      <c r="AB158" s="55"/>
      <c r="AC158" s="55"/>
      <c r="AD158" s="55"/>
      <c r="AE158" s="55"/>
    </row>
    <row r="159" spans="4:31" ht="6.75" customHeight="1" x14ac:dyDescent="0.25">
      <c r="Q159" s="3289" t="str">
        <f>D142</f>
        <v>Manque d'informations</v>
      </c>
      <c r="R159" s="1401"/>
      <c r="S159" s="122"/>
      <c r="T159" s="55"/>
      <c r="U159" s="55"/>
      <c r="V159" s="55"/>
      <c r="W159" s="55"/>
      <c r="X159" s="55"/>
      <c r="Y159" s="55"/>
      <c r="Z159" s="55"/>
      <c r="AA159" s="55"/>
      <c r="AB159" s="55"/>
      <c r="AC159" s="55"/>
      <c r="AD159" s="55"/>
      <c r="AE159" s="55"/>
    </row>
    <row r="160" spans="4:31" ht="12" customHeight="1" x14ac:dyDescent="0.25">
      <c r="Q160" s="3289"/>
      <c r="R160" s="1401"/>
      <c r="S160" s="122"/>
      <c r="T160" s="55"/>
      <c r="U160" s="55"/>
      <c r="V160" s="55"/>
      <c r="W160" s="55"/>
      <c r="X160" s="55"/>
      <c r="Y160" s="55"/>
      <c r="Z160" s="55"/>
      <c r="AA160" s="55"/>
      <c r="AB160" s="55"/>
      <c r="AC160" s="55"/>
      <c r="AD160" s="55"/>
      <c r="AE160" s="55"/>
    </row>
    <row r="161" spans="1:32" ht="6.75" customHeight="1" x14ac:dyDescent="0.25">
      <c r="Q161" s="3289" t="str">
        <f>D141</f>
        <v xml:space="preserve">Autre </v>
      </c>
      <c r="R161" s="1401"/>
      <c r="S161" s="122"/>
      <c r="T161" s="55"/>
      <c r="U161" s="55"/>
      <c r="V161" s="55"/>
      <c r="W161" s="55"/>
      <c r="X161" s="55"/>
      <c r="Y161" s="55"/>
      <c r="Z161" s="55"/>
      <c r="AA161" s="55"/>
      <c r="AB161" s="55"/>
      <c r="AC161" s="55"/>
      <c r="AD161" s="55"/>
      <c r="AE161" s="55"/>
    </row>
    <row r="162" spans="1:32" ht="12" customHeight="1" x14ac:dyDescent="0.25">
      <c r="Q162" s="3289"/>
      <c r="R162" s="1401"/>
      <c r="S162" s="122"/>
      <c r="T162" s="55"/>
      <c r="U162" s="55"/>
      <c r="V162" s="55"/>
      <c r="W162" s="55"/>
      <c r="X162" s="55"/>
      <c r="Y162" s="55"/>
      <c r="Z162" s="55"/>
      <c r="AA162" s="55"/>
      <c r="AB162" s="55"/>
      <c r="AC162" s="55"/>
      <c r="AD162" s="55"/>
      <c r="AE162" s="55"/>
    </row>
    <row r="163" spans="1:32" ht="6.75" customHeight="1" x14ac:dyDescent="0.25">
      <c r="Q163" s="1410"/>
      <c r="R163" s="1411"/>
      <c r="S163" s="1403"/>
      <c r="T163" s="162"/>
      <c r="U163" s="162"/>
      <c r="V163" s="162"/>
      <c r="W163" s="162"/>
      <c r="X163" s="162"/>
      <c r="Y163" s="162"/>
      <c r="Z163" s="162"/>
      <c r="AA163" s="162"/>
      <c r="AB163" s="162"/>
      <c r="AC163" s="162"/>
      <c r="AD163" s="162"/>
      <c r="AE163" s="55"/>
    </row>
    <row r="164" spans="1:32" ht="6.75" customHeight="1" x14ac:dyDescent="0.25">
      <c r="Q164" s="88"/>
      <c r="R164" s="88"/>
      <c r="S164" s="55"/>
      <c r="T164" s="55"/>
      <c r="U164" s="55"/>
      <c r="V164" s="55"/>
      <c r="W164" s="55"/>
      <c r="X164" s="55"/>
      <c r="Y164" s="55"/>
      <c r="Z164" s="55"/>
      <c r="AA164" s="55"/>
      <c r="AB164" s="55"/>
      <c r="AC164" s="55"/>
      <c r="AD164" s="55"/>
      <c r="AE164" s="55"/>
    </row>
    <row r="165" spans="1:32" ht="13.5" customHeight="1" x14ac:dyDescent="0.25">
      <c r="Q165" s="88"/>
      <c r="R165" s="88"/>
      <c r="S165" s="55"/>
      <c r="T165" s="55"/>
      <c r="U165" s="55"/>
      <c r="V165" s="1412" t="s">
        <v>232</v>
      </c>
      <c r="W165" s="1406"/>
      <c r="X165" s="1406"/>
      <c r="Y165" s="1406"/>
      <c r="Z165" s="1412" t="s">
        <v>232</v>
      </c>
      <c r="AA165" s="1406"/>
      <c r="AB165" s="1406"/>
      <c r="AC165" s="1406"/>
      <c r="AD165" s="1412" t="s">
        <v>232</v>
      </c>
      <c r="AE165" s="55"/>
    </row>
    <row r="166" spans="1:32" ht="12" customHeight="1" x14ac:dyDescent="0.25">
      <c r="Q166" s="88"/>
      <c r="R166" s="88"/>
      <c r="S166" s="55"/>
      <c r="T166" s="55"/>
      <c r="U166" s="55"/>
      <c r="V166" s="1412" t="s">
        <v>233</v>
      </c>
      <c r="W166" s="1406"/>
      <c r="X166" s="1406"/>
      <c r="Y166" s="1406"/>
      <c r="Z166" s="1412" t="s">
        <v>233</v>
      </c>
      <c r="AA166" s="1406"/>
      <c r="AB166" s="1406"/>
      <c r="AC166" s="1406"/>
      <c r="AD166" s="1412" t="s">
        <v>233</v>
      </c>
      <c r="AE166" s="55"/>
    </row>
    <row r="167" spans="1:32" s="314" customFormat="1" ht="18.75" customHeight="1" x14ac:dyDescent="0.25">
      <c r="A167" s="684"/>
      <c r="Q167" s="684"/>
      <c r="R167" s="684"/>
      <c r="S167" s="684"/>
      <c r="T167" s="1413"/>
      <c r="U167" s="1413"/>
      <c r="V167" s="1414" t="s">
        <v>234</v>
      </c>
      <c r="W167" s="1407"/>
      <c r="X167" s="1407"/>
      <c r="Y167" s="1415"/>
      <c r="Z167" s="1414" t="s">
        <v>235</v>
      </c>
      <c r="AA167" s="1407"/>
      <c r="AB167" s="1407"/>
      <c r="AC167" s="1415"/>
      <c r="AD167" s="1414" t="s">
        <v>236</v>
      </c>
      <c r="AE167" s="684"/>
    </row>
    <row r="171" spans="1:32" ht="31.5" customHeight="1" x14ac:dyDescent="0.35">
      <c r="B171" s="1283" t="s">
        <v>1775</v>
      </c>
      <c r="C171" s="1283"/>
      <c r="D171" s="1284"/>
      <c r="E171" s="1284"/>
      <c r="F171" s="1284"/>
      <c r="G171" s="1284"/>
      <c r="H171" s="1284"/>
      <c r="I171" s="1284"/>
      <c r="J171" s="1284"/>
      <c r="K171" s="1284"/>
      <c r="L171" s="1284"/>
      <c r="M171" s="1284"/>
      <c r="N171" s="1284"/>
      <c r="O171" s="1284"/>
      <c r="P171" s="1284"/>
      <c r="Q171" s="1284"/>
      <c r="R171" s="1284"/>
      <c r="S171" s="1284"/>
      <c r="T171" s="1284"/>
      <c r="U171" s="1284"/>
      <c r="V171" s="1284"/>
      <c r="W171" s="1284"/>
      <c r="X171" s="1284"/>
      <c r="Y171" s="1284"/>
      <c r="Z171" s="1284"/>
      <c r="AA171" s="1284"/>
      <c r="AB171" s="1284"/>
      <c r="AC171" s="1284"/>
      <c r="AD171" s="1284"/>
      <c r="AE171" s="1284"/>
      <c r="AF171" s="1284"/>
    </row>
    <row r="174" spans="1:32" ht="22.5" customHeight="1" x14ac:dyDescent="0.3">
      <c r="B174" s="1285" t="s">
        <v>169</v>
      </c>
      <c r="C174" s="1285"/>
      <c r="D174" s="1285"/>
      <c r="E174" s="1285"/>
      <c r="F174" s="1285"/>
      <c r="G174" s="1285"/>
      <c r="H174" s="1285"/>
      <c r="I174" s="1285"/>
      <c r="J174" s="1285"/>
      <c r="K174" s="1285"/>
      <c r="L174" s="1285"/>
      <c r="M174" s="1285"/>
      <c r="N174" s="1285"/>
      <c r="O174" s="1285"/>
      <c r="P174" s="1285"/>
      <c r="Q174" s="1285"/>
      <c r="R174" s="1285"/>
      <c r="S174" s="1285"/>
      <c r="T174" s="1285"/>
      <c r="U174" s="1285"/>
      <c r="V174" s="1285"/>
      <c r="W174" s="1285"/>
      <c r="X174" s="1285"/>
      <c r="Y174" s="1285"/>
      <c r="Z174" s="1285"/>
      <c r="AA174" s="1285"/>
      <c r="AB174" s="1285"/>
      <c r="AC174" s="1285"/>
      <c r="AD174" s="1285"/>
      <c r="AE174" s="1285"/>
      <c r="AF174" s="1285"/>
    </row>
    <row r="175" spans="1:32" ht="21" x14ac:dyDescent="0.25">
      <c r="B175" s="1416"/>
      <c r="C175" s="1416"/>
    </row>
    <row r="176" spans="1:32" ht="24.75" customHeight="1" x14ac:dyDescent="0.35">
      <c r="D176" s="1417" t="s">
        <v>42</v>
      </c>
      <c r="E176" s="1348"/>
      <c r="F176" s="1348"/>
      <c r="G176" s="1348"/>
      <c r="H176" s="1348"/>
      <c r="I176" s="1348"/>
      <c r="J176" s="1348"/>
      <c r="K176" s="1348"/>
      <c r="L176" s="1348"/>
      <c r="M176" s="1348"/>
      <c r="N176" s="1348"/>
      <c r="O176" s="1348"/>
    </row>
    <row r="177" spans="2:16" ht="6" customHeight="1" x14ac:dyDescent="0.25">
      <c r="B177" s="1416"/>
      <c r="C177" s="1416"/>
    </row>
    <row r="178" spans="2:16" ht="6" customHeight="1" x14ac:dyDescent="0.25">
      <c r="B178" s="1416"/>
      <c r="C178" s="1416"/>
    </row>
    <row r="179" spans="2:16" x14ac:dyDescent="0.25">
      <c r="B179" s="314"/>
      <c r="C179" s="314"/>
      <c r="D179" s="1418"/>
      <c r="E179" s="1418">
        <f>'FORMULAIRE PGA Eaux usées'!E410</f>
        <v>0</v>
      </c>
      <c r="F179" s="1418">
        <f>E179+1</f>
        <v>1</v>
      </c>
      <c r="G179" s="1418">
        <f t="shared" ref="G179:N179" si="6">F179+1</f>
        <v>2</v>
      </c>
      <c r="H179" s="1418">
        <f t="shared" si="6"/>
        <v>3</v>
      </c>
      <c r="I179" s="1418">
        <f t="shared" si="6"/>
        <v>4</v>
      </c>
      <c r="J179" s="1418">
        <f t="shared" si="6"/>
        <v>5</v>
      </c>
      <c r="K179" s="1418">
        <f t="shared" si="6"/>
        <v>6</v>
      </c>
      <c r="L179" s="1418">
        <f t="shared" si="6"/>
        <v>7</v>
      </c>
      <c r="M179" s="1418">
        <f t="shared" si="6"/>
        <v>8</v>
      </c>
      <c r="N179" s="1418">
        <f t="shared" si="6"/>
        <v>9</v>
      </c>
      <c r="O179" s="1419" t="s">
        <v>1822</v>
      </c>
    </row>
    <row r="180" spans="2:16" x14ac:dyDescent="0.25">
      <c r="D180" s="1420" t="s">
        <v>129</v>
      </c>
      <c r="E180" s="1421">
        <f>E238+E255</f>
        <v>0</v>
      </c>
      <c r="F180" s="1421">
        <f>E180</f>
        <v>0</v>
      </c>
      <c r="G180" s="1421">
        <f t="shared" ref="G180:N180" si="7">F180</f>
        <v>0</v>
      </c>
      <c r="H180" s="1421">
        <f t="shared" si="7"/>
        <v>0</v>
      </c>
      <c r="I180" s="1421">
        <f t="shared" si="7"/>
        <v>0</v>
      </c>
      <c r="J180" s="1421">
        <f t="shared" si="7"/>
        <v>0</v>
      </c>
      <c r="K180" s="1421">
        <f t="shared" si="7"/>
        <v>0</v>
      </c>
      <c r="L180" s="1421">
        <f t="shared" si="7"/>
        <v>0</v>
      </c>
      <c r="M180" s="1421">
        <f t="shared" si="7"/>
        <v>0</v>
      </c>
      <c r="N180" s="1421">
        <f t="shared" si="7"/>
        <v>0</v>
      </c>
      <c r="O180" s="1422">
        <f>SUM(E180:N180)</f>
        <v>0</v>
      </c>
    </row>
    <row r="181" spans="2:16" x14ac:dyDescent="0.25">
      <c r="D181" s="919" t="s">
        <v>1</v>
      </c>
      <c r="E181" s="1348">
        <f>E239+E256</f>
        <v>0</v>
      </c>
      <c r="F181" s="1348">
        <f t="shared" ref="F181:N181" si="8">F239+F256</f>
        <v>0</v>
      </c>
      <c r="G181" s="1348">
        <f t="shared" si="8"/>
        <v>0</v>
      </c>
      <c r="H181" s="1348">
        <f t="shared" si="8"/>
        <v>0</v>
      </c>
      <c r="I181" s="1348">
        <f t="shared" si="8"/>
        <v>0</v>
      </c>
      <c r="J181" s="1348">
        <f t="shared" si="8"/>
        <v>0</v>
      </c>
      <c r="K181" s="1348">
        <f t="shared" si="8"/>
        <v>0</v>
      </c>
      <c r="L181" s="1348">
        <f t="shared" si="8"/>
        <v>0</v>
      </c>
      <c r="M181" s="1348">
        <f t="shared" si="8"/>
        <v>0</v>
      </c>
      <c r="N181" s="1348">
        <f t="shared" si="8"/>
        <v>0</v>
      </c>
      <c r="O181" s="1348">
        <f>SUM(E181:N181)</f>
        <v>0</v>
      </c>
    </row>
    <row r="182" spans="2:16" x14ac:dyDescent="0.25">
      <c r="D182" s="919" t="s">
        <v>2</v>
      </c>
      <c r="E182" s="1348">
        <f t="shared" ref="E182:N185" si="9">E240+E257</f>
        <v>0</v>
      </c>
      <c r="F182" s="1348">
        <f t="shared" si="9"/>
        <v>0</v>
      </c>
      <c r="G182" s="1348">
        <f t="shared" si="9"/>
        <v>0</v>
      </c>
      <c r="H182" s="1348">
        <f t="shared" si="9"/>
        <v>0</v>
      </c>
      <c r="I182" s="1348">
        <f t="shared" si="9"/>
        <v>0</v>
      </c>
      <c r="J182" s="1348">
        <f t="shared" si="9"/>
        <v>0</v>
      </c>
      <c r="K182" s="1348">
        <f t="shared" si="9"/>
        <v>0</v>
      </c>
      <c r="L182" s="1348">
        <f t="shared" si="9"/>
        <v>0</v>
      </c>
      <c r="M182" s="1348">
        <f t="shared" si="9"/>
        <v>0</v>
      </c>
      <c r="N182" s="1348">
        <f t="shared" si="9"/>
        <v>0</v>
      </c>
      <c r="O182" s="1348">
        <f t="shared" ref="O182:O185" si="10">SUM(E182:N182)</f>
        <v>0</v>
      </c>
    </row>
    <row r="183" spans="2:16" x14ac:dyDescent="0.25">
      <c r="D183" s="919" t="s">
        <v>5</v>
      </c>
      <c r="E183" s="1348">
        <f t="shared" si="9"/>
        <v>0</v>
      </c>
      <c r="F183" s="1348">
        <f t="shared" si="9"/>
        <v>0</v>
      </c>
      <c r="G183" s="1348">
        <f t="shared" si="9"/>
        <v>0</v>
      </c>
      <c r="H183" s="1348">
        <f t="shared" si="9"/>
        <v>0</v>
      </c>
      <c r="I183" s="1348">
        <f t="shared" si="9"/>
        <v>0</v>
      </c>
      <c r="J183" s="1348">
        <f t="shared" si="9"/>
        <v>0</v>
      </c>
      <c r="K183" s="1348">
        <f t="shared" si="9"/>
        <v>0</v>
      </c>
      <c r="L183" s="1348">
        <f t="shared" si="9"/>
        <v>0</v>
      </c>
      <c r="M183" s="1348">
        <f t="shared" si="9"/>
        <v>0</v>
      </c>
      <c r="N183" s="1348">
        <f t="shared" si="9"/>
        <v>0</v>
      </c>
      <c r="O183" s="1348">
        <f t="shared" si="10"/>
        <v>0</v>
      </c>
    </row>
    <row r="184" spans="2:16" x14ac:dyDescent="0.25">
      <c r="D184" s="919" t="s">
        <v>3</v>
      </c>
      <c r="E184" s="1348">
        <f t="shared" si="9"/>
        <v>0</v>
      </c>
      <c r="F184" s="1348">
        <f t="shared" si="9"/>
        <v>0</v>
      </c>
      <c r="G184" s="1348">
        <f t="shared" si="9"/>
        <v>0</v>
      </c>
      <c r="H184" s="1348">
        <f t="shared" si="9"/>
        <v>0</v>
      </c>
      <c r="I184" s="1348">
        <f t="shared" si="9"/>
        <v>0</v>
      </c>
      <c r="J184" s="1348">
        <f t="shared" si="9"/>
        <v>0</v>
      </c>
      <c r="K184" s="1348">
        <f t="shared" si="9"/>
        <v>0</v>
      </c>
      <c r="L184" s="1348">
        <f t="shared" si="9"/>
        <v>0</v>
      </c>
      <c r="M184" s="1348">
        <f t="shared" si="9"/>
        <v>0</v>
      </c>
      <c r="N184" s="1348">
        <f t="shared" si="9"/>
        <v>0</v>
      </c>
      <c r="O184" s="1348">
        <f t="shared" si="10"/>
        <v>0</v>
      </c>
    </row>
    <row r="185" spans="2:16" x14ac:dyDescent="0.25">
      <c r="D185" s="1423" t="s">
        <v>4</v>
      </c>
      <c r="E185" s="1424">
        <f t="shared" si="9"/>
        <v>0</v>
      </c>
      <c r="F185" s="1424">
        <f t="shared" si="9"/>
        <v>0</v>
      </c>
      <c r="G185" s="1424">
        <f t="shared" si="9"/>
        <v>0</v>
      </c>
      <c r="H185" s="1424">
        <f t="shared" si="9"/>
        <v>0</v>
      </c>
      <c r="I185" s="1424">
        <f t="shared" si="9"/>
        <v>0</v>
      </c>
      <c r="J185" s="1424">
        <f t="shared" si="9"/>
        <v>0</v>
      </c>
      <c r="K185" s="1424">
        <f t="shared" si="9"/>
        <v>0</v>
      </c>
      <c r="L185" s="1424">
        <f t="shared" si="9"/>
        <v>0</v>
      </c>
      <c r="M185" s="1424">
        <f t="shared" si="9"/>
        <v>0</v>
      </c>
      <c r="N185" s="1424">
        <f t="shared" si="9"/>
        <v>0</v>
      </c>
      <c r="O185" s="1424">
        <f t="shared" si="10"/>
        <v>0</v>
      </c>
    </row>
    <row r="186" spans="2:16" x14ac:dyDescent="0.25">
      <c r="D186" s="919"/>
      <c r="E186" s="1348"/>
      <c r="F186" s="1348"/>
      <c r="G186" s="1348"/>
      <c r="H186" s="1348"/>
      <c r="I186" s="1348"/>
      <c r="J186" s="1348"/>
      <c r="K186" s="1348"/>
      <c r="L186" s="1348"/>
      <c r="M186" s="1348"/>
      <c r="N186" s="1348"/>
      <c r="O186" s="1348"/>
    </row>
    <row r="187" spans="2:16" ht="24.75" customHeight="1" x14ac:dyDescent="0.35">
      <c r="D187" s="1417" t="s">
        <v>1821</v>
      </c>
      <c r="E187" s="1348"/>
      <c r="F187" s="1348"/>
      <c r="H187" s="1348"/>
      <c r="I187" s="1348"/>
      <c r="J187" s="1348"/>
      <c r="M187" s="1348"/>
      <c r="N187" s="1348"/>
      <c r="O187" s="1348"/>
    </row>
    <row r="188" spans="2:16" ht="7.5" customHeight="1" x14ac:dyDescent="0.25">
      <c r="D188" s="919"/>
      <c r="E188" s="1348"/>
      <c r="F188" s="1348"/>
      <c r="G188" s="1348"/>
      <c r="H188" s="1348"/>
      <c r="I188" s="1348"/>
      <c r="J188" s="1348"/>
      <c r="K188" s="1348"/>
      <c r="L188" s="1348"/>
      <c r="M188" s="1348"/>
      <c r="N188" s="1348"/>
      <c r="O188" s="1348"/>
    </row>
    <row r="189" spans="2:16" ht="18.75" x14ac:dyDescent="0.3">
      <c r="B189" s="1425"/>
      <c r="C189" s="1425"/>
      <c r="E189" s="2179" t="s">
        <v>2041</v>
      </c>
      <c r="F189" s="1426" t="s">
        <v>1879</v>
      </c>
      <c r="G189" s="1426" t="s">
        <v>1878</v>
      </c>
      <c r="H189" s="1426" t="s">
        <v>163</v>
      </c>
      <c r="I189" s="1348"/>
      <c r="K189" s="3271" t="s">
        <v>2042</v>
      </c>
      <c r="L189" s="3272"/>
      <c r="M189" s="1426" t="s">
        <v>1879</v>
      </c>
      <c r="N189" s="1426" t="s">
        <v>1878</v>
      </c>
      <c r="O189" s="1426" t="s">
        <v>163</v>
      </c>
    </row>
    <row r="190" spans="2:16" x14ac:dyDescent="0.25">
      <c r="E190" s="1127" t="s">
        <v>173</v>
      </c>
      <c r="F190" s="152">
        <f>'FORMULAIRE PGA Eaux usées'!G630</f>
        <v>0</v>
      </c>
      <c r="G190" s="1427">
        <v>0.5</v>
      </c>
      <c r="H190" s="3278">
        <f>ROUNDDOWN((F190*G190+F191*G191),0)</f>
        <v>0</v>
      </c>
      <c r="I190" s="1348"/>
      <c r="J190" s="1348"/>
      <c r="L190" s="1127" t="s">
        <v>173</v>
      </c>
      <c r="M190" s="152">
        <f>'FORMULAIRE PGA Eaux usées'!L630</f>
        <v>0</v>
      </c>
      <c r="N190" s="1427">
        <v>0.5</v>
      </c>
      <c r="O190" s="3278">
        <f>ROUNDDOWN((M190*N190+M191*N191),0)</f>
        <v>0</v>
      </c>
      <c r="P190" s="1428" t="s">
        <v>183</v>
      </c>
    </row>
    <row r="191" spans="2:16" x14ac:dyDescent="0.25">
      <c r="E191" s="1127" t="s">
        <v>172</v>
      </c>
      <c r="F191" s="152">
        <f>'FORMULAIRE PGA Eaux usées'!G625</f>
        <v>0</v>
      </c>
      <c r="G191" s="1427">
        <v>0.5</v>
      </c>
      <c r="H191" s="3278"/>
      <c r="I191" s="1348"/>
      <c r="L191" s="1127" t="s">
        <v>172</v>
      </c>
      <c r="M191" s="152">
        <f>'FORMULAIRE PGA Eaux usées'!L625</f>
        <v>0</v>
      </c>
      <c r="N191" s="1427">
        <v>0.5</v>
      </c>
      <c r="O191" s="3278"/>
      <c r="P191" s="1429" t="s">
        <v>1875</v>
      </c>
    </row>
    <row r="192" spans="2:16" x14ac:dyDescent="0.25">
      <c r="E192" s="1127" t="s">
        <v>1815</v>
      </c>
      <c r="F192" s="152">
        <f>'FORMULAIRE PGA Eaux usées'!G631</f>
        <v>0</v>
      </c>
      <c r="G192" s="1427">
        <f>2/3/3</f>
        <v>0.22222222222222221</v>
      </c>
      <c r="H192" s="3278">
        <f>ROUNDDOWN((F192*G192+F193*G193+F194*G194+F196*G196+F197*G197+F198*G198),0)</f>
        <v>0</v>
      </c>
      <c r="I192" s="1348"/>
      <c r="L192" s="1127" t="s">
        <v>1815</v>
      </c>
      <c r="M192" s="152">
        <f>'FORMULAIRE PGA Eaux usées'!L631</f>
        <v>0</v>
      </c>
      <c r="N192" s="1427">
        <f>2/3/3</f>
        <v>0.22222222222222221</v>
      </c>
      <c r="O192" s="3278">
        <f>ROUNDDOWN((M192*N192+M193*N193+M194*N194+M196*N196+M197*N197+M198*N198),0)</f>
        <v>0</v>
      </c>
      <c r="P192" s="1429" t="s">
        <v>1876</v>
      </c>
    </row>
    <row r="193" spans="4:16" x14ac:dyDescent="0.25">
      <c r="E193" s="1127" t="s">
        <v>174</v>
      </c>
      <c r="F193" s="152">
        <f>'FORMULAIRE PGA Eaux usées'!G626</f>
        <v>0</v>
      </c>
      <c r="G193" s="1427">
        <f t="shared" ref="G193:G194" si="11">2/3/3</f>
        <v>0.22222222222222221</v>
      </c>
      <c r="H193" s="3278"/>
      <c r="I193" s="1348"/>
      <c r="L193" s="1127" t="s">
        <v>174</v>
      </c>
      <c r="M193" s="152">
        <f>'FORMULAIRE PGA Eaux usées'!L626</f>
        <v>0</v>
      </c>
      <c r="N193" s="1427">
        <f t="shared" ref="N193:N194" si="12">2/3/3</f>
        <v>0.22222222222222221</v>
      </c>
      <c r="O193" s="3278"/>
      <c r="P193" s="1429" t="s">
        <v>1877</v>
      </c>
    </row>
    <row r="194" spans="4:16" x14ac:dyDescent="0.25">
      <c r="E194" s="1127" t="s">
        <v>175</v>
      </c>
      <c r="F194" s="152">
        <f>'FORMULAIRE PGA Eaux usées'!G627</f>
        <v>0</v>
      </c>
      <c r="G194" s="1427">
        <f t="shared" si="11"/>
        <v>0.22222222222222221</v>
      </c>
      <c r="H194" s="3278"/>
      <c r="I194" s="1348"/>
      <c r="L194" s="1127" t="s">
        <v>175</v>
      </c>
      <c r="M194" s="152">
        <f>'FORMULAIRE PGA Eaux usées'!L627</f>
        <v>0</v>
      </c>
      <c r="N194" s="1427">
        <f t="shared" si="12"/>
        <v>0.22222222222222221</v>
      </c>
      <c r="O194" s="3278"/>
      <c r="P194" s="1429" t="s">
        <v>1896</v>
      </c>
    </row>
    <row r="195" spans="4:16" x14ac:dyDescent="0.25">
      <c r="E195" s="1350" t="s">
        <v>1816</v>
      </c>
      <c r="G195" s="1427"/>
      <c r="H195" s="3278"/>
      <c r="I195" s="1348"/>
      <c r="L195" s="1350" t="s">
        <v>1816</v>
      </c>
      <c r="N195" s="1427"/>
      <c r="O195" s="3278"/>
      <c r="P195" s="1429" t="s">
        <v>1897</v>
      </c>
    </row>
    <row r="196" spans="4:16" x14ac:dyDescent="0.25">
      <c r="E196" s="1127" t="s">
        <v>1817</v>
      </c>
      <c r="F196" s="152">
        <f>'FORMULAIRE PGA Eaux usées'!G614</f>
        <v>0</v>
      </c>
      <c r="G196" s="1427">
        <f>1/3/3</f>
        <v>0.1111111111111111</v>
      </c>
      <c r="H196" s="3278"/>
      <c r="I196" s="1348"/>
      <c r="J196" s="1426"/>
      <c r="L196" s="1127" t="s">
        <v>1817</v>
      </c>
      <c r="M196" s="152">
        <f>'FORMULAIRE PGA Eaux usées'!L614</f>
        <v>0</v>
      </c>
      <c r="N196" s="1427">
        <f>1/3/3</f>
        <v>0.1111111111111111</v>
      </c>
      <c r="O196" s="3278"/>
    </row>
    <row r="197" spans="4:16" x14ac:dyDescent="0.25">
      <c r="E197" s="1127" t="s">
        <v>1531</v>
      </c>
      <c r="F197" s="152">
        <f>'FORMULAIRE PGA Eaux usées'!G618</f>
        <v>0</v>
      </c>
      <c r="G197" s="1427">
        <f t="shared" ref="G197:G198" si="13">1/3/3</f>
        <v>0.1111111111111111</v>
      </c>
      <c r="H197" s="3278"/>
      <c r="I197" s="1348"/>
      <c r="J197" s="1348"/>
      <c r="L197" s="1127" t="s">
        <v>1531</v>
      </c>
      <c r="M197" s="152">
        <f>'FORMULAIRE PGA Eaux usées'!L618</f>
        <v>0</v>
      </c>
      <c r="N197" s="1427">
        <f t="shared" ref="N197:N198" si="14">1/3/3</f>
        <v>0.1111111111111111</v>
      </c>
      <c r="O197" s="3278"/>
    </row>
    <row r="198" spans="4:16" x14ac:dyDescent="0.25">
      <c r="E198" s="1127" t="s">
        <v>1530</v>
      </c>
      <c r="F198" s="152">
        <f>'FORMULAIRE PGA Eaux usées'!G622</f>
        <v>0</v>
      </c>
      <c r="G198" s="1427">
        <f t="shared" si="13"/>
        <v>0.1111111111111111</v>
      </c>
      <c r="H198" s="3278"/>
      <c r="I198" s="1348"/>
      <c r="J198" s="1348"/>
      <c r="L198" s="1127" t="s">
        <v>1530</v>
      </c>
      <c r="M198" s="152">
        <f>'FORMULAIRE PGA Eaux usées'!L622</f>
        <v>0</v>
      </c>
      <c r="N198" s="1427">
        <f t="shared" si="14"/>
        <v>0.1111111111111111</v>
      </c>
      <c r="O198" s="3278"/>
    </row>
    <row r="199" spans="4:16" x14ac:dyDescent="0.25">
      <c r="D199" s="1127"/>
      <c r="E199" s="152"/>
      <c r="F199" s="1430"/>
      <c r="G199" s="1430"/>
      <c r="H199" s="1430"/>
      <c r="I199" s="1348"/>
      <c r="J199" s="1348"/>
      <c r="K199" s="1127"/>
      <c r="L199" s="152"/>
      <c r="M199" s="1430"/>
      <c r="N199" s="1430"/>
      <c r="O199" s="1430"/>
    </row>
    <row r="200" spans="4:16" ht="18.75" customHeight="1" x14ac:dyDescent="0.25">
      <c r="D200" s="3271" t="s">
        <v>2061</v>
      </c>
      <c r="E200" s="3272"/>
      <c r="F200" s="1426" t="s">
        <v>1879</v>
      </c>
      <c r="G200" s="1426" t="s">
        <v>1878</v>
      </c>
      <c r="H200" s="1426" t="s">
        <v>163</v>
      </c>
      <c r="I200" s="1431"/>
      <c r="J200" s="1431"/>
      <c r="K200" s="1432" t="s">
        <v>1880</v>
      </c>
      <c r="L200" s="152"/>
      <c r="M200" s="1430"/>
      <c r="N200" s="1430"/>
      <c r="O200" s="1430"/>
    </row>
    <row r="201" spans="4:16" x14ac:dyDescent="0.25">
      <c r="E201" s="1127" t="s">
        <v>173</v>
      </c>
      <c r="F201" s="152">
        <f>IF($I$33=1,M190,IF($I$41=1,F190,AVERAGE(F190,M190)))</f>
        <v>0</v>
      </c>
      <c r="G201" s="1427">
        <v>0.5</v>
      </c>
      <c r="H201" s="3278">
        <f>ROUNDDOWN((F201*G201+F202*G202),0)</f>
        <v>0</v>
      </c>
      <c r="I201" s="1427">
        <v>0.15</v>
      </c>
      <c r="J201" s="28">
        <f>F201*I201</f>
        <v>0</v>
      </c>
      <c r="K201" s="3278">
        <f>ROUNDDOWN(SUM(J201:J209),0)</f>
        <v>0</v>
      </c>
      <c r="L201" s="152"/>
      <c r="M201" s="1430"/>
      <c r="N201" s="1430"/>
      <c r="O201" s="1430"/>
      <c r="P201" s="1429" t="s">
        <v>1881</v>
      </c>
    </row>
    <row r="202" spans="4:16" x14ac:dyDescent="0.25">
      <c r="E202" s="1127" t="s">
        <v>172</v>
      </c>
      <c r="F202" s="152">
        <f t="shared" ref="F202:F209" si="15">IF($I$33=1,M191,IF($I$41=1,F191,AVERAGE(F191,M191)))</f>
        <v>0</v>
      </c>
      <c r="G202" s="1427">
        <v>0.5</v>
      </c>
      <c r="H202" s="3278"/>
      <c r="I202" s="1427">
        <v>0.15</v>
      </c>
      <c r="J202" s="28">
        <f t="shared" ref="J202:J209" si="16">F202*I202</f>
        <v>0</v>
      </c>
      <c r="K202" s="3278"/>
      <c r="L202" s="152"/>
      <c r="M202" s="1430"/>
      <c r="N202" s="1430"/>
      <c r="O202" s="1430"/>
    </row>
    <row r="203" spans="4:16" x14ac:dyDescent="0.25">
      <c r="E203" s="1127" t="s">
        <v>1815</v>
      </c>
      <c r="F203" s="152">
        <f t="shared" si="15"/>
        <v>0</v>
      </c>
      <c r="G203" s="1427">
        <f>2/3/3</f>
        <v>0.22222222222222221</v>
      </c>
      <c r="H203" s="3278">
        <f>ROUNDDOWN((F203*G203+F204*G204+F205*G205+F207*G207+F208*G208+F209*G209),0)</f>
        <v>0</v>
      </c>
      <c r="I203" s="1427">
        <v>0.15</v>
      </c>
      <c r="J203" s="28">
        <f t="shared" si="16"/>
        <v>0</v>
      </c>
      <c r="K203" s="3278"/>
      <c r="L203" s="152"/>
      <c r="M203" s="1430"/>
      <c r="N203" s="1430"/>
      <c r="O203" s="1430"/>
    </row>
    <row r="204" spans="4:16" x14ac:dyDescent="0.25">
      <c r="E204" s="1127" t="s">
        <v>174</v>
      </c>
      <c r="F204" s="152">
        <f t="shared" si="15"/>
        <v>0</v>
      </c>
      <c r="G204" s="1427">
        <f t="shared" ref="G204:G205" si="17">2/3/3</f>
        <v>0.22222222222222221</v>
      </c>
      <c r="H204" s="3278"/>
      <c r="I204" s="1427">
        <v>0.15</v>
      </c>
      <c r="J204" s="28">
        <f t="shared" si="16"/>
        <v>0</v>
      </c>
      <c r="K204" s="3278"/>
      <c r="L204" s="152"/>
      <c r="M204" s="1430"/>
      <c r="N204" s="1430"/>
      <c r="O204" s="1430"/>
    </row>
    <row r="205" spans="4:16" x14ac:dyDescent="0.25">
      <c r="E205" s="1127" t="s">
        <v>175</v>
      </c>
      <c r="F205" s="152">
        <f t="shared" si="15"/>
        <v>0</v>
      </c>
      <c r="G205" s="1427">
        <f t="shared" si="17"/>
        <v>0.22222222222222221</v>
      </c>
      <c r="H205" s="3278"/>
      <c r="I205" s="1427">
        <v>0.15</v>
      </c>
      <c r="J205" s="28">
        <f t="shared" si="16"/>
        <v>0</v>
      </c>
      <c r="K205" s="3278"/>
      <c r="L205" s="152"/>
      <c r="M205" s="1430"/>
      <c r="N205" s="1430"/>
      <c r="O205" s="1430"/>
    </row>
    <row r="206" spans="4:16" x14ac:dyDescent="0.25">
      <c r="E206" s="1350" t="s">
        <v>1816</v>
      </c>
      <c r="F206" s="152"/>
      <c r="G206" s="1427"/>
      <c r="H206" s="3278"/>
      <c r="I206" s="1427"/>
      <c r="K206" s="3278"/>
      <c r="L206" s="152"/>
      <c r="M206" s="1430"/>
      <c r="N206" s="1430"/>
      <c r="O206" s="1430"/>
    </row>
    <row r="207" spans="4:16" x14ac:dyDescent="0.25">
      <c r="E207" s="1127" t="s">
        <v>1817</v>
      </c>
      <c r="F207" s="152">
        <f t="shared" si="15"/>
        <v>0</v>
      </c>
      <c r="G207" s="1427">
        <f>1/3/3</f>
        <v>0.1111111111111111</v>
      </c>
      <c r="H207" s="3278"/>
      <c r="I207" s="1427">
        <f>0.25/3</f>
        <v>8.3333333333333329E-2</v>
      </c>
      <c r="J207" s="28">
        <f t="shared" si="16"/>
        <v>0</v>
      </c>
      <c r="K207" s="3278"/>
      <c r="L207" s="152"/>
      <c r="M207" s="1430"/>
      <c r="N207" s="1430"/>
      <c r="O207" s="1430"/>
      <c r="P207" s="1428" t="s">
        <v>2164</v>
      </c>
    </row>
    <row r="208" spans="4:16" x14ac:dyDescent="0.25">
      <c r="E208" s="1127" t="s">
        <v>1531</v>
      </c>
      <c r="F208" s="152">
        <f t="shared" si="15"/>
        <v>0</v>
      </c>
      <c r="G208" s="1427">
        <f t="shared" ref="G208:G209" si="18">1/3/3</f>
        <v>0.1111111111111111</v>
      </c>
      <c r="H208" s="3278"/>
      <c r="I208" s="1427">
        <f>0.25/3</f>
        <v>8.3333333333333329E-2</v>
      </c>
      <c r="J208" s="28">
        <f t="shared" si="16"/>
        <v>0</v>
      </c>
      <c r="K208" s="3278"/>
      <c r="L208" s="152"/>
      <c r="M208" s="1430"/>
      <c r="N208" s="1430"/>
      <c r="O208" s="1430"/>
      <c r="P208" s="1429" t="s">
        <v>2165</v>
      </c>
    </row>
    <row r="209" spans="2:32" x14ac:dyDescent="0.25">
      <c r="E209" s="1127" t="s">
        <v>1530</v>
      </c>
      <c r="F209" s="152">
        <f t="shared" si="15"/>
        <v>0</v>
      </c>
      <c r="G209" s="1427">
        <f t="shared" si="18"/>
        <v>0.1111111111111111</v>
      </c>
      <c r="H209" s="3278"/>
      <c r="I209" s="1427">
        <f>0.25/3</f>
        <v>8.3333333333333329E-2</v>
      </c>
      <c r="J209" s="28">
        <f t="shared" si="16"/>
        <v>0</v>
      </c>
      <c r="K209" s="3278"/>
      <c r="L209" s="152"/>
      <c r="M209" s="1430"/>
      <c r="N209" s="1430"/>
      <c r="O209" s="1430"/>
      <c r="P209" s="1429" t="s">
        <v>2163</v>
      </c>
    </row>
    <row r="210" spans="2:32" x14ac:dyDescent="0.25">
      <c r="D210" s="1127"/>
      <c r="E210" s="152"/>
      <c r="F210" s="1430"/>
      <c r="G210" s="1430"/>
      <c r="H210" s="1430"/>
      <c r="I210" s="1348"/>
      <c r="J210" s="1348"/>
      <c r="K210" s="1127"/>
      <c r="L210" s="152"/>
      <c r="M210" s="1430"/>
      <c r="N210" s="1430"/>
      <c r="O210" s="1430"/>
    </row>
    <row r="211" spans="2:32" x14ac:dyDescent="0.25">
      <c r="D211" s="1127"/>
      <c r="E211" s="152"/>
      <c r="F211" s="1430"/>
      <c r="G211" s="1430"/>
      <c r="H211" s="1430"/>
      <c r="I211" s="1348"/>
      <c r="J211" s="1348"/>
      <c r="K211" s="1127"/>
      <c r="L211" s="152"/>
      <c r="M211" s="1430"/>
      <c r="N211" s="1430"/>
      <c r="O211" s="1430"/>
    </row>
    <row r="212" spans="2:32" ht="15" customHeight="1" x14ac:dyDescent="0.25">
      <c r="D212" s="1127"/>
      <c r="E212" s="1433"/>
      <c r="F212" s="1430"/>
      <c r="G212" s="1430"/>
      <c r="H212" s="1430"/>
      <c r="I212" s="1348"/>
      <c r="J212" s="1348"/>
      <c r="K212" s="1127"/>
      <c r="L212" s="152"/>
      <c r="M212" s="1430"/>
      <c r="N212" s="1430"/>
      <c r="O212" s="1430"/>
    </row>
    <row r="213" spans="2:32" ht="15" customHeight="1" x14ac:dyDescent="0.25">
      <c r="D213" s="1127"/>
      <c r="E213" s="1433"/>
      <c r="F213" s="1430"/>
      <c r="G213" s="1430"/>
      <c r="H213" s="1430"/>
      <c r="I213" s="1348"/>
      <c r="J213" s="1348"/>
      <c r="K213" s="1127"/>
      <c r="L213" s="152"/>
      <c r="M213" s="1430"/>
      <c r="N213" s="1430"/>
      <c r="O213" s="1430"/>
    </row>
    <row r="214" spans="2:32" ht="220.5" customHeight="1" x14ac:dyDescent="0.25"/>
    <row r="217" spans="2:32" ht="22.5" customHeight="1" x14ac:dyDescent="0.3">
      <c r="B217" s="1285" t="s">
        <v>170</v>
      </c>
      <c r="C217" s="1285"/>
      <c r="D217" s="1285"/>
      <c r="E217" s="1285"/>
      <c r="F217" s="1285"/>
      <c r="G217" s="1285"/>
      <c r="H217" s="1285"/>
      <c r="I217" s="1285"/>
      <c r="J217" s="1285"/>
      <c r="K217" s="1285"/>
      <c r="L217" s="1285"/>
      <c r="M217" s="1285"/>
      <c r="N217" s="1285"/>
      <c r="O217" s="1285"/>
      <c r="P217" s="1285"/>
      <c r="Q217" s="1285"/>
      <c r="R217" s="1285"/>
      <c r="S217" s="1285"/>
      <c r="T217" s="1285"/>
      <c r="U217" s="1285"/>
      <c r="V217" s="1285"/>
      <c r="W217" s="1285"/>
      <c r="X217" s="1285"/>
      <c r="Y217" s="1285"/>
      <c r="Z217" s="1285"/>
      <c r="AA217" s="1285"/>
      <c r="AB217" s="1285"/>
      <c r="AC217" s="1285"/>
      <c r="AD217" s="1285"/>
      <c r="AE217" s="1285"/>
      <c r="AF217" s="1285"/>
    </row>
    <row r="218" spans="2:32" ht="21" x14ac:dyDescent="0.25">
      <c r="B218" s="1416"/>
      <c r="C218" s="1416"/>
    </row>
    <row r="219" spans="2:32" ht="21" x14ac:dyDescent="0.35">
      <c r="B219" s="1416"/>
      <c r="C219" s="1416"/>
      <c r="D219" s="1417" t="s">
        <v>1820</v>
      </c>
      <c r="J219" s="1417" t="s">
        <v>1821</v>
      </c>
    </row>
    <row r="220" spans="2:32" ht="9" customHeight="1" x14ac:dyDescent="0.25">
      <c r="B220" s="1416"/>
      <c r="C220" s="1416"/>
    </row>
    <row r="221" spans="2:32" ht="33" customHeight="1" x14ac:dyDescent="0.25">
      <c r="D221" s="3273" t="s">
        <v>1819</v>
      </c>
      <c r="E221" s="3273"/>
      <c r="F221" s="1434" t="s">
        <v>129</v>
      </c>
      <c r="G221" s="1127" t="s">
        <v>171</v>
      </c>
      <c r="J221" s="517"/>
      <c r="K221" s="1424"/>
      <c r="L221" s="1435" t="s">
        <v>163</v>
      </c>
      <c r="M221" s="1348"/>
    </row>
    <row r="222" spans="2:32" x14ac:dyDescent="0.25">
      <c r="D222" s="1436" t="s">
        <v>1</v>
      </c>
      <c r="E222" s="1437">
        <f>O181/10</f>
        <v>0</v>
      </c>
      <c r="F222" s="1437">
        <f>'FORMULAIRE PGA Eaux usées'!F351+'FORMULAIRE PGA Eaux usées'!F361</f>
        <v>0</v>
      </c>
      <c r="G222" s="1438">
        <f t="shared" ref="G222:G227" si="19">F222-E222</f>
        <v>0</v>
      </c>
      <c r="K222" s="1439" t="s">
        <v>1894</v>
      </c>
      <c r="L222" s="302">
        <f>ROUNDDOWN((F203*0.75+$F$207*0.25/3+$F$208*0.25/3+$F$209*0.25/3),0)</f>
        <v>0</v>
      </c>
      <c r="O222" s="1440" t="s">
        <v>179</v>
      </c>
      <c r="P222" s="1429" t="s">
        <v>1818</v>
      </c>
    </row>
    <row r="223" spans="2:32" x14ac:dyDescent="0.25">
      <c r="D223" s="919" t="s">
        <v>2</v>
      </c>
      <c r="E223" s="1441">
        <f>O182/10</f>
        <v>0</v>
      </c>
      <c r="F223" s="1441">
        <f>'FORMULAIRE PGA Eaux usées'!H351+'FORMULAIRE PGA Eaux usées'!H361</f>
        <v>0</v>
      </c>
      <c r="G223" s="1442">
        <f t="shared" si="19"/>
        <v>0</v>
      </c>
      <c r="K223" s="1439" t="s">
        <v>5</v>
      </c>
      <c r="L223" s="302">
        <f>ROUNDDOWN((F204*0.75+$F$207*0.25/3+$F$208*0.25/3+$F$209*0.25/3),0)</f>
        <v>0</v>
      </c>
      <c r="O223" s="1443"/>
      <c r="P223" s="1429"/>
    </row>
    <row r="224" spans="2:32" x14ac:dyDescent="0.25">
      <c r="D224" s="919" t="s">
        <v>5</v>
      </c>
      <c r="E224" s="1441">
        <f>O183/10</f>
        <v>0</v>
      </c>
      <c r="F224" s="1441">
        <f>'FORMULAIRE PGA Eaux usées'!K351+'FORMULAIRE PGA Eaux usées'!K361</f>
        <v>0</v>
      </c>
      <c r="G224" s="1442">
        <f t="shared" si="19"/>
        <v>0</v>
      </c>
      <c r="K224" s="1439" t="s">
        <v>1895</v>
      </c>
      <c r="L224" s="302">
        <f>ROUNDDOWN((F205*0.75+$F$207*0.25/3+$F$208*0.25/3+$F$209*0.25/3),0)</f>
        <v>0</v>
      </c>
      <c r="O224" s="1440" t="s">
        <v>179</v>
      </c>
      <c r="P224" s="1429" t="s">
        <v>1875</v>
      </c>
    </row>
    <row r="225" spans="1:32" x14ac:dyDescent="0.25">
      <c r="D225" s="919" t="s">
        <v>3</v>
      </c>
      <c r="E225" s="1441">
        <f>O184/10</f>
        <v>0</v>
      </c>
      <c r="F225" s="1441">
        <f>'FORMULAIRE PGA Eaux usées'!M351+'FORMULAIRE PGA Eaux usées'!M361</f>
        <v>0</v>
      </c>
      <c r="G225" s="1442">
        <f t="shared" si="19"/>
        <v>0</v>
      </c>
      <c r="P225" s="1429" t="s">
        <v>1876</v>
      </c>
    </row>
    <row r="226" spans="1:32" x14ac:dyDescent="0.25">
      <c r="D226" s="1423" t="s">
        <v>4</v>
      </c>
      <c r="E226" s="1444">
        <f>O185/10</f>
        <v>0</v>
      </c>
      <c r="F226" s="1444">
        <f>'FORMULAIRE PGA Eaux usées'!O351+'FORMULAIRE PGA Eaux usées'!O361</f>
        <v>0</v>
      </c>
      <c r="G226" s="1445">
        <f t="shared" si="19"/>
        <v>0</v>
      </c>
      <c r="P226" s="1429" t="s">
        <v>1882</v>
      </c>
    </row>
    <row r="227" spans="1:32" x14ac:dyDescent="0.25">
      <c r="D227" s="919" t="s">
        <v>6</v>
      </c>
      <c r="E227" s="1442">
        <f>SUM(E222:E226)</f>
        <v>0</v>
      </c>
      <c r="F227" s="1442">
        <f>SUM(F222:F226)</f>
        <v>0</v>
      </c>
      <c r="G227" s="1442">
        <f t="shared" si="19"/>
        <v>0</v>
      </c>
      <c r="K227" s="152"/>
      <c r="P227" s="1429" t="s">
        <v>1898</v>
      </c>
    </row>
    <row r="228" spans="1:32" x14ac:dyDescent="0.25">
      <c r="P228" s="1429" t="s">
        <v>1897</v>
      </c>
    </row>
    <row r="231" spans="1:32" ht="22.5" customHeight="1" x14ac:dyDescent="0.3">
      <c r="B231" s="1285" t="s">
        <v>180</v>
      </c>
      <c r="C231" s="1285"/>
      <c r="D231" s="1285"/>
      <c r="E231" s="1285"/>
      <c r="F231" s="1285"/>
      <c r="G231" s="1285"/>
      <c r="H231" s="1285"/>
      <c r="I231" s="1285"/>
      <c r="J231" s="1285"/>
      <c r="K231" s="1285"/>
      <c r="L231" s="1285"/>
      <c r="M231" s="1285"/>
      <c r="N231" s="1285"/>
      <c r="O231" s="1285"/>
      <c r="P231" s="1285"/>
      <c r="Q231" s="1285"/>
      <c r="R231" s="1285"/>
      <c r="S231" s="1285"/>
      <c r="T231" s="1285"/>
      <c r="U231" s="1285"/>
      <c r="V231" s="1285"/>
      <c r="W231" s="1285"/>
      <c r="X231" s="1285"/>
      <c r="Y231" s="1285"/>
      <c r="Z231" s="1285"/>
      <c r="AA231" s="1285"/>
      <c r="AB231" s="1285"/>
      <c r="AC231" s="1285"/>
      <c r="AD231" s="1285"/>
      <c r="AE231" s="1285"/>
      <c r="AF231" s="1285"/>
    </row>
    <row r="232" spans="1:32" ht="18.75" x14ac:dyDescent="0.3">
      <c r="B232" s="1294"/>
      <c r="C232" s="1294"/>
      <c r="D232" s="1294"/>
      <c r="E232" s="1294"/>
      <c r="F232" s="1294"/>
      <c r="G232" s="1294"/>
      <c r="H232" s="1294"/>
      <c r="I232" s="1294"/>
      <c r="J232" s="1294"/>
      <c r="K232" s="1294"/>
      <c r="L232" s="1294"/>
      <c r="M232" s="1294"/>
      <c r="N232" s="1294"/>
      <c r="O232" s="1294"/>
      <c r="P232" s="1294"/>
      <c r="Q232" s="1294"/>
      <c r="R232" s="1294"/>
      <c r="S232" s="1294"/>
      <c r="T232" s="1294"/>
      <c r="U232" s="1294"/>
      <c r="V232" s="1294"/>
      <c r="W232" s="1294"/>
      <c r="X232" s="1294"/>
      <c r="Y232" s="1294"/>
      <c r="Z232" s="1294"/>
      <c r="AA232" s="1294"/>
      <c r="AB232" s="1294"/>
      <c r="AC232" s="1294"/>
      <c r="AD232" s="1294"/>
      <c r="AE232" s="1294"/>
      <c r="AF232" s="1294"/>
    </row>
    <row r="233" spans="1:32" ht="26.25" customHeight="1" x14ac:dyDescent="0.35">
      <c r="B233" s="1416"/>
      <c r="C233" s="1416"/>
      <c r="D233" s="1417" t="s">
        <v>1890</v>
      </c>
      <c r="I233" s="1417"/>
    </row>
    <row r="234" spans="1:32" ht="22.5" customHeight="1" x14ac:dyDescent="0.25">
      <c r="B234" s="1416"/>
      <c r="C234" s="1416"/>
    </row>
    <row r="235" spans="1:32" ht="21" x14ac:dyDescent="0.25">
      <c r="B235" s="1416"/>
      <c r="C235" s="1416"/>
      <c r="D235" s="1446" t="s">
        <v>2041</v>
      </c>
      <c r="E235" s="72"/>
    </row>
    <row r="236" spans="1:32" ht="9.75" customHeight="1" x14ac:dyDescent="0.25">
      <c r="B236" s="1416"/>
      <c r="C236" s="1416"/>
      <c r="D236" s="1447"/>
      <c r="E236" s="72"/>
    </row>
    <row r="237" spans="1:32" s="72" customFormat="1" ht="20.25" customHeight="1" x14ac:dyDescent="0.25">
      <c r="A237" s="82"/>
      <c r="D237" s="1448"/>
      <c r="E237" s="1296">
        <f>'FORMULAIRE PGA Eaux usées'!E410</f>
        <v>0</v>
      </c>
      <c r="F237" s="1296">
        <f>E237+1</f>
        <v>1</v>
      </c>
      <c r="G237" s="1296">
        <f t="shared" ref="G237:N237" si="20">F237+1</f>
        <v>2</v>
      </c>
      <c r="H237" s="1296">
        <f t="shared" si="20"/>
        <v>3</v>
      </c>
      <c r="I237" s="1296">
        <f t="shared" si="20"/>
        <v>4</v>
      </c>
      <c r="J237" s="1296">
        <f t="shared" si="20"/>
        <v>5</v>
      </c>
      <c r="K237" s="1296">
        <f t="shared" si="20"/>
        <v>6</v>
      </c>
      <c r="L237" s="1296">
        <f t="shared" si="20"/>
        <v>7</v>
      </c>
      <c r="M237" s="1296">
        <f t="shared" si="20"/>
        <v>8</v>
      </c>
      <c r="N237" s="1296">
        <f t="shared" si="20"/>
        <v>9</v>
      </c>
      <c r="O237" s="1449" t="s">
        <v>1822</v>
      </c>
    </row>
    <row r="238" spans="1:32" x14ac:dyDescent="0.25">
      <c r="D238" s="1450" t="s">
        <v>129</v>
      </c>
      <c r="E238" s="1451">
        <f>'FORMULAIRE PGA Eaux usées'!F355</f>
        <v>0</v>
      </c>
      <c r="F238" s="1452">
        <f>E238</f>
        <v>0</v>
      </c>
      <c r="G238" s="1452">
        <f t="shared" ref="G238:N238" si="21">F238</f>
        <v>0</v>
      </c>
      <c r="H238" s="1452">
        <f t="shared" si="21"/>
        <v>0</v>
      </c>
      <c r="I238" s="1452">
        <f t="shared" si="21"/>
        <v>0</v>
      </c>
      <c r="J238" s="1452">
        <f t="shared" si="21"/>
        <v>0</v>
      </c>
      <c r="K238" s="1452">
        <f t="shared" si="21"/>
        <v>0</v>
      </c>
      <c r="L238" s="1452">
        <f t="shared" si="21"/>
        <v>0</v>
      </c>
      <c r="M238" s="1452">
        <f t="shared" si="21"/>
        <v>0</v>
      </c>
      <c r="N238" s="1452">
        <f t="shared" si="21"/>
        <v>0</v>
      </c>
      <c r="O238" s="1453">
        <f>SUM(E238:N238)</f>
        <v>0</v>
      </c>
    </row>
    <row r="239" spans="1:32" x14ac:dyDescent="0.25">
      <c r="B239" s="919"/>
      <c r="C239" s="919"/>
      <c r="D239" s="919" t="s">
        <v>1</v>
      </c>
      <c r="E239" s="1454">
        <f>'FORMULAIRE PGA Eaux usées'!E412</f>
        <v>0</v>
      </c>
      <c r="F239" s="1454">
        <f>'FORMULAIRE PGA Eaux usées'!F412</f>
        <v>0</v>
      </c>
      <c r="G239" s="1454">
        <f>'FORMULAIRE PGA Eaux usées'!G412</f>
        <v>0</v>
      </c>
      <c r="H239" s="1454">
        <f>'FORMULAIRE PGA Eaux usées'!H412</f>
        <v>0</v>
      </c>
      <c r="I239" s="1454">
        <f>'FORMULAIRE PGA Eaux usées'!I412</f>
        <v>0</v>
      </c>
      <c r="J239" s="1454">
        <f>'FORMULAIRE PGA Eaux usées'!J412</f>
        <v>0</v>
      </c>
      <c r="K239" s="1454">
        <f>'FORMULAIRE PGA Eaux usées'!K412</f>
        <v>0</v>
      </c>
      <c r="L239" s="1454">
        <f>'FORMULAIRE PGA Eaux usées'!L412</f>
        <v>0</v>
      </c>
      <c r="M239" s="1454">
        <f>'FORMULAIRE PGA Eaux usées'!M412</f>
        <v>0</v>
      </c>
      <c r="N239" s="1454">
        <f>'FORMULAIRE PGA Eaux usées'!N412</f>
        <v>0</v>
      </c>
      <c r="O239" s="1455">
        <f>SUM(E239:N239)</f>
        <v>0</v>
      </c>
      <c r="P239" s="1456" t="str">
        <f>IF(ISERR(O239/$O$244)=TRUE,"",(O239/$O$244))</f>
        <v/>
      </c>
    </row>
    <row r="240" spans="1:32" x14ac:dyDescent="0.25">
      <c r="B240" s="919"/>
      <c r="C240" s="919"/>
      <c r="D240" s="919" t="s">
        <v>2</v>
      </c>
      <c r="E240" s="1454">
        <f>'FORMULAIRE PGA Eaux usées'!E419</f>
        <v>0</v>
      </c>
      <c r="F240" s="1454">
        <f>'FORMULAIRE PGA Eaux usées'!F419</f>
        <v>0</v>
      </c>
      <c r="G240" s="1454">
        <f>'FORMULAIRE PGA Eaux usées'!G419</f>
        <v>0</v>
      </c>
      <c r="H240" s="1454">
        <f>'FORMULAIRE PGA Eaux usées'!H419</f>
        <v>0</v>
      </c>
      <c r="I240" s="1454">
        <f>'FORMULAIRE PGA Eaux usées'!I419</f>
        <v>0</v>
      </c>
      <c r="J240" s="1454">
        <f>'FORMULAIRE PGA Eaux usées'!J419</f>
        <v>0</v>
      </c>
      <c r="K240" s="1454">
        <f>'FORMULAIRE PGA Eaux usées'!K419</f>
        <v>0</v>
      </c>
      <c r="L240" s="1454">
        <f>'FORMULAIRE PGA Eaux usées'!L419</f>
        <v>0</v>
      </c>
      <c r="M240" s="1454">
        <f>'FORMULAIRE PGA Eaux usées'!M419</f>
        <v>0</v>
      </c>
      <c r="N240" s="1454">
        <f>'FORMULAIRE PGA Eaux usées'!N419</f>
        <v>0</v>
      </c>
      <c r="O240" s="1455">
        <f t="shared" ref="O240:O243" si="22">SUM(E240:N240)</f>
        <v>0</v>
      </c>
      <c r="P240" s="1456" t="str">
        <f t="shared" ref="P240:P243" si="23">IF(ISERR(O240/$O$244)=TRUE,"",(O240/$O$244))</f>
        <v/>
      </c>
    </row>
    <row r="241" spans="1:16" x14ac:dyDescent="0.25">
      <c r="B241" s="919"/>
      <c r="C241" s="919"/>
      <c r="D241" s="919" t="s">
        <v>5</v>
      </c>
      <c r="E241" s="1454">
        <f>'FORMULAIRE PGA Eaux usées'!E427</f>
        <v>0</v>
      </c>
      <c r="F241" s="1454">
        <f>'FORMULAIRE PGA Eaux usées'!F427</f>
        <v>0</v>
      </c>
      <c r="G241" s="1454">
        <f>'FORMULAIRE PGA Eaux usées'!G427</f>
        <v>0</v>
      </c>
      <c r="H241" s="1454">
        <f>'FORMULAIRE PGA Eaux usées'!H427</f>
        <v>0</v>
      </c>
      <c r="I241" s="1454">
        <f>'FORMULAIRE PGA Eaux usées'!I427</f>
        <v>0</v>
      </c>
      <c r="J241" s="1454">
        <f>'FORMULAIRE PGA Eaux usées'!J427</f>
        <v>0</v>
      </c>
      <c r="K241" s="1454">
        <f>'FORMULAIRE PGA Eaux usées'!K427</f>
        <v>0</v>
      </c>
      <c r="L241" s="1454">
        <f>'FORMULAIRE PGA Eaux usées'!L427</f>
        <v>0</v>
      </c>
      <c r="M241" s="1454">
        <f>'FORMULAIRE PGA Eaux usées'!M427</f>
        <v>0</v>
      </c>
      <c r="N241" s="1454">
        <f>'FORMULAIRE PGA Eaux usées'!N427</f>
        <v>0</v>
      </c>
      <c r="O241" s="1455">
        <f t="shared" si="22"/>
        <v>0</v>
      </c>
      <c r="P241" s="1456" t="str">
        <f t="shared" si="23"/>
        <v/>
      </c>
    </row>
    <row r="242" spans="1:16" x14ac:dyDescent="0.25">
      <c r="B242" s="919"/>
      <c r="C242" s="919"/>
      <c r="D242" s="919" t="s">
        <v>3</v>
      </c>
      <c r="E242" s="1454">
        <f>'FORMULAIRE PGA Eaux usées'!E436</f>
        <v>0</v>
      </c>
      <c r="F242" s="1454">
        <f>'FORMULAIRE PGA Eaux usées'!F436</f>
        <v>0</v>
      </c>
      <c r="G242" s="1454">
        <f>'FORMULAIRE PGA Eaux usées'!G436</f>
        <v>0</v>
      </c>
      <c r="H242" s="1454">
        <f>'FORMULAIRE PGA Eaux usées'!H436</f>
        <v>0</v>
      </c>
      <c r="I242" s="1454">
        <f>'FORMULAIRE PGA Eaux usées'!I436</f>
        <v>0</v>
      </c>
      <c r="J242" s="1454">
        <f>'FORMULAIRE PGA Eaux usées'!J436</f>
        <v>0</v>
      </c>
      <c r="K242" s="1454">
        <f>'FORMULAIRE PGA Eaux usées'!K436</f>
        <v>0</v>
      </c>
      <c r="L242" s="1454">
        <f>'FORMULAIRE PGA Eaux usées'!L436</f>
        <v>0</v>
      </c>
      <c r="M242" s="1454">
        <f>'FORMULAIRE PGA Eaux usées'!M436</f>
        <v>0</v>
      </c>
      <c r="N242" s="1454">
        <f>'FORMULAIRE PGA Eaux usées'!N436</f>
        <v>0</v>
      </c>
      <c r="O242" s="1455">
        <f t="shared" si="22"/>
        <v>0</v>
      </c>
      <c r="P242" s="1456" t="str">
        <f t="shared" si="23"/>
        <v/>
      </c>
    </row>
    <row r="243" spans="1:16" x14ac:dyDescent="0.25">
      <c r="B243" s="919"/>
      <c r="C243" s="919"/>
      <c r="D243" s="919" t="s">
        <v>4</v>
      </c>
      <c r="E243" s="1454">
        <f>'FORMULAIRE PGA Eaux usées'!E442</f>
        <v>0</v>
      </c>
      <c r="F243" s="1454">
        <f>'FORMULAIRE PGA Eaux usées'!F442</f>
        <v>0</v>
      </c>
      <c r="G243" s="1454">
        <f>'FORMULAIRE PGA Eaux usées'!G442</f>
        <v>0</v>
      </c>
      <c r="H243" s="1454">
        <f>'FORMULAIRE PGA Eaux usées'!H442</f>
        <v>0</v>
      </c>
      <c r="I243" s="1454">
        <f>'FORMULAIRE PGA Eaux usées'!I442</f>
        <v>0</v>
      </c>
      <c r="J243" s="1454">
        <f>'FORMULAIRE PGA Eaux usées'!J442</f>
        <v>0</v>
      </c>
      <c r="K243" s="1454">
        <f>'FORMULAIRE PGA Eaux usées'!K442</f>
        <v>0</v>
      </c>
      <c r="L243" s="1454">
        <f>'FORMULAIRE PGA Eaux usées'!L442</f>
        <v>0</v>
      </c>
      <c r="M243" s="1454">
        <f>'FORMULAIRE PGA Eaux usées'!M442</f>
        <v>0</v>
      </c>
      <c r="N243" s="1454">
        <f>'FORMULAIRE PGA Eaux usées'!N442</f>
        <v>0</v>
      </c>
      <c r="O243" s="1455">
        <f t="shared" si="22"/>
        <v>0</v>
      </c>
      <c r="P243" s="1456" t="str">
        <f t="shared" si="23"/>
        <v/>
      </c>
    </row>
    <row r="244" spans="1:16" ht="18.75" customHeight="1" x14ac:dyDescent="0.25">
      <c r="B244" s="919"/>
      <c r="C244" s="919"/>
      <c r="D244" s="1457" t="s">
        <v>6</v>
      </c>
      <c r="E244" s="1458">
        <f>SUM(E239:E243)</f>
        <v>0</v>
      </c>
      <c r="F244" s="1458">
        <f t="shared" ref="F244:N244" si="24">SUM(F239:F243)</f>
        <v>0</v>
      </c>
      <c r="G244" s="1458">
        <f t="shared" si="24"/>
        <v>0</v>
      </c>
      <c r="H244" s="1458">
        <f t="shared" si="24"/>
        <v>0</v>
      </c>
      <c r="I244" s="1458">
        <f t="shared" si="24"/>
        <v>0</v>
      </c>
      <c r="J244" s="1458">
        <f t="shared" si="24"/>
        <v>0</v>
      </c>
      <c r="K244" s="1458">
        <f t="shared" si="24"/>
        <v>0</v>
      </c>
      <c r="L244" s="1458">
        <f t="shared" si="24"/>
        <v>0</v>
      </c>
      <c r="M244" s="1458">
        <f t="shared" si="24"/>
        <v>0</v>
      </c>
      <c r="N244" s="1458">
        <f t="shared" si="24"/>
        <v>0</v>
      </c>
      <c r="O244" s="1459">
        <f>SUM(E244:N244)</f>
        <v>0</v>
      </c>
      <c r="P244" s="1460">
        <f>IF(O272=0,0,O244/O272)</f>
        <v>0</v>
      </c>
    </row>
    <row r="245" spans="1:16" x14ac:dyDescent="0.25">
      <c r="B245" s="919"/>
      <c r="C245" s="919"/>
      <c r="D245" s="919"/>
      <c r="E245" s="1454"/>
      <c r="F245" s="1454"/>
      <c r="G245" s="1454"/>
      <c r="H245" s="1454"/>
      <c r="I245" s="1454"/>
      <c r="J245" s="1454"/>
      <c r="K245" s="1454"/>
      <c r="L245" s="1454"/>
      <c r="M245" s="1454"/>
      <c r="N245" s="1454"/>
      <c r="O245" s="1454"/>
      <c r="P245" s="1460"/>
    </row>
    <row r="246" spans="1:16" x14ac:dyDescent="0.25">
      <c r="B246" s="919"/>
      <c r="C246" s="919"/>
      <c r="D246" s="919"/>
      <c r="E246" s="1461"/>
      <c r="F246" s="1461"/>
      <c r="G246" s="1461"/>
      <c r="H246" s="1461"/>
      <c r="I246" s="1461"/>
      <c r="J246" s="1461"/>
      <c r="K246" s="1461"/>
      <c r="L246" s="1461"/>
      <c r="M246" s="1461"/>
      <c r="N246" s="1461"/>
      <c r="O246" s="1461"/>
      <c r="P246" s="1462"/>
    </row>
    <row r="247" spans="1:16" ht="21.75" customHeight="1" x14ac:dyDescent="0.3">
      <c r="B247" s="919"/>
      <c r="C247" s="919"/>
      <c r="D247" s="1463" t="s">
        <v>161</v>
      </c>
      <c r="E247" s="1464" t="s">
        <v>1528</v>
      </c>
      <c r="F247" s="1465" t="s">
        <v>1</v>
      </c>
      <c r="G247" s="1466" t="s">
        <v>1528</v>
      </c>
      <c r="H247" s="1465" t="s">
        <v>2</v>
      </c>
      <c r="I247" s="1467" t="s">
        <v>1528</v>
      </c>
      <c r="J247" s="1465" t="s">
        <v>5</v>
      </c>
      <c r="K247" s="55"/>
      <c r="L247" s="1468" t="s">
        <v>1528</v>
      </c>
      <c r="M247" s="1465" t="s">
        <v>3</v>
      </c>
      <c r="N247" s="1469" t="s">
        <v>1528</v>
      </c>
      <c r="O247" s="1465" t="s">
        <v>4</v>
      </c>
      <c r="P247" s="55"/>
    </row>
    <row r="248" spans="1:16" ht="18.75" customHeight="1" x14ac:dyDescent="0.25">
      <c r="B248" s="919"/>
      <c r="C248" s="919"/>
      <c r="D248" s="1470">
        <f>H192</f>
        <v>0</v>
      </c>
      <c r="E248" s="1471"/>
      <c r="F248" s="3268">
        <f>O239</f>
        <v>0</v>
      </c>
      <c r="G248" s="3268"/>
      <c r="H248" s="3268">
        <f>O240</f>
        <v>0</v>
      </c>
      <c r="I248" s="3268"/>
      <c r="J248" s="3268">
        <f>O241</f>
        <v>0</v>
      </c>
      <c r="K248" s="3268"/>
      <c r="L248" s="55"/>
      <c r="M248" s="3268">
        <f>O242</f>
        <v>0</v>
      </c>
      <c r="N248" s="3268"/>
      <c r="O248" s="3268">
        <f>O243</f>
        <v>0</v>
      </c>
      <c r="P248" s="3268"/>
    </row>
    <row r="249" spans="1:16" ht="11.25" customHeight="1" x14ac:dyDescent="0.25">
      <c r="B249" s="919"/>
      <c r="C249" s="919"/>
      <c r="D249" s="919"/>
      <c r="E249" s="1472"/>
      <c r="F249" s="1461"/>
      <c r="G249" s="1461"/>
      <c r="H249" s="1472"/>
      <c r="I249" s="1461"/>
      <c r="J249" s="1461"/>
      <c r="K249" s="1461"/>
      <c r="L249" s="1461"/>
      <c r="M249" s="1461"/>
      <c r="N249" s="1461"/>
      <c r="O249" s="1461"/>
      <c r="P249" s="1462"/>
    </row>
    <row r="250" spans="1:16" x14ac:dyDescent="0.25">
      <c r="B250" s="919"/>
      <c r="C250" s="919"/>
      <c r="D250" s="919"/>
      <c r="E250" s="1454"/>
      <c r="F250" s="1454"/>
      <c r="G250" s="1454"/>
      <c r="H250" s="1454"/>
      <c r="I250" s="1454"/>
      <c r="J250" s="1454"/>
      <c r="N250" s="1454"/>
      <c r="O250" s="1454"/>
      <c r="P250" s="1460"/>
    </row>
    <row r="251" spans="1:16" ht="113.25" customHeight="1" x14ac:dyDescent="0.25">
      <c r="D251" s="1127"/>
      <c r="E251" s="1127"/>
    </row>
    <row r="252" spans="1:16" ht="21" customHeight="1" x14ac:dyDescent="0.25">
      <c r="D252" s="1446" t="s">
        <v>2042</v>
      </c>
      <c r="E252" s="72"/>
    </row>
    <row r="253" spans="1:16" ht="9.75" customHeight="1" x14ac:dyDescent="0.25">
      <c r="B253" s="1416"/>
      <c r="C253" s="1416"/>
      <c r="D253" s="1447"/>
      <c r="E253" s="72"/>
    </row>
    <row r="254" spans="1:16" s="72" customFormat="1" ht="20.25" customHeight="1" x14ac:dyDescent="0.25">
      <c r="A254" s="82"/>
      <c r="D254" s="1448"/>
      <c r="E254" s="1296">
        <f>'FORMULAIRE PGA Eaux usées'!E410</f>
        <v>0</v>
      </c>
      <c r="F254" s="1296">
        <f>E254+1</f>
        <v>1</v>
      </c>
      <c r="G254" s="1296">
        <f t="shared" ref="G254:N254" si="25">F254+1</f>
        <v>2</v>
      </c>
      <c r="H254" s="1296">
        <f t="shared" si="25"/>
        <v>3</v>
      </c>
      <c r="I254" s="1296">
        <f t="shared" si="25"/>
        <v>4</v>
      </c>
      <c r="J254" s="1296">
        <f t="shared" si="25"/>
        <v>5</v>
      </c>
      <c r="K254" s="1296">
        <f t="shared" si="25"/>
        <v>6</v>
      </c>
      <c r="L254" s="1296">
        <f t="shared" si="25"/>
        <v>7</v>
      </c>
      <c r="M254" s="1296">
        <f t="shared" si="25"/>
        <v>8</v>
      </c>
      <c r="N254" s="1296">
        <f t="shared" si="25"/>
        <v>9</v>
      </c>
      <c r="O254" s="1449" t="s">
        <v>1822</v>
      </c>
    </row>
    <row r="255" spans="1:16" x14ac:dyDescent="0.25">
      <c r="D255" s="1450" t="s">
        <v>129</v>
      </c>
      <c r="E255" s="1451">
        <f>'FORMULAIRE PGA Eaux usées'!F365</f>
        <v>0</v>
      </c>
      <c r="F255" s="1451">
        <f>E255</f>
        <v>0</v>
      </c>
      <c r="G255" s="1451">
        <f t="shared" ref="G255:N255" si="26">F255</f>
        <v>0</v>
      </c>
      <c r="H255" s="1451">
        <f t="shared" si="26"/>
        <v>0</v>
      </c>
      <c r="I255" s="1451">
        <f t="shared" si="26"/>
        <v>0</v>
      </c>
      <c r="J255" s="1451">
        <f t="shared" si="26"/>
        <v>0</v>
      </c>
      <c r="K255" s="1451">
        <f t="shared" si="26"/>
        <v>0</v>
      </c>
      <c r="L255" s="1451">
        <f t="shared" si="26"/>
        <v>0</v>
      </c>
      <c r="M255" s="1451">
        <f t="shared" si="26"/>
        <v>0</v>
      </c>
      <c r="N255" s="1451">
        <f t="shared" si="26"/>
        <v>0</v>
      </c>
      <c r="O255" s="1453">
        <f>SUM(E255:N255)</f>
        <v>0</v>
      </c>
    </row>
    <row r="256" spans="1:16" x14ac:dyDescent="0.25">
      <c r="D256" s="919" t="s">
        <v>1</v>
      </c>
      <c r="E256" s="1454">
        <f>'FORMULAIRE PGA Eaux usées'!E457</f>
        <v>0</v>
      </c>
      <c r="F256" s="1454">
        <f>'FORMULAIRE PGA Eaux usées'!F457</f>
        <v>0</v>
      </c>
      <c r="G256" s="1454">
        <f>'FORMULAIRE PGA Eaux usées'!G457</f>
        <v>0</v>
      </c>
      <c r="H256" s="1454">
        <f>'FORMULAIRE PGA Eaux usées'!H457</f>
        <v>0</v>
      </c>
      <c r="I256" s="1454">
        <f>'FORMULAIRE PGA Eaux usées'!I457</f>
        <v>0</v>
      </c>
      <c r="J256" s="1454">
        <f>'FORMULAIRE PGA Eaux usées'!J457</f>
        <v>0</v>
      </c>
      <c r="K256" s="1454">
        <f>'FORMULAIRE PGA Eaux usées'!K457</f>
        <v>0</v>
      </c>
      <c r="L256" s="1454">
        <f>'FORMULAIRE PGA Eaux usées'!L457</f>
        <v>0</v>
      </c>
      <c r="M256" s="1454">
        <f>'FORMULAIRE PGA Eaux usées'!M457</f>
        <v>0</v>
      </c>
      <c r="N256" s="1454">
        <f>'FORMULAIRE PGA Eaux usées'!N457</f>
        <v>0</v>
      </c>
      <c r="O256" s="1455">
        <f>SUM(E256:N256)</f>
        <v>0</v>
      </c>
      <c r="P256" s="1456" t="str">
        <f>IF(ISERR(O256/$O$261)=TRUE,"",(O256/$O$261))</f>
        <v/>
      </c>
    </row>
    <row r="257" spans="2:16" x14ac:dyDescent="0.25">
      <c r="D257" s="919" t="s">
        <v>2</v>
      </c>
      <c r="E257" s="1454">
        <f>'FORMULAIRE PGA Eaux usées'!E464</f>
        <v>0</v>
      </c>
      <c r="F257" s="1454">
        <f>'FORMULAIRE PGA Eaux usées'!F464</f>
        <v>0</v>
      </c>
      <c r="G257" s="1454">
        <f>'FORMULAIRE PGA Eaux usées'!G464</f>
        <v>0</v>
      </c>
      <c r="H257" s="1454">
        <f>'FORMULAIRE PGA Eaux usées'!H464</f>
        <v>0</v>
      </c>
      <c r="I257" s="1454">
        <f>'FORMULAIRE PGA Eaux usées'!I464</f>
        <v>0</v>
      </c>
      <c r="J257" s="1454">
        <f>'FORMULAIRE PGA Eaux usées'!J464</f>
        <v>0</v>
      </c>
      <c r="K257" s="1454">
        <f>'FORMULAIRE PGA Eaux usées'!K464</f>
        <v>0</v>
      </c>
      <c r="L257" s="1454">
        <f>'FORMULAIRE PGA Eaux usées'!L464</f>
        <v>0</v>
      </c>
      <c r="M257" s="1454">
        <f>'FORMULAIRE PGA Eaux usées'!M464</f>
        <v>0</v>
      </c>
      <c r="N257" s="1454">
        <f>'FORMULAIRE PGA Eaux usées'!N464</f>
        <v>0</v>
      </c>
      <c r="O257" s="1455">
        <f t="shared" ref="O257:O260" si="27">SUM(E257:N257)</f>
        <v>0</v>
      </c>
      <c r="P257" s="1456" t="str">
        <f t="shared" ref="P257:P260" si="28">IF(ISERR(O257/$O$261)=TRUE,"",(O257/$O$261))</f>
        <v/>
      </c>
    </row>
    <row r="258" spans="2:16" x14ac:dyDescent="0.25">
      <c r="D258" s="919" t="s">
        <v>5</v>
      </c>
      <c r="E258" s="1454">
        <f>'FORMULAIRE PGA Eaux usées'!E472</f>
        <v>0</v>
      </c>
      <c r="F258" s="1454">
        <f>'FORMULAIRE PGA Eaux usées'!F472</f>
        <v>0</v>
      </c>
      <c r="G258" s="1454">
        <f>'FORMULAIRE PGA Eaux usées'!G472</f>
        <v>0</v>
      </c>
      <c r="H258" s="1454">
        <f>'FORMULAIRE PGA Eaux usées'!H472</f>
        <v>0</v>
      </c>
      <c r="I258" s="1454">
        <f>'FORMULAIRE PGA Eaux usées'!I472</f>
        <v>0</v>
      </c>
      <c r="J258" s="1454">
        <f>'FORMULAIRE PGA Eaux usées'!J472</f>
        <v>0</v>
      </c>
      <c r="K258" s="1454">
        <f>'FORMULAIRE PGA Eaux usées'!K472</f>
        <v>0</v>
      </c>
      <c r="L258" s="1454">
        <f>'FORMULAIRE PGA Eaux usées'!L472</f>
        <v>0</v>
      </c>
      <c r="M258" s="1454">
        <f>'FORMULAIRE PGA Eaux usées'!M472</f>
        <v>0</v>
      </c>
      <c r="N258" s="1454">
        <f>'FORMULAIRE PGA Eaux usées'!N472</f>
        <v>0</v>
      </c>
      <c r="O258" s="1455">
        <f t="shared" si="27"/>
        <v>0</v>
      </c>
      <c r="P258" s="1456" t="str">
        <f t="shared" si="28"/>
        <v/>
      </c>
    </row>
    <row r="259" spans="2:16" x14ac:dyDescent="0.25">
      <c r="D259" s="919" t="s">
        <v>3</v>
      </c>
      <c r="E259" s="1454">
        <f>'FORMULAIRE PGA Eaux usées'!E481</f>
        <v>0</v>
      </c>
      <c r="F259" s="1454">
        <f>'FORMULAIRE PGA Eaux usées'!F481</f>
        <v>0</v>
      </c>
      <c r="G259" s="1454">
        <f>'FORMULAIRE PGA Eaux usées'!G481</f>
        <v>0</v>
      </c>
      <c r="H259" s="1454">
        <f>'FORMULAIRE PGA Eaux usées'!H481</f>
        <v>0</v>
      </c>
      <c r="I259" s="1454">
        <f>'FORMULAIRE PGA Eaux usées'!I481</f>
        <v>0</v>
      </c>
      <c r="J259" s="1454">
        <f>'FORMULAIRE PGA Eaux usées'!J481</f>
        <v>0</v>
      </c>
      <c r="K259" s="1454">
        <f>'FORMULAIRE PGA Eaux usées'!K481</f>
        <v>0</v>
      </c>
      <c r="L259" s="1454">
        <f>'FORMULAIRE PGA Eaux usées'!L481</f>
        <v>0</v>
      </c>
      <c r="M259" s="1454">
        <f>'FORMULAIRE PGA Eaux usées'!M481</f>
        <v>0</v>
      </c>
      <c r="N259" s="1454">
        <f>'FORMULAIRE PGA Eaux usées'!N481</f>
        <v>0</v>
      </c>
      <c r="O259" s="1455">
        <f t="shared" si="27"/>
        <v>0</v>
      </c>
      <c r="P259" s="1456" t="str">
        <f t="shared" si="28"/>
        <v/>
      </c>
    </row>
    <row r="260" spans="2:16" x14ac:dyDescent="0.25">
      <c r="D260" s="919" t="s">
        <v>4</v>
      </c>
      <c r="E260" s="1454">
        <f>'FORMULAIRE PGA Eaux usées'!E487</f>
        <v>0</v>
      </c>
      <c r="F260" s="1454">
        <f>'FORMULAIRE PGA Eaux usées'!F487</f>
        <v>0</v>
      </c>
      <c r="G260" s="1454">
        <f>'FORMULAIRE PGA Eaux usées'!G487</f>
        <v>0</v>
      </c>
      <c r="H260" s="1454">
        <f>'FORMULAIRE PGA Eaux usées'!H487</f>
        <v>0</v>
      </c>
      <c r="I260" s="1454">
        <f>'FORMULAIRE PGA Eaux usées'!I487</f>
        <v>0</v>
      </c>
      <c r="J260" s="1454">
        <f>'FORMULAIRE PGA Eaux usées'!J487</f>
        <v>0</v>
      </c>
      <c r="K260" s="1454">
        <f>'FORMULAIRE PGA Eaux usées'!K487</f>
        <v>0</v>
      </c>
      <c r="L260" s="1454">
        <f>'FORMULAIRE PGA Eaux usées'!L487</f>
        <v>0</v>
      </c>
      <c r="M260" s="1454">
        <f>'FORMULAIRE PGA Eaux usées'!M487</f>
        <v>0</v>
      </c>
      <c r="N260" s="1454">
        <f>'FORMULAIRE PGA Eaux usées'!N487</f>
        <v>0</v>
      </c>
      <c r="O260" s="1455">
        <f t="shared" si="27"/>
        <v>0</v>
      </c>
      <c r="P260" s="1456" t="str">
        <f t="shared" si="28"/>
        <v/>
      </c>
    </row>
    <row r="261" spans="2:16" ht="21" customHeight="1" x14ac:dyDescent="0.25">
      <c r="D261" s="1457" t="s">
        <v>6</v>
      </c>
      <c r="E261" s="1458">
        <f>SUM(E256:E260)</f>
        <v>0</v>
      </c>
      <c r="F261" s="1458">
        <f t="shared" ref="F261:N261" si="29">SUM(F256:F260)</f>
        <v>0</v>
      </c>
      <c r="G261" s="1458">
        <f t="shared" si="29"/>
        <v>0</v>
      </c>
      <c r="H261" s="1458">
        <f t="shared" si="29"/>
        <v>0</v>
      </c>
      <c r="I261" s="1458">
        <f t="shared" si="29"/>
        <v>0</v>
      </c>
      <c r="J261" s="1458">
        <f t="shared" si="29"/>
        <v>0</v>
      </c>
      <c r="K261" s="1458">
        <f t="shared" si="29"/>
        <v>0</v>
      </c>
      <c r="L261" s="1458">
        <f t="shared" si="29"/>
        <v>0</v>
      </c>
      <c r="M261" s="1458">
        <f t="shared" si="29"/>
        <v>0</v>
      </c>
      <c r="N261" s="1458">
        <f t="shared" si="29"/>
        <v>0</v>
      </c>
      <c r="O261" s="1459">
        <f>SUM(E261:N261)</f>
        <v>0</v>
      </c>
      <c r="P261" s="1460">
        <f>IF(O272=0,0,O261/O272)</f>
        <v>0</v>
      </c>
    </row>
    <row r="262" spans="2:16" x14ac:dyDescent="0.25">
      <c r="B262" s="919"/>
      <c r="C262" s="919"/>
      <c r="D262" s="919"/>
      <c r="E262" s="1454"/>
      <c r="F262" s="1454"/>
      <c r="G262" s="1454"/>
      <c r="H262" s="1454"/>
      <c r="I262" s="1454"/>
      <c r="J262" s="1454"/>
      <c r="K262" s="1454"/>
      <c r="L262" s="1454"/>
      <c r="M262" s="1454"/>
      <c r="N262" s="1454"/>
      <c r="O262" s="1454"/>
      <c r="P262" s="1460"/>
    </row>
    <row r="263" spans="2:16" x14ac:dyDescent="0.25">
      <c r="B263" s="919"/>
      <c r="C263" s="919"/>
      <c r="D263" s="919"/>
      <c r="E263" s="1461"/>
      <c r="F263" s="1461"/>
      <c r="G263" s="1461"/>
      <c r="H263" s="1461"/>
      <c r="I263" s="1461"/>
      <c r="J263" s="1461"/>
      <c r="K263" s="1461"/>
      <c r="L263" s="1461"/>
      <c r="M263" s="1461"/>
      <c r="N263" s="1461"/>
      <c r="O263" s="1461"/>
      <c r="P263" s="1462"/>
    </row>
    <row r="264" spans="2:16" ht="21.75" customHeight="1" x14ac:dyDescent="0.3">
      <c r="B264" s="919"/>
      <c r="C264" s="919"/>
      <c r="D264" s="1463" t="s">
        <v>161</v>
      </c>
      <c r="E264" s="1464" t="s">
        <v>1528</v>
      </c>
      <c r="F264" s="1465" t="s">
        <v>1</v>
      </c>
      <c r="G264" s="1466" t="s">
        <v>1528</v>
      </c>
      <c r="H264" s="1465" t="s">
        <v>2</v>
      </c>
      <c r="I264" s="1467" t="s">
        <v>1528</v>
      </c>
      <c r="J264" s="1465" t="s">
        <v>5</v>
      </c>
      <c r="K264" s="55"/>
      <c r="L264" s="1468" t="s">
        <v>1528</v>
      </c>
      <c r="M264" s="1465" t="s">
        <v>3</v>
      </c>
      <c r="N264" s="1469" t="s">
        <v>1528</v>
      </c>
      <c r="O264" s="1465" t="s">
        <v>4</v>
      </c>
      <c r="P264" s="55"/>
    </row>
    <row r="265" spans="2:16" ht="18.75" customHeight="1" x14ac:dyDescent="0.25">
      <c r="B265" s="919"/>
      <c r="C265" s="919"/>
      <c r="D265" s="1470">
        <f>O192</f>
        <v>0</v>
      </c>
      <c r="E265" s="1471"/>
      <c r="F265" s="3268">
        <f>O256</f>
        <v>0</v>
      </c>
      <c r="G265" s="3268"/>
      <c r="H265" s="3268">
        <f>O257</f>
        <v>0</v>
      </c>
      <c r="I265" s="3268"/>
      <c r="J265" s="3268">
        <f>O258</f>
        <v>0</v>
      </c>
      <c r="K265" s="3268"/>
      <c r="L265" s="55"/>
      <c r="M265" s="3268">
        <f>O259</f>
        <v>0</v>
      </c>
      <c r="N265" s="3268"/>
      <c r="O265" s="3268">
        <f>O260</f>
        <v>0</v>
      </c>
      <c r="P265" s="3268"/>
    </row>
    <row r="266" spans="2:16" ht="11.25" customHeight="1" x14ac:dyDescent="0.25">
      <c r="B266" s="919"/>
      <c r="C266" s="919"/>
      <c r="D266" s="919"/>
      <c r="E266" s="1472"/>
      <c r="F266" s="1461"/>
      <c r="G266" s="1461"/>
      <c r="H266" s="1472"/>
      <c r="I266" s="1461"/>
      <c r="J266" s="1461"/>
      <c r="K266" s="1461"/>
      <c r="L266" s="1461"/>
      <c r="M266" s="1461"/>
      <c r="N266" s="1461"/>
      <c r="O266" s="1461"/>
      <c r="P266" s="1462"/>
    </row>
    <row r="267" spans="2:16" x14ac:dyDescent="0.25">
      <c r="B267" s="919"/>
      <c r="C267" s="919"/>
      <c r="D267" s="919"/>
      <c r="E267" s="1454"/>
      <c r="F267" s="1454"/>
      <c r="G267" s="1454"/>
      <c r="H267" s="1454"/>
      <c r="I267" s="1454"/>
      <c r="J267" s="1454"/>
      <c r="N267" s="1454"/>
      <c r="O267" s="1454"/>
      <c r="P267" s="1460"/>
    </row>
    <row r="268" spans="2:16" ht="113.25" customHeight="1" x14ac:dyDescent="0.25"/>
    <row r="270" spans="2:16" ht="21.75" customHeight="1" x14ac:dyDescent="0.25">
      <c r="D270" s="1446" t="s">
        <v>2061</v>
      </c>
    </row>
    <row r="271" spans="2:16" ht="7.5" customHeight="1" x14ac:dyDescent="0.25">
      <c r="D271" s="1447"/>
    </row>
    <row r="272" spans="2:16" ht="20.25" customHeight="1" x14ac:dyDescent="0.25">
      <c r="D272" s="1457" t="s">
        <v>6</v>
      </c>
      <c r="E272" s="1458">
        <f>E244+E261</f>
        <v>0</v>
      </c>
      <c r="F272" s="1458">
        <f t="shared" ref="F272:N272" si="30">F244+F261</f>
        <v>0</v>
      </c>
      <c r="G272" s="1458">
        <f t="shared" si="30"/>
        <v>0</v>
      </c>
      <c r="H272" s="1458">
        <f t="shared" si="30"/>
        <v>0</v>
      </c>
      <c r="I272" s="1458">
        <f t="shared" si="30"/>
        <v>0</v>
      </c>
      <c r="J272" s="1458">
        <f t="shared" si="30"/>
        <v>0</v>
      </c>
      <c r="K272" s="1458">
        <f t="shared" si="30"/>
        <v>0</v>
      </c>
      <c r="L272" s="1458">
        <f t="shared" si="30"/>
        <v>0</v>
      </c>
      <c r="M272" s="1458">
        <f t="shared" si="30"/>
        <v>0</v>
      </c>
      <c r="N272" s="1458">
        <f t="shared" si="30"/>
        <v>0</v>
      </c>
      <c r="O272" s="1459">
        <f>O244+O261</f>
        <v>0</v>
      </c>
    </row>
    <row r="275" spans="1:32" ht="22.5" customHeight="1" x14ac:dyDescent="0.3">
      <c r="B275" s="1285" t="s">
        <v>181</v>
      </c>
      <c r="C275" s="1285"/>
      <c r="D275" s="1285"/>
      <c r="E275" s="1285"/>
      <c r="F275" s="1285"/>
      <c r="G275" s="1285"/>
      <c r="H275" s="1285"/>
      <c r="I275" s="1285"/>
      <c r="J275" s="1285"/>
      <c r="K275" s="1285"/>
      <c r="L275" s="1285"/>
      <c r="M275" s="1285"/>
      <c r="N275" s="1285"/>
      <c r="O275" s="1285"/>
      <c r="P275" s="1285"/>
      <c r="Q275" s="1285"/>
      <c r="R275" s="1285"/>
      <c r="S275" s="1285"/>
      <c r="T275" s="1285"/>
      <c r="U275" s="1285"/>
      <c r="V275" s="1285"/>
      <c r="W275" s="1285"/>
      <c r="X275" s="1285"/>
      <c r="Y275" s="1285"/>
      <c r="Z275" s="1285"/>
      <c r="AA275" s="1285"/>
      <c r="AB275" s="1285"/>
      <c r="AC275" s="1285"/>
      <c r="AD275" s="1285"/>
      <c r="AE275" s="1285"/>
      <c r="AF275" s="1285"/>
    </row>
    <row r="277" spans="1:32" ht="26.25" customHeight="1" x14ac:dyDescent="0.35">
      <c r="B277" s="1416"/>
      <c r="C277" s="1416"/>
      <c r="D277" s="1417" t="s">
        <v>1891</v>
      </c>
      <c r="I277" s="1417"/>
    </row>
    <row r="278" spans="1:32" ht="22.5" customHeight="1" x14ac:dyDescent="0.25">
      <c r="B278" s="1416"/>
      <c r="C278" s="1416"/>
    </row>
    <row r="279" spans="1:32" ht="15" customHeight="1" x14ac:dyDescent="0.25">
      <c r="E279" s="55"/>
      <c r="F279" s="55"/>
      <c r="G279" s="55"/>
      <c r="H279" s="55"/>
      <c r="I279" s="55"/>
      <c r="J279" s="55"/>
      <c r="K279" s="55"/>
    </row>
    <row r="280" spans="1:32" ht="15" customHeight="1" x14ac:dyDescent="0.25">
      <c r="E280" s="1473" t="s">
        <v>1893</v>
      </c>
      <c r="F280" s="55"/>
      <c r="G280" s="55"/>
      <c r="H280" s="55"/>
      <c r="I280" s="55"/>
      <c r="J280" s="55"/>
      <c r="K280" s="55"/>
    </row>
    <row r="281" spans="1:32" ht="20.25" customHeight="1" x14ac:dyDescent="0.25">
      <c r="E281" s="1473" t="s">
        <v>1825</v>
      </c>
      <c r="F281" s="1474"/>
      <c r="G281" s="1474"/>
      <c r="H281" s="1475"/>
      <c r="I281" s="55"/>
      <c r="J281" s="55"/>
      <c r="K281" s="55"/>
    </row>
    <row r="282" spans="1:32" s="72" customFormat="1" ht="19.5" customHeight="1" x14ac:dyDescent="0.25">
      <c r="A282" s="82"/>
      <c r="E282" s="1476" t="s">
        <v>1528</v>
      </c>
      <c r="F282" s="1465" t="s">
        <v>1529</v>
      </c>
      <c r="G282" s="1477"/>
      <c r="H282" s="1478"/>
      <c r="I282" s="82"/>
      <c r="J282" s="82"/>
      <c r="K282" s="82"/>
      <c r="L282" s="28"/>
      <c r="M282" s="1479">
        <f>'FORMULAIRE PGA Eaux usées'!O413+'FORMULAIRE PGA Eaux usées'!O420+'FORMULAIRE PGA Eaux usées'!O458+'FORMULAIRE PGA Eaux usées'!O465</f>
        <v>0</v>
      </c>
      <c r="N282" s="1480" t="e">
        <f>M282/$L$293</f>
        <v>#DIV/0!</v>
      </c>
    </row>
    <row r="283" spans="1:32" s="72" customFormat="1" ht="19.5" customHeight="1" x14ac:dyDescent="0.2">
      <c r="A283" s="82"/>
      <c r="E283" s="1481" t="s">
        <v>1528</v>
      </c>
      <c r="F283" s="1465" t="s">
        <v>1883</v>
      </c>
      <c r="G283" s="1482"/>
      <c r="H283" s="1482"/>
      <c r="I283" s="82"/>
      <c r="J283" s="82"/>
      <c r="K283" s="82"/>
      <c r="M283" s="1479">
        <f>'FORMULAIRE PGA Eaux usées'!O428+'FORMULAIRE PGA Eaux usées'!O437+'FORMULAIRE PGA Eaux usées'!O443+'FORMULAIRE PGA Eaux usées'!O473+'FORMULAIRE PGA Eaux usées'!O482+'FORMULAIRE PGA Eaux usées'!O488</f>
        <v>0</v>
      </c>
      <c r="N283" s="1480" t="e">
        <f>M283/$L$293</f>
        <v>#DIV/0!</v>
      </c>
    </row>
    <row r="284" spans="1:32" ht="12" customHeight="1" x14ac:dyDescent="0.25">
      <c r="E284" s="55"/>
      <c r="F284" s="1483"/>
      <c r="G284" s="1484"/>
      <c r="H284" s="1484"/>
      <c r="I284" s="55"/>
      <c r="J284" s="55"/>
      <c r="K284" s="55"/>
      <c r="M284" s="1479"/>
      <c r="N284" s="1480"/>
    </row>
    <row r="285" spans="1:32" ht="20.25" customHeight="1" x14ac:dyDescent="0.25">
      <c r="E285" s="1473" t="s">
        <v>1884</v>
      </c>
      <c r="F285" s="1483"/>
      <c r="G285" s="1484"/>
      <c r="H285" s="1484"/>
      <c r="I285" s="55"/>
      <c r="J285" s="55"/>
      <c r="K285" s="55"/>
      <c r="M285" s="1479"/>
      <c r="N285" s="1480"/>
    </row>
    <row r="286" spans="1:32" ht="19.5" customHeight="1" x14ac:dyDescent="0.25">
      <c r="E286" s="1485" t="s">
        <v>1528</v>
      </c>
      <c r="F286" s="1465" t="s">
        <v>2135</v>
      </c>
      <c r="G286" s="1484"/>
      <c r="H286" s="1484"/>
      <c r="I286" s="55"/>
      <c r="J286" s="55"/>
      <c r="K286" s="55"/>
      <c r="M286" s="1479">
        <f>'FORMULAIRE PGA Eaux usées'!O429+'FORMULAIRE PGA Eaux usées'!O474</f>
        <v>0</v>
      </c>
      <c r="N286" s="1480" t="e">
        <f>M286/$L$293</f>
        <v>#DIV/0!</v>
      </c>
    </row>
    <row r="287" spans="1:32" ht="12" customHeight="1" x14ac:dyDescent="0.25">
      <c r="E287" s="55"/>
      <c r="F287" s="1483"/>
      <c r="G287" s="1484"/>
      <c r="H287" s="1484"/>
      <c r="I287" s="55"/>
      <c r="J287" s="55"/>
      <c r="K287" s="55"/>
      <c r="M287" s="1479"/>
      <c r="N287" s="1480"/>
    </row>
    <row r="288" spans="1:32" ht="20.25" customHeight="1" x14ac:dyDescent="0.25">
      <c r="E288" s="1473" t="s">
        <v>1824</v>
      </c>
      <c r="F288" s="1483"/>
      <c r="G288" s="1484"/>
      <c r="H288" s="1484"/>
      <c r="I288" s="55"/>
      <c r="J288" s="55"/>
      <c r="K288" s="55"/>
      <c r="N288" s="1480"/>
    </row>
    <row r="289" spans="4:29" ht="19.5" customHeight="1" x14ac:dyDescent="0.25">
      <c r="E289" s="1486" t="s">
        <v>1528</v>
      </c>
      <c r="F289" s="1465" t="s">
        <v>1885</v>
      </c>
      <c r="G289" s="55"/>
      <c r="H289" s="55"/>
      <c r="I289" s="55"/>
      <c r="J289" s="55"/>
      <c r="K289" s="55"/>
      <c r="M289" s="1487">
        <f>'FORMULAIRE PGA Eaux usées'!O415+'FORMULAIRE PGA Eaux usées'!O422+'FORMULAIRE PGA Eaux usées'!O460+'FORMULAIRE PGA Eaux usées'!O467</f>
        <v>0</v>
      </c>
      <c r="N289" s="1480" t="e">
        <f>M289/$L$293</f>
        <v>#DIV/0!</v>
      </c>
    </row>
    <row r="290" spans="4:29" ht="19.5" customHeight="1" x14ac:dyDescent="0.25">
      <c r="E290" s="1488" t="s">
        <v>1528</v>
      </c>
      <c r="F290" s="1483" t="s">
        <v>1892</v>
      </c>
      <c r="G290" s="55"/>
      <c r="H290" s="55"/>
      <c r="I290" s="55"/>
      <c r="J290" s="55"/>
      <c r="K290" s="55"/>
      <c r="M290" s="1479">
        <f>H299+H301+H303+K299+K301+K303</f>
        <v>0</v>
      </c>
      <c r="N290" s="1480" t="e">
        <f>M290/$L$293</f>
        <v>#DIV/0!</v>
      </c>
      <c r="O290" s="1489" t="e">
        <f>SUM(N282:N290)</f>
        <v>#DIV/0!</v>
      </c>
    </row>
    <row r="291" spans="4:29" ht="15" customHeight="1" x14ac:dyDescent="0.25">
      <c r="E291" s="55"/>
      <c r="F291" s="1465" t="s">
        <v>1886</v>
      </c>
      <c r="G291" s="1490"/>
      <c r="H291" s="1484"/>
      <c r="I291" s="55"/>
      <c r="J291" s="55"/>
      <c r="K291" s="55"/>
    </row>
    <row r="292" spans="4:29" ht="17.25" customHeight="1" x14ac:dyDescent="0.25">
      <c r="E292" s="55"/>
      <c r="F292" s="55"/>
      <c r="G292" s="1490"/>
      <c r="H292" s="1484"/>
      <c r="I292" s="55"/>
      <c r="J292" s="55"/>
      <c r="K292" s="55"/>
      <c r="M292" s="1479"/>
    </row>
    <row r="293" spans="4:29" ht="26.25" customHeight="1" x14ac:dyDescent="0.3">
      <c r="D293" s="1463" t="s">
        <v>161</v>
      </c>
      <c r="F293" s="1491"/>
      <c r="G293" s="1492"/>
      <c r="H293" s="1442"/>
      <c r="L293" s="3266">
        <f>SUM(M282:M290)</f>
        <v>0</v>
      </c>
      <c r="M293" s="3266"/>
      <c r="N293" s="3266"/>
    </row>
    <row r="294" spans="4:29" ht="15" customHeight="1" x14ac:dyDescent="0.25">
      <c r="D294" s="1470">
        <f>H203</f>
        <v>0</v>
      </c>
      <c r="E294" s="1492"/>
      <c r="F294" s="1492"/>
      <c r="G294" s="1492"/>
      <c r="H294" s="1442"/>
    </row>
    <row r="295" spans="4:29" ht="234.75" customHeight="1" x14ac:dyDescent="0.25"/>
    <row r="296" spans="4:29" ht="17.25" customHeight="1" x14ac:dyDescent="0.25">
      <c r="F296" s="1491"/>
      <c r="G296" s="1492"/>
      <c r="H296" s="1442"/>
    </row>
    <row r="297" spans="4:29" ht="28.5" customHeight="1" x14ac:dyDescent="0.25">
      <c r="E297" s="1491"/>
      <c r="F297" s="1493"/>
      <c r="G297" s="1418"/>
      <c r="H297" s="1494" t="s">
        <v>1529</v>
      </c>
      <c r="I297" s="1495"/>
      <c r="J297" s="1418"/>
      <c r="K297" s="1494" t="s">
        <v>1829</v>
      </c>
      <c r="M297" s="1496" t="s">
        <v>161</v>
      </c>
      <c r="O297" s="1497"/>
      <c r="P297" s="1497"/>
      <c r="Q297" s="55"/>
      <c r="R297" s="1498" t="s">
        <v>1824</v>
      </c>
      <c r="T297" s="55"/>
      <c r="U297" s="55"/>
      <c r="V297" s="55"/>
      <c r="W297" s="55"/>
      <c r="X297" s="55"/>
      <c r="Y297" s="55"/>
      <c r="Z297" s="55"/>
      <c r="AA297" s="55"/>
    </row>
    <row r="298" spans="4:29" ht="21" customHeight="1" x14ac:dyDescent="0.25">
      <c r="D298" s="517"/>
      <c r="E298" s="517"/>
      <c r="F298" s="1499" t="s">
        <v>2022</v>
      </c>
      <c r="G298" s="1500" t="s">
        <v>2023</v>
      </c>
      <c r="H298" s="2180" t="s">
        <v>2065</v>
      </c>
      <c r="I298" s="1499" t="s">
        <v>2022</v>
      </c>
      <c r="J298" s="1500" t="s">
        <v>2023</v>
      </c>
      <c r="K298" s="2180" t="s">
        <v>2065</v>
      </c>
      <c r="M298" s="369"/>
      <c r="Q298" s="55"/>
      <c r="R298" s="55"/>
      <c r="S298" s="55"/>
      <c r="T298" s="55"/>
      <c r="U298" s="3298" t="s">
        <v>1529</v>
      </c>
      <c r="V298" s="3298"/>
      <c r="W298" s="3298"/>
      <c r="X298" s="3305" t="s">
        <v>1829</v>
      </c>
      <c r="Y298" s="3305"/>
      <c r="Z298" s="1501"/>
      <c r="AA298" s="1502"/>
    </row>
    <row r="299" spans="4:29" ht="38.25" customHeight="1" thickBot="1" x14ac:dyDescent="0.3">
      <c r="D299" s="1503"/>
      <c r="E299" s="1504" t="s">
        <v>1817</v>
      </c>
      <c r="F299" s="1505">
        <f>'FORMULAIRE PGA Eaux usées'!O416+'FORMULAIRE PGA Eaux usées'!O423</f>
        <v>0</v>
      </c>
      <c r="G299" s="1506">
        <f>'FORMULAIRE PGA Eaux usées'!O461+'FORMULAIRE PGA Eaux usées'!O468</f>
        <v>0</v>
      </c>
      <c r="H299" s="1507">
        <f>F299+G299</f>
        <v>0</v>
      </c>
      <c r="I299" s="1505">
        <f>'FORMULAIRE PGA Eaux usées'!O431+'FORMULAIRE PGA Eaux usées'!O439+'FORMULAIRE PGA Eaux usées'!O445</f>
        <v>0</v>
      </c>
      <c r="J299" s="1506">
        <f>'FORMULAIRE PGA Eaux usées'!O476+'FORMULAIRE PGA Eaux usées'!O484+'FORMULAIRE PGA Eaux usées'!O490</f>
        <v>0</v>
      </c>
      <c r="K299" s="1507">
        <f>I299+J299</f>
        <v>0</v>
      </c>
      <c r="M299" s="1508">
        <f>ROUNDDOWN(F207,0)</f>
        <v>0</v>
      </c>
      <c r="Q299" s="55"/>
      <c r="R299" s="1509"/>
      <c r="S299" s="3299" t="s">
        <v>1826</v>
      </c>
      <c r="T299" s="3299"/>
      <c r="U299" s="3299"/>
      <c r="V299" s="3303">
        <f>IF(ISERR(H299),0,H299)</f>
        <v>0</v>
      </c>
      <c r="W299" s="3303"/>
      <c r="X299" s="3297">
        <f>IF(ISERR(K299),0,K299)</f>
        <v>0</v>
      </c>
      <c r="Y299" s="3297"/>
      <c r="Z299" s="1510">
        <f>M299</f>
        <v>0</v>
      </c>
      <c r="AA299" s="1510"/>
      <c r="AB299" s="1511"/>
      <c r="AC299" s="1511"/>
    </row>
    <row r="300" spans="4:29" ht="9" customHeight="1" thickTop="1" x14ac:dyDescent="0.25">
      <c r="D300" s="1333"/>
      <c r="E300" s="1512"/>
      <c r="F300" s="1333"/>
      <c r="G300" s="517"/>
      <c r="H300" s="1385"/>
      <c r="I300" s="1333"/>
      <c r="J300" s="517"/>
      <c r="K300" s="1385"/>
      <c r="M300" s="369"/>
      <c r="Q300" s="55"/>
      <c r="R300" s="55"/>
      <c r="S300" s="1513"/>
      <c r="T300" s="55"/>
      <c r="U300" s="55"/>
      <c r="V300" s="1514"/>
      <c r="W300" s="1515"/>
      <c r="X300" s="1515"/>
      <c r="Y300" s="1515"/>
      <c r="Z300" s="1516"/>
      <c r="AA300" s="1516"/>
    </row>
    <row r="301" spans="4:29" ht="38.25" customHeight="1" thickBot="1" x14ac:dyDescent="0.3">
      <c r="D301" s="104"/>
      <c r="E301" s="1504" t="s">
        <v>1531</v>
      </c>
      <c r="F301" s="1505">
        <f>'FORMULAIRE PGA Eaux usées'!O417+'FORMULAIRE PGA Eaux usées'!O424</f>
        <v>0</v>
      </c>
      <c r="G301" s="1506">
        <f>'FORMULAIRE PGA Eaux usées'!O462+'FORMULAIRE PGA Eaux usées'!O469</f>
        <v>0</v>
      </c>
      <c r="H301" s="1507">
        <f>F301+G301</f>
        <v>0</v>
      </c>
      <c r="I301" s="1505">
        <f>'FORMULAIRE PGA Eaux usées'!O432+'FORMULAIRE PGA Eaux usées'!O440+'FORMULAIRE PGA Eaux usées'!O446</f>
        <v>0</v>
      </c>
      <c r="J301" s="1506">
        <f>'FORMULAIRE PGA Eaux usées'!O477+'FORMULAIRE PGA Eaux usées'!O485+'FORMULAIRE PGA Eaux usées'!O491</f>
        <v>0</v>
      </c>
      <c r="K301" s="1507">
        <f>I301+J301</f>
        <v>0</v>
      </c>
      <c r="M301" s="1508">
        <f>ROUNDDOWN(F208,0)</f>
        <v>0</v>
      </c>
      <c r="Q301" s="55"/>
      <c r="R301" s="1517"/>
      <c r="S301" s="3304" t="s">
        <v>1828</v>
      </c>
      <c r="T301" s="3304"/>
      <c r="U301" s="1518"/>
      <c r="V301" s="3302">
        <f>IF(ISERR(H301),0,H301)</f>
        <v>0</v>
      </c>
      <c r="W301" s="3302"/>
      <c r="X301" s="3296">
        <f>IF(ISERR(K301),0,K301)</f>
        <v>0</v>
      </c>
      <c r="Y301" s="3296"/>
      <c r="Z301" s="1519">
        <f>M301</f>
        <v>0</v>
      </c>
      <c r="AA301" s="1519"/>
    </row>
    <row r="302" spans="4:29" ht="9" customHeight="1" thickTop="1" x14ac:dyDescent="0.25">
      <c r="D302" s="1333"/>
      <c r="E302" s="1512"/>
      <c r="F302" s="1520"/>
      <c r="G302" s="1521"/>
      <c r="H302" s="1522"/>
      <c r="I302" s="1520"/>
      <c r="J302" s="1521"/>
      <c r="K302" s="1522"/>
      <c r="M302" s="369"/>
      <c r="Q302" s="55"/>
      <c r="R302" s="55"/>
      <c r="S302" s="1513"/>
      <c r="T302" s="55"/>
      <c r="U302" s="55"/>
      <c r="V302" s="1514"/>
      <c r="W302" s="1515"/>
      <c r="X302" s="1515"/>
      <c r="Y302" s="1515"/>
      <c r="Z302" s="1516"/>
      <c r="AA302" s="1516"/>
    </row>
    <row r="303" spans="4:29" ht="38.25" customHeight="1" thickBot="1" x14ac:dyDescent="0.3">
      <c r="D303" s="104"/>
      <c r="E303" s="1504" t="s">
        <v>1530</v>
      </c>
      <c r="F303" s="1505">
        <f>'FORMULAIRE PGA Eaux usées'!O418+'FORMULAIRE PGA Eaux usées'!O425</f>
        <v>0</v>
      </c>
      <c r="G303" s="1506">
        <f>'FORMULAIRE PGA Eaux usées'!O463+'FORMULAIRE PGA Eaux usées'!O470</f>
        <v>0</v>
      </c>
      <c r="H303" s="1507">
        <f>F303+G303</f>
        <v>0</v>
      </c>
      <c r="I303" s="1505">
        <f>'FORMULAIRE PGA Eaux usées'!O433+'FORMULAIRE PGA Eaux usées'!O441+'FORMULAIRE PGA Eaux usées'!O447</f>
        <v>0</v>
      </c>
      <c r="J303" s="1506">
        <f>'FORMULAIRE PGA Eaux usées'!O478+'FORMULAIRE PGA Eaux usées'!O486+'FORMULAIRE PGA Eaux usées'!O492</f>
        <v>0</v>
      </c>
      <c r="K303" s="1507">
        <f>I303+J303</f>
        <v>0</v>
      </c>
      <c r="M303" s="1508">
        <f>ROUNDDOWN(F209,0)</f>
        <v>0</v>
      </c>
      <c r="Q303" s="55"/>
      <c r="R303" s="2571"/>
      <c r="S303" s="3300" t="s">
        <v>1827</v>
      </c>
      <c r="T303" s="3300"/>
      <c r="U303" s="3300"/>
      <c r="V303" s="3301">
        <f>IF(ISERR(H303),0,H303)</f>
        <v>0</v>
      </c>
      <c r="W303" s="3301"/>
      <c r="X303" s="3295">
        <f>IF(ISERR(K303),0,K303)</f>
        <v>0</v>
      </c>
      <c r="Y303" s="3295"/>
      <c r="Z303" s="2572">
        <f>M303</f>
        <v>0</v>
      </c>
      <c r="AA303" s="2572"/>
      <c r="AB303" s="1511"/>
      <c r="AC303" s="1511"/>
    </row>
    <row r="304" spans="4:29" ht="9" customHeight="1" thickTop="1" x14ac:dyDescent="0.25">
      <c r="D304" s="1333"/>
      <c r="E304" s="1512"/>
      <c r="F304" s="1523"/>
      <c r="G304" s="1524"/>
      <c r="H304" s="1525"/>
      <c r="I304" s="1520"/>
      <c r="J304" s="1524"/>
      <c r="K304" s="1522"/>
      <c r="M304" s="1344"/>
      <c r="Q304" s="55"/>
      <c r="R304" s="55"/>
      <c r="S304" s="55"/>
      <c r="T304" s="55"/>
      <c r="U304" s="55"/>
      <c r="V304" s="55"/>
      <c r="W304" s="55"/>
      <c r="X304" s="55"/>
      <c r="Y304" s="55"/>
      <c r="Z304" s="55"/>
      <c r="AA304" s="55"/>
    </row>
    <row r="305" spans="2:32" ht="17.25" customHeight="1" x14ac:dyDescent="0.25">
      <c r="F305" s="1492"/>
      <c r="G305" s="1492"/>
      <c r="H305" s="1442"/>
    </row>
    <row r="308" spans="2:32" ht="31.5" customHeight="1" x14ac:dyDescent="0.35">
      <c r="B308" s="1283" t="s">
        <v>1776</v>
      </c>
      <c r="C308" s="1283"/>
      <c r="D308" s="1284"/>
      <c r="E308" s="1284"/>
      <c r="F308" s="1284"/>
      <c r="G308" s="1284"/>
      <c r="H308" s="1284"/>
      <c r="I308" s="1284"/>
      <c r="J308" s="1284"/>
      <c r="K308" s="1284"/>
      <c r="L308" s="1284"/>
      <c r="M308" s="1284"/>
      <c r="N308" s="1284"/>
      <c r="O308" s="1284"/>
      <c r="P308" s="1284"/>
      <c r="Q308" s="1284"/>
      <c r="R308" s="1284"/>
      <c r="S308" s="1284"/>
      <c r="T308" s="1284"/>
      <c r="U308" s="1284"/>
      <c r="V308" s="1284"/>
      <c r="W308" s="1284"/>
      <c r="X308" s="1284"/>
      <c r="Y308" s="1284"/>
      <c r="Z308" s="1284"/>
      <c r="AA308" s="1284"/>
      <c r="AB308" s="1284"/>
      <c r="AC308" s="1284"/>
      <c r="AD308" s="1284"/>
      <c r="AE308" s="1284"/>
      <c r="AF308" s="1284"/>
    </row>
    <row r="310" spans="2:32" ht="22.5" customHeight="1" x14ac:dyDescent="0.3">
      <c r="B310" s="1285" t="s">
        <v>254</v>
      </c>
      <c r="C310" s="1285"/>
      <c r="D310" s="1285"/>
      <c r="E310" s="1285"/>
      <c r="F310" s="1285"/>
      <c r="G310" s="1285"/>
      <c r="H310" s="1285"/>
      <c r="I310" s="1285"/>
      <c r="J310" s="1285"/>
      <c r="K310" s="1285"/>
      <c r="L310" s="1285"/>
      <c r="M310" s="1285"/>
      <c r="N310" s="1285"/>
      <c r="O310" s="1285"/>
      <c r="P310" s="1285"/>
      <c r="Q310" s="1285"/>
      <c r="R310" s="1285"/>
      <c r="S310" s="1285"/>
      <c r="T310" s="1285"/>
      <c r="U310" s="1285"/>
      <c r="V310" s="1285"/>
      <c r="W310" s="1285"/>
      <c r="X310" s="1285"/>
      <c r="Y310" s="1285"/>
      <c r="Z310" s="1285"/>
      <c r="AA310" s="1285"/>
      <c r="AB310" s="1285"/>
      <c r="AC310" s="1285"/>
      <c r="AD310" s="1285"/>
      <c r="AE310" s="1285"/>
      <c r="AF310" s="1285"/>
    </row>
    <row r="311" spans="2:32" ht="21" x14ac:dyDescent="0.25">
      <c r="B311" s="1416"/>
      <c r="C311" s="1416"/>
    </row>
    <row r="312" spans="2:32" ht="17.25" customHeight="1" x14ac:dyDescent="0.25">
      <c r="D312" s="517"/>
      <c r="E312" s="517"/>
      <c r="F312" s="1392" t="s">
        <v>1901</v>
      </c>
    </row>
    <row r="313" spans="2:32" x14ac:dyDescent="0.25">
      <c r="E313" s="1127" t="s">
        <v>2022</v>
      </c>
      <c r="F313" s="1127" t="s">
        <v>2023</v>
      </c>
    </row>
    <row r="314" spans="2:32" x14ac:dyDescent="0.25">
      <c r="D314" s="1379" t="str">
        <f>'FORMULAIRE PGA Eaux usées'!C520</f>
        <v>Coûts prévisionnels totaux (besoins totaux)</v>
      </c>
      <c r="E314" s="1441">
        <f>'FORMULAIRE PGA Eaux usées'!O520</f>
        <v>0</v>
      </c>
      <c r="F314" s="1441">
        <f>'FORMULAIRE PGA Eaux usées'!O547</f>
        <v>0</v>
      </c>
    </row>
    <row r="315" spans="2:32" ht="15.75" x14ac:dyDescent="0.25">
      <c r="D315" s="1379" t="str">
        <f>'FORMULAIRE PGA Eaux usées'!C521</f>
        <v>Revenus du gouvernement provincial</v>
      </c>
      <c r="E315" s="1441">
        <f>'FORMULAIRE PGA Eaux usées'!O521</f>
        <v>0</v>
      </c>
      <c r="F315" s="1441">
        <f>'FORMULAIRE PGA Eaux usées'!O548</f>
        <v>0</v>
      </c>
      <c r="L315" s="1391" t="s">
        <v>1900</v>
      </c>
      <c r="M315" s="517"/>
      <c r="N315" s="517"/>
    </row>
    <row r="316" spans="2:32" x14ac:dyDescent="0.25">
      <c r="D316" s="1379" t="str">
        <f>'FORMULAIRE PGA Eaux usées'!C522</f>
        <v>Revenus générés par la municipalité</v>
      </c>
      <c r="E316" s="1441">
        <f>'FORMULAIRE PGA Eaux usées'!O522</f>
        <v>0</v>
      </c>
      <c r="F316" s="1441">
        <f>'FORMULAIRE PGA Eaux usées'!O549</f>
        <v>0</v>
      </c>
    </row>
    <row r="317" spans="2:32" x14ac:dyDescent="0.25">
      <c r="D317" s="1379" t="str">
        <f>'FORMULAIRE PGA Eaux usées'!C523</f>
        <v>Budget total planifié par la municipalité</v>
      </c>
      <c r="E317" s="1441">
        <f>'FORMULAIRE PGA Eaux usées'!O523</f>
        <v>0</v>
      </c>
      <c r="F317" s="1441">
        <f>'FORMULAIRE PGA Eaux usées'!O550</f>
        <v>0</v>
      </c>
      <c r="L317" s="1128" t="s">
        <v>45</v>
      </c>
      <c r="M317" s="1489" t="e">
        <f>(E317+F317)/(E314+F314)</f>
        <v>#DIV/0!</v>
      </c>
      <c r="N317" s="1526" t="str">
        <f>IF(ISERR(M317)=TRUE,"",M317)</f>
        <v/>
      </c>
    </row>
    <row r="318" spans="2:32" x14ac:dyDescent="0.25">
      <c r="D318" s="1379" t="str">
        <f>'FORMULAIRE PGA Eaux usées'!C524</f>
        <v>Déficit de financement</v>
      </c>
      <c r="E318" s="1441">
        <f>'FORMULAIRE PGA Eaux usées'!O524</f>
        <v>0</v>
      </c>
      <c r="F318" s="1441">
        <f>'FORMULAIRE PGA Eaux usées'!O551</f>
        <v>0</v>
      </c>
      <c r="L318" s="1128" t="s">
        <v>2091</v>
      </c>
      <c r="M318" s="1489" t="e">
        <f>(E316+F316)/(E317+F317)</f>
        <v>#DIV/0!</v>
      </c>
      <c r="N318" s="1527" t="str">
        <f>IF(ISERR(M318)=TRUE,"",M318)</f>
        <v/>
      </c>
    </row>
    <row r="320" spans="2:32" ht="20.25" customHeight="1" x14ac:dyDescent="0.25">
      <c r="D320" s="1400" t="s">
        <v>55</v>
      </c>
      <c r="K320" s="1391" t="s">
        <v>161</v>
      </c>
      <c r="L320" s="1391"/>
      <c r="M320" s="1391"/>
      <c r="N320" s="1391"/>
      <c r="O320" s="517"/>
    </row>
    <row r="321" spans="2:32" x14ac:dyDescent="0.25">
      <c r="E321" s="1127"/>
      <c r="F321" s="325" t="s">
        <v>132</v>
      </c>
      <c r="M321" s="1379"/>
      <c r="N321" s="1379" t="s">
        <v>1906</v>
      </c>
      <c r="O321" s="1379" t="s">
        <v>1907</v>
      </c>
    </row>
    <row r="322" spans="2:32" x14ac:dyDescent="0.25">
      <c r="B322" s="1128" t="s">
        <v>2022</v>
      </c>
      <c r="C322" s="1128"/>
      <c r="D322" s="1128" t="s">
        <v>1899</v>
      </c>
      <c r="E322" s="1528">
        <f>E317</f>
        <v>0</v>
      </c>
      <c r="F322" s="1528">
        <f>E318</f>
        <v>0</v>
      </c>
      <c r="K322" s="1379" t="str">
        <f>'FORMULAIRE PGA Eaux usées'!C634</f>
        <v>Financement estimé pour le fonctionnement</v>
      </c>
      <c r="L322" s="1379" t="s">
        <v>2022</v>
      </c>
      <c r="M322" s="325">
        <f>'FORMULAIRE PGA Eaux usées'!G634</f>
        <v>0</v>
      </c>
      <c r="N322" s="1529">
        <f>IF($I$33=1,M323,IF($I$41=1,M322,ROUNDDOWN(AVERAGE(M322:M323),0)))</f>
        <v>0</v>
      </c>
      <c r="O322" s="1530">
        <f>IF($I$33=1,ROUNDDOWN(AVERAGE(M323,M325),0),IF($I$41=1,ROUNDDOWN(AVERAGE(M322,M324),0),ROUNDDOWN(AVERAGE(M322:M325),0)))</f>
        <v>0</v>
      </c>
    </row>
    <row r="323" spans="2:32" x14ac:dyDescent="0.25">
      <c r="B323" s="1128"/>
      <c r="C323" s="1128"/>
      <c r="D323" s="1128" t="s">
        <v>42</v>
      </c>
      <c r="E323" s="1528">
        <f>E314</f>
        <v>0</v>
      </c>
      <c r="F323" s="325">
        <v>0</v>
      </c>
      <c r="L323" s="1379" t="s">
        <v>2023</v>
      </c>
      <c r="M323" s="28">
        <f>'FORMULAIRE PGA Eaux usées'!L634</f>
        <v>0</v>
      </c>
      <c r="N323" s="1531"/>
    </row>
    <row r="324" spans="2:32" x14ac:dyDescent="0.25">
      <c r="B324" s="1128" t="s">
        <v>2023</v>
      </c>
      <c r="C324" s="1128"/>
      <c r="D324" s="1128" t="s">
        <v>42</v>
      </c>
      <c r="E324" s="1528">
        <f>F314</f>
        <v>0</v>
      </c>
      <c r="F324" s="325">
        <v>0</v>
      </c>
      <c r="J324" s="1379"/>
      <c r="K324" s="1379" t="str">
        <f>'FORMULAIRE PGA Eaux usées'!C631</f>
        <v>Coûts prévus pour l'exploitation et pour l'entretien</v>
      </c>
      <c r="L324" s="1379" t="s">
        <v>2022</v>
      </c>
      <c r="M324" s="325">
        <f>'FORMULAIRE PGA Eaux usées'!G631</f>
        <v>0</v>
      </c>
      <c r="N324" s="1531"/>
    </row>
    <row r="325" spans="2:32" x14ac:dyDescent="0.25">
      <c r="B325" s="1128"/>
      <c r="C325" s="1128"/>
      <c r="D325" s="1128" t="s">
        <v>1899</v>
      </c>
      <c r="E325" s="1528">
        <f>F317</f>
        <v>0</v>
      </c>
      <c r="F325" s="1528">
        <f>F318</f>
        <v>0</v>
      </c>
      <c r="L325" s="1379" t="s">
        <v>2023</v>
      </c>
      <c r="M325" s="28">
        <f>'FORMULAIRE PGA Eaux usées'!L631</f>
        <v>0</v>
      </c>
    </row>
    <row r="326" spans="2:32" x14ac:dyDescent="0.25">
      <c r="B326" s="1128"/>
      <c r="C326" s="1128"/>
      <c r="D326" s="1128"/>
      <c r="E326" s="1528"/>
      <c r="F326" s="1528"/>
    </row>
    <row r="327" spans="2:32" x14ac:dyDescent="0.25">
      <c r="B327" s="1128"/>
      <c r="C327" s="1128"/>
      <c r="D327" s="1128"/>
      <c r="E327" s="1528"/>
      <c r="F327" s="1528"/>
      <c r="H327" s="55"/>
      <c r="I327" s="55"/>
      <c r="J327" s="55"/>
      <c r="K327" s="55"/>
      <c r="L327" s="55"/>
      <c r="M327" s="55"/>
      <c r="N327" s="55"/>
      <c r="O327" s="55"/>
    </row>
    <row r="328" spans="2:32" ht="16.5" thickBot="1" x14ac:dyDescent="0.3">
      <c r="B328" s="1128"/>
      <c r="C328" s="1128"/>
      <c r="D328" s="1128"/>
      <c r="E328" s="1528"/>
      <c r="F328" s="1528"/>
      <c r="H328" s="55"/>
      <c r="I328" s="3267" t="s">
        <v>1905</v>
      </c>
      <c r="J328" s="3267"/>
      <c r="K328" s="3267"/>
      <c r="L328" s="3267"/>
      <c r="M328" s="3267"/>
      <c r="N328" s="3267"/>
      <c r="O328" s="55"/>
    </row>
    <row r="329" spans="2:32" ht="170.25" customHeight="1" x14ac:dyDescent="0.25">
      <c r="H329" s="55"/>
      <c r="I329" s="55"/>
      <c r="J329" s="55"/>
      <c r="K329" s="55"/>
      <c r="L329" s="55"/>
      <c r="M329" s="55"/>
      <c r="N329" s="55"/>
      <c r="O329" s="55"/>
      <c r="P329" s="55"/>
    </row>
    <row r="330" spans="2:32" ht="20.25" customHeight="1" thickBot="1" x14ac:dyDescent="0.3">
      <c r="H330" s="55"/>
      <c r="I330" s="2558"/>
      <c r="J330" s="2553" t="str">
        <f>IF(('FORMULAIRE PGA Eaux usées'!$H$81='MENU DÉROULANT'!$C$41),"(Aucun actif)","")</f>
        <v/>
      </c>
      <c r="K330" s="2493" t="s">
        <v>2022</v>
      </c>
      <c r="L330" s="1532" t="s">
        <v>2023</v>
      </c>
      <c r="M330" s="2552"/>
      <c r="N330" s="2553" t="str">
        <f>IF(('FORMULAIRE PGA Eaux usées'!$H$120='MENU DÉROULANT'!$F$41),"(Aucun actif)","")</f>
        <v/>
      </c>
      <c r="O330" s="55"/>
      <c r="P330" s="55"/>
    </row>
    <row r="331" spans="2:32" x14ac:dyDescent="0.25">
      <c r="H331" s="55"/>
      <c r="I331" s="55"/>
      <c r="J331" s="55"/>
      <c r="K331" s="55"/>
      <c r="L331" s="55"/>
      <c r="M331" s="55"/>
      <c r="N331" s="55"/>
      <c r="O331" s="55"/>
      <c r="P331" s="55"/>
    </row>
    <row r="333" spans="2:32" ht="22.5" customHeight="1" x14ac:dyDescent="0.3">
      <c r="B333" s="1285" t="s">
        <v>255</v>
      </c>
      <c r="C333" s="1285"/>
      <c r="D333" s="1285"/>
      <c r="E333" s="1285"/>
      <c r="F333" s="1285"/>
      <c r="G333" s="1285"/>
      <c r="H333" s="1285"/>
      <c r="I333" s="1285"/>
      <c r="J333" s="1285"/>
      <c r="K333" s="1285"/>
      <c r="L333" s="1285"/>
      <c r="M333" s="1285"/>
      <c r="N333" s="1285"/>
      <c r="O333" s="1285"/>
      <c r="P333" s="1285"/>
      <c r="Q333" s="1285"/>
      <c r="R333" s="1285"/>
      <c r="S333" s="1285"/>
      <c r="T333" s="1285"/>
      <c r="U333" s="1285"/>
      <c r="V333" s="1285"/>
      <c r="W333" s="1285"/>
      <c r="X333" s="1285"/>
      <c r="Y333" s="1285"/>
      <c r="Z333" s="1285"/>
      <c r="AA333" s="1285"/>
      <c r="AB333" s="1285"/>
      <c r="AC333" s="1285"/>
      <c r="AD333" s="1285"/>
      <c r="AE333" s="1285"/>
      <c r="AF333" s="1285"/>
    </row>
    <row r="335" spans="2:32" ht="17.25" customHeight="1" x14ac:dyDescent="0.25">
      <c r="D335" s="517"/>
      <c r="E335" s="517"/>
      <c r="F335" s="1392" t="s">
        <v>1901</v>
      </c>
    </row>
    <row r="336" spans="2:32" x14ac:dyDescent="0.25">
      <c r="E336" s="1127" t="s">
        <v>2022</v>
      </c>
      <c r="F336" s="1127" t="s">
        <v>2023</v>
      </c>
    </row>
    <row r="337" spans="2:15" x14ac:dyDescent="0.25">
      <c r="D337" s="1379" t="str">
        <f>'FORMULAIRE PGA Eaux usées'!C527</f>
        <v>Coûts prévisionnels totaux (besoins totaux)</v>
      </c>
      <c r="E337" s="1441">
        <f>'FORMULAIRE PGA Eaux usées'!O527</f>
        <v>0</v>
      </c>
      <c r="F337" s="1441">
        <f>'FORMULAIRE PGA Eaux usées'!O554</f>
        <v>0</v>
      </c>
    </row>
    <row r="338" spans="2:15" x14ac:dyDescent="0.25">
      <c r="D338" s="1379" t="str">
        <f>'FORMULAIRE PGA Eaux usées'!C528</f>
        <v>Excédent de fonctionnement</v>
      </c>
      <c r="E338" s="1441">
        <f>'FORMULAIRE PGA Eaux usées'!O528</f>
        <v>0</v>
      </c>
      <c r="F338" s="1441">
        <f>'FORMULAIRE PGA Eaux usées'!O555</f>
        <v>0</v>
      </c>
    </row>
    <row r="339" spans="2:15" ht="15.75" x14ac:dyDescent="0.25">
      <c r="D339" s="1379" t="str">
        <f>'FORMULAIRE PGA Eaux usées'!C529</f>
        <v>Financement du gouvernement provincial</v>
      </c>
      <c r="E339" s="1441">
        <f>'FORMULAIRE PGA Eaux usées'!O529</f>
        <v>0</v>
      </c>
      <c r="F339" s="1441">
        <f>'FORMULAIRE PGA Eaux usées'!O556</f>
        <v>0</v>
      </c>
      <c r="L339" s="1391" t="s">
        <v>1900</v>
      </c>
      <c r="M339" s="517"/>
      <c r="N339" s="517"/>
    </row>
    <row r="340" spans="2:15" x14ac:dyDescent="0.25">
      <c r="D340" s="1379" t="str">
        <f>'FORMULAIRE PGA Eaux usées'!C530</f>
        <v>Autres types de financement</v>
      </c>
      <c r="E340" s="1441">
        <f>'FORMULAIRE PGA Eaux usées'!O530</f>
        <v>0</v>
      </c>
      <c r="F340" s="1441">
        <f>'FORMULAIRE PGA Eaux usées'!O557</f>
        <v>0</v>
      </c>
    </row>
    <row r="341" spans="2:15" x14ac:dyDescent="0.25">
      <c r="D341" s="1379" t="str">
        <f>'FORMULAIRE PGA Eaux usées'!C531</f>
        <v>Budget total planifié par la municipalité</v>
      </c>
      <c r="E341" s="1441">
        <f>'FORMULAIRE PGA Eaux usées'!O531</f>
        <v>0</v>
      </c>
      <c r="F341" s="1441">
        <f>'FORMULAIRE PGA Eaux usées'!O558</f>
        <v>0</v>
      </c>
      <c r="L341" s="1128" t="s">
        <v>54</v>
      </c>
      <c r="M341" s="1489" t="e">
        <f>(E341+F341)/(E337+F337)</f>
        <v>#DIV/0!</v>
      </c>
      <c r="N341" s="1526" t="str">
        <f>IF(ISERR(M341)=TRUE,"",M341)</f>
        <v/>
      </c>
    </row>
    <row r="342" spans="2:15" x14ac:dyDescent="0.25">
      <c r="D342" s="1379" t="str">
        <f>'FORMULAIRE PGA Eaux usées'!C532</f>
        <v>Déficit de financement</v>
      </c>
      <c r="E342" s="1441">
        <f>'FORMULAIRE PGA Eaux usées'!O532</f>
        <v>0</v>
      </c>
      <c r="F342" s="1441">
        <f>'FORMULAIRE PGA Eaux usées'!O559</f>
        <v>0</v>
      </c>
      <c r="L342" s="1128" t="s">
        <v>2093</v>
      </c>
      <c r="M342" s="1489" t="e">
        <f>(E340+F340)/(E341+F341)</f>
        <v>#DIV/0!</v>
      </c>
      <c r="N342" s="1527" t="str">
        <f>IF(ISERR(M342)=TRUE,"",M342)</f>
        <v/>
      </c>
    </row>
    <row r="343" spans="2:15" x14ac:dyDescent="0.25">
      <c r="D343" s="1379"/>
      <c r="E343" s="1441"/>
      <c r="F343" s="1441"/>
    </row>
    <row r="344" spans="2:15" ht="21" customHeight="1" x14ac:dyDescent="0.25">
      <c r="D344" s="1400" t="s">
        <v>123</v>
      </c>
      <c r="K344" s="1391" t="s">
        <v>161</v>
      </c>
      <c r="L344" s="1391"/>
      <c r="M344" s="1391"/>
      <c r="N344" s="1391"/>
      <c r="O344" s="1391"/>
    </row>
    <row r="345" spans="2:15" x14ac:dyDescent="0.25">
      <c r="E345" s="1127"/>
      <c r="F345" s="28" t="s">
        <v>132</v>
      </c>
      <c r="L345" s="1379"/>
      <c r="N345" s="1379" t="s">
        <v>1906</v>
      </c>
      <c r="O345" s="1379" t="s">
        <v>1907</v>
      </c>
    </row>
    <row r="346" spans="2:15" x14ac:dyDescent="0.25">
      <c r="B346" s="1128" t="s">
        <v>2022</v>
      </c>
      <c r="C346" s="1128"/>
      <c r="D346" s="1128" t="s">
        <v>1899</v>
      </c>
      <c r="E346" s="1528">
        <f>E341</f>
        <v>0</v>
      </c>
      <c r="F346" s="1528">
        <f>E342</f>
        <v>0</v>
      </c>
      <c r="K346" s="1379" t="str">
        <f>'FORMULAIRE PGA Eaux usées'!C635</f>
        <v>Financement estimé pour le renouvellement</v>
      </c>
      <c r="L346" s="1379" t="s">
        <v>2022</v>
      </c>
      <c r="M346" s="325">
        <f>'FORMULAIRE PGA Eaux usées'!G635</f>
        <v>0</v>
      </c>
      <c r="N346" s="1529">
        <f>IF($I$33=1,M347,IF($I$41=1,M346,ROUNDDOWN(AVERAGE(M346:M347),0)))</f>
        <v>0</v>
      </c>
      <c r="O346" s="1530">
        <f>IF($I$33=1,ROUNDDOWN(AVERAGE(M347,M349),0),IF($I$41=1,ROUNDDOWN(AVERAGE(M346,M348),0),ROUNDDOWN(AVERAGE(M346:M349),0)))</f>
        <v>0</v>
      </c>
    </row>
    <row r="347" spans="2:15" x14ac:dyDescent="0.25">
      <c r="B347" s="1128"/>
      <c r="C347" s="1128"/>
      <c r="D347" s="1128" t="s">
        <v>42</v>
      </c>
      <c r="E347" s="1528">
        <f>E337</f>
        <v>0</v>
      </c>
      <c r="F347" s="325">
        <v>0</v>
      </c>
      <c r="L347" s="1379" t="s">
        <v>2023</v>
      </c>
      <c r="M347" s="28">
        <f>'FORMULAIRE PGA Eaux usées'!L635</f>
        <v>0</v>
      </c>
      <c r="N347" s="1531"/>
    </row>
    <row r="348" spans="2:15" x14ac:dyDescent="0.25">
      <c r="B348" s="1128" t="s">
        <v>2023</v>
      </c>
      <c r="C348" s="1128"/>
      <c r="D348" s="1128" t="s">
        <v>42</v>
      </c>
      <c r="E348" s="1528">
        <f>F337</f>
        <v>0</v>
      </c>
      <c r="F348" s="325">
        <v>0</v>
      </c>
      <c r="K348" s="1379" t="str">
        <f>'FORMULAIRE PGA Eaux usées'!C626</f>
        <v>Coûts prévus pour le renouvellement</v>
      </c>
      <c r="L348" s="1379" t="s">
        <v>2022</v>
      </c>
      <c r="M348" s="325">
        <f>'FORMULAIRE PGA Eaux usées'!G626</f>
        <v>0</v>
      </c>
    </row>
    <row r="349" spans="2:15" x14ac:dyDescent="0.25">
      <c r="B349" s="1128"/>
      <c r="C349" s="1128"/>
      <c r="D349" s="1128" t="s">
        <v>1899</v>
      </c>
      <c r="E349" s="1528">
        <f>F341</f>
        <v>0</v>
      </c>
      <c r="F349" s="1528">
        <f>F342</f>
        <v>0</v>
      </c>
      <c r="L349" s="1379" t="s">
        <v>2023</v>
      </c>
      <c r="M349" s="28">
        <f>'FORMULAIRE PGA Eaux usées'!L626</f>
        <v>0</v>
      </c>
    </row>
    <row r="350" spans="2:15" x14ac:dyDescent="0.25">
      <c r="B350" s="1128"/>
      <c r="C350" s="1128"/>
      <c r="D350" s="1128"/>
      <c r="E350" s="1528"/>
      <c r="F350" s="1528"/>
    </row>
    <row r="351" spans="2:15" x14ac:dyDescent="0.25">
      <c r="B351" s="1128"/>
      <c r="C351" s="1128"/>
      <c r="D351" s="1128"/>
      <c r="E351" s="1528"/>
      <c r="F351" s="1528"/>
      <c r="H351" s="55"/>
      <c r="I351" s="55"/>
      <c r="J351" s="55"/>
      <c r="K351" s="55"/>
      <c r="L351" s="55"/>
      <c r="M351" s="55"/>
      <c r="N351" s="55"/>
      <c r="O351" s="55"/>
    </row>
    <row r="352" spans="2:15" ht="16.5" thickBot="1" x14ac:dyDescent="0.3">
      <c r="B352" s="1128"/>
      <c r="C352" s="1128"/>
      <c r="D352" s="1128"/>
      <c r="E352" s="1528"/>
      <c r="F352" s="1528"/>
      <c r="H352" s="55"/>
      <c r="I352" s="3267" t="s">
        <v>1905</v>
      </c>
      <c r="J352" s="3267"/>
      <c r="K352" s="3267"/>
      <c r="L352" s="3267"/>
      <c r="M352" s="3267"/>
      <c r="N352" s="3267"/>
      <c r="O352" s="55"/>
    </row>
    <row r="353" spans="2:32" ht="170.25" customHeight="1" x14ac:dyDescent="0.25">
      <c r="H353" s="55"/>
      <c r="I353" s="55"/>
      <c r="J353" s="55"/>
      <c r="K353" s="55"/>
      <c r="L353" s="55"/>
      <c r="M353" s="55"/>
      <c r="N353" s="55"/>
      <c r="O353" s="55"/>
      <c r="P353" s="55"/>
    </row>
    <row r="354" spans="2:32" ht="20.25" customHeight="1" thickBot="1" x14ac:dyDescent="0.3">
      <c r="H354" s="55"/>
      <c r="I354" s="2558"/>
      <c r="J354" s="2553" t="str">
        <f>IF(('FORMULAIRE PGA Eaux usées'!$H$81='MENU DÉROULANT'!$C$41),"(Aucun actif)","")</f>
        <v/>
      </c>
      <c r="K354" s="2493" t="s">
        <v>2022</v>
      </c>
      <c r="L354" s="1532" t="s">
        <v>2023</v>
      </c>
      <c r="M354" s="2552"/>
      <c r="N354" s="2553" t="str">
        <f>IF(('FORMULAIRE PGA Eaux usées'!$H$120='MENU DÉROULANT'!$F$41),"(Aucun actif)","")</f>
        <v/>
      </c>
      <c r="P354" s="55"/>
    </row>
    <row r="355" spans="2:32" x14ac:dyDescent="0.25">
      <c r="I355" s="55"/>
      <c r="J355" s="55"/>
      <c r="K355" s="55"/>
      <c r="L355" s="55"/>
      <c r="M355" s="55"/>
      <c r="N355" s="55"/>
      <c r="O355" s="55"/>
      <c r="P355" s="55"/>
    </row>
    <row r="356" spans="2:32" x14ac:dyDescent="0.25">
      <c r="P356" s="1048"/>
    </row>
    <row r="358" spans="2:32" ht="22.5" customHeight="1" x14ac:dyDescent="0.3">
      <c r="B358" s="1285" t="s">
        <v>256</v>
      </c>
      <c r="C358" s="1285"/>
      <c r="D358" s="1285"/>
      <c r="E358" s="1285"/>
      <c r="F358" s="1285"/>
      <c r="G358" s="1285"/>
      <c r="H358" s="1285"/>
      <c r="I358" s="1285"/>
      <c r="J358" s="1285"/>
      <c r="K358" s="1285"/>
      <c r="L358" s="1285"/>
      <c r="M358" s="1285"/>
      <c r="N358" s="1285"/>
      <c r="O358" s="1285"/>
      <c r="P358" s="1285"/>
      <c r="Q358" s="1285"/>
      <c r="R358" s="1285"/>
      <c r="S358" s="1285"/>
      <c r="T358" s="1285"/>
      <c r="U358" s="1285"/>
      <c r="V358" s="1285"/>
      <c r="W358" s="1285"/>
      <c r="X358" s="1285"/>
      <c r="Y358" s="1285"/>
      <c r="Z358" s="1285"/>
      <c r="AA358" s="1285"/>
      <c r="AB358" s="1285"/>
      <c r="AC358" s="1285"/>
      <c r="AD358" s="1285"/>
      <c r="AE358" s="1285"/>
      <c r="AF358" s="1285"/>
    </row>
    <row r="359" spans="2:32" ht="21" x14ac:dyDescent="0.25">
      <c r="B359" s="1416"/>
      <c r="C359" s="1416"/>
    </row>
    <row r="360" spans="2:32" ht="17.25" customHeight="1" x14ac:dyDescent="0.25">
      <c r="D360" s="517"/>
      <c r="E360" s="517"/>
      <c r="F360" s="1392" t="s">
        <v>1901</v>
      </c>
    </row>
    <row r="361" spans="2:32" x14ac:dyDescent="0.25">
      <c r="E361" s="1127" t="s">
        <v>2022</v>
      </c>
      <c r="F361" s="1127" t="s">
        <v>2023</v>
      </c>
    </row>
    <row r="362" spans="2:32" x14ac:dyDescent="0.25">
      <c r="D362" s="1379" t="str">
        <f>'FORMULAIRE PGA Eaux usées'!C535</f>
        <v>Coûts prévisionnels totaux (besoins totaux)</v>
      </c>
      <c r="E362" s="1441">
        <f>'FORMULAIRE PGA Eaux usées'!O535</f>
        <v>0</v>
      </c>
      <c r="F362" s="1441">
        <f>'FORMULAIRE PGA Eaux usées'!O562</f>
        <v>0</v>
      </c>
    </row>
    <row r="363" spans="2:32" ht="15.75" x14ac:dyDescent="0.25">
      <c r="D363" s="1379" t="str">
        <f>'FORMULAIRE PGA Eaux usées'!C536</f>
        <v>Financement du gouvernement provincial</v>
      </c>
      <c r="E363" s="1441">
        <f>'FORMULAIRE PGA Eaux usées'!O536</f>
        <v>0</v>
      </c>
      <c r="F363" s="1441">
        <f>'FORMULAIRE PGA Eaux usées'!O563</f>
        <v>0</v>
      </c>
      <c r="L363" s="1391" t="s">
        <v>1900</v>
      </c>
      <c r="M363" s="517"/>
      <c r="N363" s="517"/>
    </row>
    <row r="364" spans="2:32" x14ac:dyDescent="0.25">
      <c r="D364" s="1379" t="str">
        <f>'FORMULAIRE PGA Eaux usées'!C537</f>
        <v>Autres types de financement</v>
      </c>
      <c r="E364" s="1441">
        <f>'FORMULAIRE PGA Eaux usées'!O537</f>
        <v>0</v>
      </c>
      <c r="F364" s="1441">
        <f>'FORMULAIRE PGA Eaux usées'!O564</f>
        <v>0</v>
      </c>
    </row>
    <row r="365" spans="2:32" x14ac:dyDescent="0.25">
      <c r="D365" s="1379" t="str">
        <f>'FORMULAIRE PGA Eaux usées'!C538</f>
        <v>Budget total planifié par la municipalité</v>
      </c>
      <c r="E365" s="1441">
        <f>'FORMULAIRE PGA Eaux usées'!O538</f>
        <v>0</v>
      </c>
      <c r="F365" s="1441">
        <f>'FORMULAIRE PGA Eaux usées'!O565</f>
        <v>0</v>
      </c>
      <c r="L365" s="1128" t="s">
        <v>53</v>
      </c>
      <c r="M365" s="1489" t="e">
        <f>(E365+F365)/(E362+F362)</f>
        <v>#DIV/0!</v>
      </c>
      <c r="N365" s="1526" t="str">
        <f>IF(ISERR(M365)=TRUE,"",M365)</f>
        <v/>
      </c>
    </row>
    <row r="366" spans="2:32" x14ac:dyDescent="0.25">
      <c r="D366" s="1379" t="str">
        <f>'FORMULAIRE PGA Eaux usées'!C539</f>
        <v>Déficit de financement</v>
      </c>
      <c r="E366" s="1441">
        <f>'FORMULAIRE PGA Eaux usées'!O539</f>
        <v>0</v>
      </c>
      <c r="F366" s="1441">
        <f>'FORMULAIRE PGA Eaux usées'!O566</f>
        <v>0</v>
      </c>
      <c r="L366" s="1128" t="s">
        <v>2092</v>
      </c>
      <c r="M366" s="1489" t="e">
        <f>(E364+F364)/(E365+F365)</f>
        <v>#DIV/0!</v>
      </c>
      <c r="N366" s="1527" t="str">
        <f>IF(ISERR(M366)=TRUE,"",M366)</f>
        <v/>
      </c>
    </row>
    <row r="368" spans="2:32" ht="20.25" customHeight="1" x14ac:dyDescent="0.25">
      <c r="D368" s="1400" t="s">
        <v>257</v>
      </c>
      <c r="K368" s="1391" t="s">
        <v>161</v>
      </c>
      <c r="L368" s="1391"/>
      <c r="M368" s="1391"/>
      <c r="N368" s="1391"/>
      <c r="O368" s="1391"/>
    </row>
    <row r="369" spans="2:32" x14ac:dyDescent="0.25">
      <c r="E369" s="1127"/>
      <c r="F369" s="919" t="s">
        <v>132</v>
      </c>
      <c r="L369" s="1379"/>
      <c r="N369" s="1379" t="s">
        <v>1906</v>
      </c>
      <c r="O369" s="1379" t="s">
        <v>1907</v>
      </c>
    </row>
    <row r="370" spans="2:32" x14ac:dyDescent="0.25">
      <c r="B370" s="1128" t="s">
        <v>2022</v>
      </c>
      <c r="C370" s="1128"/>
      <c r="D370" s="1128" t="s">
        <v>1899</v>
      </c>
      <c r="E370" s="1528">
        <f>E365</f>
        <v>0</v>
      </c>
      <c r="F370" s="1528">
        <f>E366</f>
        <v>0</v>
      </c>
      <c r="K370" s="1379" t="str">
        <f>'FORMULAIRE PGA Eaux usées'!C636</f>
        <v>Financement estimé pour les acquisitions/dispositions</v>
      </c>
      <c r="L370" s="1379" t="s">
        <v>2022</v>
      </c>
      <c r="M370" s="325">
        <f>'FORMULAIRE PGA Eaux usées'!G636</f>
        <v>0</v>
      </c>
      <c r="N370" s="1529">
        <f>IF($I$33=1,M371,IF($I$41=1,M370,ROUNDDOWN(AVERAGE(M370:M371),0)))</f>
        <v>0</v>
      </c>
      <c r="O370" s="1530">
        <f>IF($I$33=1,ROUNDDOWN(AVERAGE(M371,M373),0),IF($I$41=1,ROUNDDOWN(AVERAGE(M370,M372),0),ROUNDDOWN(AVERAGE(M370:M373),0)))</f>
        <v>0</v>
      </c>
      <c r="P370" s="373"/>
    </row>
    <row r="371" spans="2:32" x14ac:dyDescent="0.25">
      <c r="B371" s="1128"/>
      <c r="C371" s="1128"/>
      <c r="D371" s="1128" t="s">
        <v>42</v>
      </c>
      <c r="E371" s="1528">
        <f>E362</f>
        <v>0</v>
      </c>
      <c r="F371" s="325">
        <v>0</v>
      </c>
      <c r="L371" s="1379" t="s">
        <v>2023</v>
      </c>
      <c r="M371" s="28">
        <f>'FORMULAIRE PGA Eaux usées'!L636</f>
        <v>0</v>
      </c>
      <c r="N371" s="1531"/>
      <c r="O371" s="1531"/>
    </row>
    <row r="372" spans="2:32" x14ac:dyDescent="0.25">
      <c r="B372" s="1128" t="s">
        <v>2023</v>
      </c>
      <c r="C372" s="1128"/>
      <c r="D372" s="1128" t="s">
        <v>42</v>
      </c>
      <c r="E372" s="1528">
        <f>F362</f>
        <v>0</v>
      </c>
      <c r="F372" s="325">
        <v>0</v>
      </c>
      <c r="K372" s="1379" t="str">
        <f>'FORMULAIRE PGA Eaux usées'!C627</f>
        <v>Coûts prévus pour l'acquisition et la disposition</v>
      </c>
      <c r="L372" s="1379" t="s">
        <v>2022</v>
      </c>
      <c r="M372" s="325">
        <f>'FORMULAIRE PGA Eaux usées'!G627</f>
        <v>0</v>
      </c>
    </row>
    <row r="373" spans="2:32" x14ac:dyDescent="0.25">
      <c r="B373" s="1128"/>
      <c r="C373" s="1128"/>
      <c r="D373" s="1128" t="s">
        <v>1899</v>
      </c>
      <c r="E373" s="1528">
        <f>F365</f>
        <v>0</v>
      </c>
      <c r="F373" s="1528">
        <f>F366</f>
        <v>0</v>
      </c>
      <c r="L373" s="1379" t="s">
        <v>2023</v>
      </c>
      <c r="M373" s="28">
        <f>'FORMULAIRE PGA Eaux usées'!L627</f>
        <v>0</v>
      </c>
    </row>
    <row r="374" spans="2:32" x14ac:dyDescent="0.25">
      <c r="B374" s="1128"/>
      <c r="C374" s="1128"/>
      <c r="D374" s="1128"/>
      <c r="E374" s="1528"/>
      <c r="F374" s="1528"/>
    </row>
    <row r="375" spans="2:32" x14ac:dyDescent="0.25">
      <c r="B375" s="1128"/>
      <c r="C375" s="1128"/>
      <c r="D375" s="1128"/>
      <c r="E375" s="1528"/>
      <c r="F375" s="1528"/>
      <c r="H375" s="55"/>
      <c r="I375" s="55"/>
      <c r="J375" s="55"/>
      <c r="K375" s="55"/>
      <c r="L375" s="55"/>
      <c r="M375" s="55"/>
      <c r="N375" s="55"/>
      <c r="O375" s="55"/>
    </row>
    <row r="376" spans="2:32" ht="16.5" thickBot="1" x14ac:dyDescent="0.3">
      <c r="B376" s="1128"/>
      <c r="C376" s="1128"/>
      <c r="D376" s="1128"/>
      <c r="E376" s="1528"/>
      <c r="F376" s="1528"/>
      <c r="H376" s="55"/>
      <c r="I376" s="3267" t="s">
        <v>1905</v>
      </c>
      <c r="J376" s="3267"/>
      <c r="K376" s="3267"/>
      <c r="L376" s="3267"/>
      <c r="M376" s="3267"/>
      <c r="N376" s="3267"/>
      <c r="O376" s="55"/>
    </row>
    <row r="377" spans="2:32" ht="170.25" customHeight="1" x14ac:dyDescent="0.25">
      <c r="H377" s="55"/>
      <c r="I377" s="55"/>
      <c r="J377" s="55"/>
      <c r="K377" s="55"/>
      <c r="L377" s="55"/>
      <c r="M377" s="55"/>
      <c r="N377" s="55"/>
      <c r="O377" s="55"/>
      <c r="P377" s="55"/>
    </row>
    <row r="378" spans="2:32" ht="20.25" customHeight="1" thickBot="1" x14ac:dyDescent="0.3">
      <c r="H378" s="55"/>
      <c r="I378" s="2558"/>
      <c r="J378" s="2553" t="str">
        <f>IF(('FORMULAIRE PGA Eaux usées'!$H$81='MENU DÉROULANT'!$C$41),"(Aucun actif)","")</f>
        <v/>
      </c>
      <c r="K378" s="2493" t="s">
        <v>2022</v>
      </c>
      <c r="L378" s="1532" t="s">
        <v>2023</v>
      </c>
      <c r="M378" s="2552"/>
      <c r="N378" s="2553" t="str">
        <f>IF(('FORMULAIRE PGA Eaux usées'!$H$120='MENU DÉROULANT'!$F$41),"(Aucun actif)","")</f>
        <v/>
      </c>
      <c r="P378" s="55"/>
    </row>
    <row r="379" spans="2:32" x14ac:dyDescent="0.25">
      <c r="I379" s="55"/>
      <c r="J379" s="55"/>
      <c r="K379" s="55"/>
      <c r="L379" s="55"/>
      <c r="M379" s="55"/>
      <c r="N379" s="55"/>
      <c r="O379" s="55"/>
      <c r="P379" s="55"/>
    </row>
    <row r="380" spans="2:32" x14ac:dyDescent="0.25">
      <c r="P380" s="1048"/>
    </row>
    <row r="381" spans="2:32" x14ac:dyDescent="0.25">
      <c r="P381" s="1048"/>
    </row>
    <row r="382" spans="2:32" x14ac:dyDescent="0.25">
      <c r="P382" s="1048"/>
    </row>
    <row r="383" spans="2:32" ht="31.5" customHeight="1" x14ac:dyDescent="0.35">
      <c r="B383" s="1283" t="s">
        <v>1644</v>
      </c>
      <c r="C383" s="1283"/>
      <c r="D383" s="1284"/>
      <c r="E383" s="1284"/>
      <c r="F383" s="1284"/>
      <c r="G383" s="1284"/>
      <c r="H383" s="1284"/>
      <c r="I383" s="1284"/>
      <c r="J383" s="1284"/>
      <c r="K383" s="1284"/>
      <c r="L383" s="1284"/>
      <c r="M383" s="1284"/>
      <c r="N383" s="1284"/>
      <c r="O383" s="1284"/>
      <c r="P383" s="1284"/>
      <c r="Q383" s="1284"/>
      <c r="R383" s="1284"/>
      <c r="S383" s="1284"/>
      <c r="T383" s="1284"/>
      <c r="U383" s="1284"/>
      <c r="V383" s="1284"/>
      <c r="W383" s="1284"/>
      <c r="X383" s="1284"/>
      <c r="Y383" s="1284"/>
      <c r="Z383" s="1284"/>
      <c r="AA383" s="1284"/>
      <c r="AB383" s="1284"/>
      <c r="AC383" s="1284"/>
      <c r="AD383" s="1284"/>
      <c r="AE383" s="1284"/>
      <c r="AF383" s="1284"/>
    </row>
    <row r="385" spans="2:32" ht="18.75" x14ac:dyDescent="0.3">
      <c r="B385" s="1285" t="s">
        <v>1813</v>
      </c>
      <c r="C385" s="1285"/>
      <c r="D385" s="1285"/>
      <c r="E385" s="1285"/>
      <c r="F385" s="1285"/>
      <c r="G385" s="1285"/>
      <c r="H385" s="1285"/>
      <c r="I385" s="1285"/>
      <c r="J385" s="1285"/>
      <c r="K385" s="1285"/>
      <c r="L385" s="1285"/>
      <c r="M385" s="1285"/>
      <c r="N385" s="1285"/>
      <c r="O385" s="1285"/>
      <c r="P385" s="1285"/>
      <c r="Q385" s="1285"/>
      <c r="R385" s="1285"/>
      <c r="S385" s="1285"/>
      <c r="T385" s="1285"/>
      <c r="U385" s="1285"/>
      <c r="V385" s="1285"/>
      <c r="W385" s="1285"/>
      <c r="X385" s="1285"/>
      <c r="Y385" s="1285"/>
      <c r="Z385" s="1285"/>
      <c r="AA385" s="1285"/>
      <c r="AB385" s="1285"/>
      <c r="AC385" s="1285"/>
      <c r="AD385" s="1285"/>
      <c r="AE385" s="1285"/>
      <c r="AF385" s="1285"/>
    </row>
    <row r="386" spans="2:32" ht="18.75" x14ac:dyDescent="0.3">
      <c r="B386" s="1294"/>
      <c r="C386" s="1294"/>
      <c r="D386" s="1533"/>
      <c r="E386" s="1533"/>
      <c r="F386" s="1533"/>
      <c r="G386" s="1533"/>
      <c r="H386" s="1533"/>
      <c r="I386" s="1533"/>
      <c r="J386" s="1533"/>
      <c r="K386" s="1534"/>
      <c r="L386" s="1534"/>
      <c r="M386" s="1534"/>
      <c r="N386" s="1534"/>
      <c r="O386" s="1534"/>
      <c r="P386" s="1534"/>
      <c r="Q386" s="1534"/>
      <c r="R386" s="1534"/>
      <c r="S386" s="1534"/>
      <c r="T386" s="1534"/>
      <c r="U386" s="1534"/>
      <c r="V386" s="1534"/>
      <c r="W386" s="1534"/>
      <c r="X386" s="1294"/>
      <c r="Y386" s="1294"/>
      <c r="Z386" s="1294"/>
      <c r="AA386" s="1294"/>
      <c r="AB386" s="1294"/>
      <c r="AC386" s="1294"/>
      <c r="AD386" s="1294"/>
      <c r="AE386" s="1294"/>
      <c r="AF386" s="1294"/>
    </row>
    <row r="387" spans="2:32" ht="28.5" customHeight="1" x14ac:dyDescent="0.3">
      <c r="B387" s="1294"/>
      <c r="C387" s="1294"/>
      <c r="D387" s="1535" t="s">
        <v>1911</v>
      </c>
      <c r="E387" s="1536"/>
      <c r="F387" s="1536"/>
      <c r="G387" s="1536"/>
      <c r="H387" s="1536"/>
      <c r="I387" s="1536"/>
      <c r="J387" s="1536"/>
      <c r="K387" s="1536"/>
      <c r="L387" s="1536"/>
      <c r="M387" s="1534"/>
      <c r="N387" s="1534"/>
      <c r="O387" s="1534"/>
      <c r="P387" s="1534"/>
      <c r="Q387" s="1534"/>
      <c r="R387" s="1534"/>
      <c r="S387" s="1534"/>
      <c r="T387" s="1534"/>
      <c r="U387" s="1534"/>
      <c r="V387" s="1534"/>
      <c r="W387" s="1534"/>
      <c r="X387" s="1294"/>
      <c r="Y387" s="1294"/>
      <c r="Z387" s="1294"/>
      <c r="AA387" s="1294"/>
      <c r="AB387" s="1294"/>
      <c r="AC387" s="1294"/>
      <c r="AD387" s="1294"/>
      <c r="AE387" s="1294"/>
      <c r="AF387" s="1294"/>
    </row>
    <row r="388" spans="2:32" ht="18.75" x14ac:dyDescent="0.3">
      <c r="B388" s="1537"/>
      <c r="C388" s="1294"/>
      <c r="D388" s="1534"/>
      <c r="E388" s="1206" t="s">
        <v>26</v>
      </c>
      <c r="F388" s="1206" t="s">
        <v>1909</v>
      </c>
      <c r="G388" s="1206" t="s">
        <v>28</v>
      </c>
      <c r="H388" s="1206" t="s">
        <v>27</v>
      </c>
      <c r="I388" s="1206" t="s">
        <v>30</v>
      </c>
      <c r="J388" s="1206" t="s">
        <v>31</v>
      </c>
      <c r="K388" s="1206" t="s">
        <v>25</v>
      </c>
      <c r="L388" s="1206" t="s">
        <v>1907</v>
      </c>
      <c r="O388" s="1440" t="s">
        <v>179</v>
      </c>
      <c r="P388" s="1429" t="s">
        <v>2166</v>
      </c>
      <c r="T388" s="1534"/>
      <c r="U388" s="1534"/>
      <c r="V388" s="1534"/>
      <c r="W388" s="1534"/>
      <c r="X388" s="1294"/>
      <c r="Y388" s="1294"/>
      <c r="Z388" s="1294"/>
      <c r="AA388" s="1294"/>
      <c r="AB388" s="1294"/>
      <c r="AC388" s="1294"/>
      <c r="AD388" s="1294"/>
      <c r="AE388" s="1294"/>
      <c r="AF388" s="1294"/>
    </row>
    <row r="389" spans="2:32" ht="18.75" x14ac:dyDescent="0.3">
      <c r="B389" s="1538" t="s">
        <v>2041</v>
      </c>
      <c r="C389" s="1294"/>
      <c r="D389" s="1539" t="s">
        <v>1914</v>
      </c>
      <c r="E389" s="1206">
        <f>COUNTIFS(('FORMULAIRE PGA Eaux usées'!H671:H672),'MENU DÉROULANT'!$C$111)</f>
        <v>0</v>
      </c>
      <c r="F389" s="1206">
        <f>COUNTIFS(('FORMULAIRE PGA Eaux usées'!H675:H676),'MENU DÉROULANT'!$C$111)</f>
        <v>0</v>
      </c>
      <c r="G389" s="1206">
        <f>COUNTIFS(('FORMULAIRE PGA Eaux usées'!H679),'MENU DÉROULANT'!$C$111)</f>
        <v>0</v>
      </c>
      <c r="H389" s="1206">
        <f>COUNTIFS(('FORMULAIRE PGA Eaux usées'!H682),'MENU DÉROULANT'!$C$111)</f>
        <v>0</v>
      </c>
      <c r="I389" s="1206">
        <f>COUNTIFS(('FORMULAIRE PGA Eaux usées'!H685:H686),'MENU DÉROULANT'!$C$111)</f>
        <v>0</v>
      </c>
      <c r="J389" s="1206">
        <f>COUNTIFS(('FORMULAIRE PGA Eaux usées'!H689:H690),'MENU DÉROULANT'!$C$111)</f>
        <v>0</v>
      </c>
      <c r="K389" s="1206">
        <f>COUNTIFS(('FORMULAIRE PGA Eaux usées'!H693:H695),'MENU DÉROULANT'!$C$111)</f>
        <v>0</v>
      </c>
      <c r="L389" s="1206" t="s">
        <v>1910</v>
      </c>
      <c r="T389" s="1534"/>
      <c r="U389" s="1534"/>
      <c r="V389" s="1534"/>
      <c r="W389" s="1534"/>
      <c r="X389" s="1294"/>
      <c r="Y389" s="1294"/>
      <c r="Z389" s="1294"/>
      <c r="AA389" s="1294"/>
      <c r="AB389" s="1294"/>
      <c r="AC389" s="1294"/>
      <c r="AD389" s="1294"/>
      <c r="AE389" s="1294"/>
      <c r="AF389" s="1294"/>
    </row>
    <row r="390" spans="2:32" ht="18.75" x14ac:dyDescent="0.3">
      <c r="B390" s="1537"/>
      <c r="C390" s="1294"/>
      <c r="D390" s="1539" t="s">
        <v>1915</v>
      </c>
      <c r="E390" s="1206">
        <f>'FORMULAIRE PGA Eaux usées'!H670</f>
        <v>0</v>
      </c>
      <c r="F390" s="1206">
        <f>'FORMULAIRE PGA Eaux usées'!H674</f>
        <v>0</v>
      </c>
      <c r="G390" s="1206">
        <f>'FORMULAIRE PGA Eaux usées'!H678</f>
        <v>0</v>
      </c>
      <c r="H390" s="1206">
        <f>'FORMULAIRE PGA Eaux usées'!H681</f>
        <v>0</v>
      </c>
      <c r="I390" s="1206">
        <f>'FORMULAIRE PGA Eaux usées'!H684</f>
        <v>0</v>
      </c>
      <c r="J390" s="1206">
        <f>'FORMULAIRE PGA Eaux usées'!H688</f>
        <v>0</v>
      </c>
      <c r="K390" s="1206">
        <f>'FORMULAIRE PGA Eaux usées'!H692</f>
        <v>0</v>
      </c>
      <c r="L390" s="1206">
        <f>'FORMULAIRE PGA Eaux usées'!H700</f>
        <v>0</v>
      </c>
      <c r="T390" s="1534"/>
      <c r="U390" s="1534"/>
      <c r="V390" s="1534"/>
      <c r="W390" s="1534"/>
      <c r="X390" s="1294"/>
      <c r="Y390" s="1294"/>
      <c r="Z390" s="1294"/>
      <c r="AA390" s="1294"/>
      <c r="AB390" s="1294"/>
      <c r="AC390" s="1294"/>
      <c r="AD390" s="1294"/>
      <c r="AE390" s="1294"/>
      <c r="AF390" s="1294"/>
    </row>
    <row r="391" spans="2:32" ht="18.75" x14ac:dyDescent="0.3">
      <c r="B391" s="1538" t="s">
        <v>2042</v>
      </c>
      <c r="C391" s="1294"/>
      <c r="D391" s="1539" t="s">
        <v>1914</v>
      </c>
      <c r="E391" s="1206">
        <f>COUNTIFS(('FORMULAIRE PGA Eaux usées'!M671:M672),'MENU DÉROULANT'!$C$111)</f>
        <v>0</v>
      </c>
      <c r="F391" s="1206">
        <f>COUNTIFS(('FORMULAIRE PGA Eaux usées'!M675:M676),'MENU DÉROULANT'!$C$111)</f>
        <v>0</v>
      </c>
      <c r="G391" s="1206">
        <f>COUNTIFS(('FORMULAIRE PGA Eaux usées'!M679),'MENU DÉROULANT'!$C$111)</f>
        <v>0</v>
      </c>
      <c r="H391" s="1206">
        <f>COUNTIFS(('FORMULAIRE PGA Eaux usées'!M682),'MENU DÉROULANT'!$C$111)</f>
        <v>0</v>
      </c>
      <c r="I391" s="1206">
        <f>COUNTIFS(('FORMULAIRE PGA Eaux usées'!M685:M686),'MENU DÉROULANT'!$C$111)</f>
        <v>0</v>
      </c>
      <c r="J391" s="1206">
        <f>COUNTIFS(('FORMULAIRE PGA Eaux usées'!M689:M690),'MENU DÉROULANT'!$C$111)</f>
        <v>0</v>
      </c>
      <c r="K391" s="1206">
        <f>COUNTIFS(('FORMULAIRE PGA Eaux usées'!M693:M695),'MENU DÉROULANT'!$C$111)</f>
        <v>0</v>
      </c>
      <c r="L391" s="1206" t="s">
        <v>1910</v>
      </c>
      <c r="T391" s="1534"/>
      <c r="U391" s="1534"/>
      <c r="V391" s="1534"/>
      <c r="W391" s="1534"/>
      <c r="X391" s="1294"/>
      <c r="Y391" s="1294"/>
      <c r="Z391" s="1294"/>
      <c r="AA391" s="1294"/>
      <c r="AB391" s="1294"/>
      <c r="AC391" s="1294"/>
      <c r="AD391" s="1294"/>
      <c r="AE391" s="1294"/>
      <c r="AF391" s="1294"/>
    </row>
    <row r="392" spans="2:32" ht="18.75" x14ac:dyDescent="0.3">
      <c r="B392" s="1537"/>
      <c r="C392" s="1294"/>
      <c r="D392" s="1539" t="s">
        <v>1915</v>
      </c>
      <c r="E392" s="1206">
        <f>'FORMULAIRE PGA Eaux usées'!M670</f>
        <v>0</v>
      </c>
      <c r="F392" s="1206">
        <f>'FORMULAIRE PGA Eaux usées'!M674</f>
        <v>0</v>
      </c>
      <c r="G392" s="1206">
        <f>'FORMULAIRE PGA Eaux usées'!M678</f>
        <v>0</v>
      </c>
      <c r="H392" s="1206">
        <f>'FORMULAIRE PGA Eaux usées'!M681</f>
        <v>0</v>
      </c>
      <c r="I392" s="1206">
        <f>'FORMULAIRE PGA Eaux usées'!M684</f>
        <v>0</v>
      </c>
      <c r="J392" s="1206">
        <f>'FORMULAIRE PGA Eaux usées'!M688</f>
        <v>0</v>
      </c>
      <c r="K392" s="1206">
        <f>'FORMULAIRE PGA Eaux usées'!M692</f>
        <v>0</v>
      </c>
      <c r="L392" s="1206">
        <f>'FORMULAIRE PGA Eaux usées'!M700</f>
        <v>0</v>
      </c>
      <c r="T392" s="1534"/>
      <c r="U392" s="1534"/>
      <c r="V392" s="1534"/>
      <c r="W392" s="1534"/>
      <c r="X392" s="1294"/>
      <c r="Y392" s="1294"/>
      <c r="Z392" s="1294"/>
      <c r="AA392" s="1294"/>
      <c r="AB392" s="1294"/>
      <c r="AC392" s="1294"/>
      <c r="AD392" s="1294"/>
      <c r="AE392" s="1294"/>
      <c r="AF392" s="1294"/>
    </row>
    <row r="393" spans="2:32" ht="18.75" x14ac:dyDescent="0.3">
      <c r="B393" s="1537"/>
      <c r="C393" s="1294"/>
      <c r="D393" s="1534"/>
      <c r="E393" s="1534"/>
      <c r="F393" s="1534"/>
      <c r="G393" s="1534"/>
      <c r="H393" s="1534"/>
      <c r="I393" s="1534"/>
      <c r="J393" s="1534"/>
      <c r="K393" s="1534"/>
      <c r="L393" s="1534"/>
      <c r="M393" s="2621"/>
      <c r="N393" s="2622" t="s">
        <v>2167</v>
      </c>
      <c r="O393" s="2621"/>
      <c r="P393" s="1534"/>
      <c r="Q393" s="1534"/>
      <c r="R393" s="1534"/>
      <c r="S393" s="1534"/>
      <c r="T393" s="1534"/>
      <c r="U393" s="1534"/>
      <c r="V393" s="1534"/>
      <c r="W393" s="1534"/>
      <c r="X393" s="1294"/>
      <c r="Y393" s="1294"/>
      <c r="Z393" s="1294"/>
      <c r="AA393" s="1294"/>
      <c r="AB393" s="1294"/>
      <c r="AC393" s="1294"/>
      <c r="AD393" s="1294"/>
      <c r="AE393" s="1294"/>
      <c r="AF393" s="1294"/>
    </row>
    <row r="394" spans="2:32" ht="18.75" x14ac:dyDescent="0.3">
      <c r="B394" s="1537"/>
      <c r="C394" s="1294"/>
      <c r="D394" s="1540" t="s">
        <v>2077</v>
      </c>
      <c r="E394" s="1541" t="str">
        <f>'FORMULAIRE PGA Eaux usées'!G700</f>
        <v/>
      </c>
      <c r="F394" s="1534" t="s">
        <v>1908</v>
      </c>
      <c r="G394" s="1534"/>
      <c r="H394" s="1534"/>
      <c r="I394" s="1534"/>
      <c r="J394" s="1534"/>
      <c r="K394" s="1534"/>
      <c r="L394" s="1534"/>
      <c r="M394" s="2275" t="s">
        <v>1879</v>
      </c>
      <c r="N394" s="2620">
        <f>IF($I$33=1,L392,IF($I$41=1,L390,ROUNDDOWN(AVERAGE(L390,L392),0)))</f>
        <v>0</v>
      </c>
      <c r="O394" s="1534"/>
      <c r="P394" s="1534"/>
      <c r="Q394" s="1534"/>
      <c r="R394" s="1534"/>
      <c r="S394" s="1534"/>
      <c r="T394" s="1534"/>
      <c r="U394" s="1534"/>
      <c r="V394" s="1534"/>
      <c r="W394" s="1534"/>
      <c r="X394" s="1294"/>
      <c r="Y394" s="1294"/>
      <c r="Z394" s="1294"/>
      <c r="AA394" s="1294"/>
      <c r="AB394" s="1294"/>
      <c r="AC394" s="1294"/>
      <c r="AD394" s="1294"/>
      <c r="AE394" s="1294"/>
      <c r="AF394" s="1294"/>
    </row>
    <row r="395" spans="2:32" ht="18.75" x14ac:dyDescent="0.3">
      <c r="B395" s="1294"/>
      <c r="C395" s="1294"/>
      <c r="D395" s="1542" t="s">
        <v>2078</v>
      </c>
      <c r="E395" s="1543" t="str">
        <f>'FORMULAIRE PGA Eaux usées'!L700</f>
        <v/>
      </c>
      <c r="F395" s="1534" t="s">
        <v>1908</v>
      </c>
      <c r="G395" s="1294"/>
      <c r="H395" s="1294"/>
      <c r="I395" s="1294"/>
      <c r="J395" s="1294"/>
      <c r="K395" s="1294"/>
      <c r="L395" s="1294"/>
      <c r="M395" s="2275" t="s">
        <v>122</v>
      </c>
      <c r="N395" s="920" t="e">
        <f>IF($I$33=1,E395,IF($I$41=1,E394,ROUNDDOWN(AVERAGE(E394,E395),0)))</f>
        <v>#DIV/0!</v>
      </c>
      <c r="O395" s="1294"/>
      <c r="P395" s="1294"/>
      <c r="Q395" s="1294"/>
      <c r="R395" s="1294"/>
      <c r="S395" s="1294"/>
      <c r="T395" s="1294"/>
      <c r="U395" s="1294"/>
      <c r="V395" s="1294"/>
      <c r="W395" s="1294"/>
      <c r="X395" s="1294"/>
      <c r="Y395" s="1294"/>
      <c r="Z395" s="1294"/>
      <c r="AA395" s="1294"/>
      <c r="AB395" s="1294"/>
      <c r="AC395" s="1294"/>
      <c r="AD395" s="1294"/>
      <c r="AE395" s="1294"/>
      <c r="AF395" s="1294"/>
    </row>
    <row r="396" spans="2:32" ht="18.75" x14ac:dyDescent="0.3">
      <c r="B396" s="1294"/>
      <c r="C396" s="1294"/>
      <c r="D396" s="1294"/>
      <c r="E396" s="1544"/>
      <c r="F396" s="1294"/>
      <c r="G396" s="1294"/>
      <c r="H396" s="1294"/>
      <c r="I396" s="1294"/>
      <c r="J396" s="1294"/>
      <c r="K396" s="1294"/>
      <c r="L396" s="1294"/>
      <c r="O396" s="1294"/>
      <c r="P396" s="1294"/>
      <c r="Q396" s="1294"/>
      <c r="R396" s="1294"/>
      <c r="S396" s="1294"/>
      <c r="T396" s="1294"/>
      <c r="U396" s="1294"/>
      <c r="V396" s="1294"/>
      <c r="W396" s="1294"/>
      <c r="X396" s="1294"/>
      <c r="Y396" s="1294"/>
      <c r="Z396" s="1294"/>
      <c r="AA396" s="1294"/>
      <c r="AB396" s="1294"/>
      <c r="AC396" s="1294"/>
      <c r="AD396" s="1294"/>
      <c r="AE396" s="1294"/>
      <c r="AF396" s="1294"/>
    </row>
    <row r="397" spans="2:32" ht="18.75" x14ac:dyDescent="0.3">
      <c r="B397" s="1285" t="s">
        <v>1814</v>
      </c>
      <c r="C397" s="1285"/>
      <c r="D397" s="1285"/>
      <c r="E397" s="1285"/>
      <c r="F397" s="1285"/>
      <c r="G397" s="1285"/>
      <c r="H397" s="1285"/>
      <c r="I397" s="1285"/>
      <c r="J397" s="1285"/>
      <c r="K397" s="1285"/>
      <c r="L397" s="1285"/>
      <c r="M397" s="1285"/>
      <c r="N397" s="1285"/>
      <c r="O397" s="1285"/>
      <c r="P397" s="1285"/>
      <c r="Q397" s="1285"/>
      <c r="R397" s="1285"/>
      <c r="S397" s="1285"/>
      <c r="T397" s="1285"/>
      <c r="U397" s="1285"/>
      <c r="V397" s="1285"/>
      <c r="W397" s="1285"/>
      <c r="X397" s="1285"/>
      <c r="Y397" s="1285"/>
      <c r="Z397" s="1285"/>
      <c r="AA397" s="1285"/>
      <c r="AB397" s="1285"/>
      <c r="AC397" s="1285"/>
      <c r="AD397" s="1285"/>
      <c r="AE397" s="1285"/>
      <c r="AF397" s="1285"/>
    </row>
    <row r="398" spans="2:32" ht="18.75" x14ac:dyDescent="0.3">
      <c r="B398" s="1294"/>
      <c r="C398" s="1294"/>
      <c r="D398" s="1294"/>
      <c r="E398" s="1294"/>
      <c r="F398" s="1294"/>
      <c r="G398" s="1294"/>
      <c r="H398" s="1294"/>
      <c r="I398" s="1294"/>
      <c r="J398" s="1294"/>
      <c r="K398" s="1294"/>
      <c r="L398" s="1294"/>
      <c r="M398" s="1294"/>
      <c r="N398" s="1294"/>
      <c r="O398" s="1294"/>
      <c r="P398" s="1294"/>
      <c r="Q398" s="1294"/>
      <c r="R398" s="1294"/>
      <c r="S398" s="1294"/>
      <c r="T398" s="1294"/>
      <c r="U398" s="1294"/>
      <c r="V398" s="1294"/>
      <c r="W398" s="1294"/>
      <c r="X398" s="1294"/>
      <c r="Y398" s="1294"/>
      <c r="Z398" s="1294"/>
      <c r="AA398" s="1294"/>
      <c r="AB398" s="1294"/>
      <c r="AC398" s="1294"/>
      <c r="AD398" s="1294"/>
      <c r="AE398" s="1294"/>
      <c r="AF398" s="1294"/>
    </row>
    <row r="399" spans="2:32" ht="28.5" customHeight="1" x14ac:dyDescent="0.3">
      <c r="B399" s="1294"/>
      <c r="C399" s="1294"/>
      <c r="D399" s="1535" t="s">
        <v>1911</v>
      </c>
      <c r="E399" s="1536"/>
      <c r="F399" s="1536"/>
      <c r="G399" s="1536"/>
      <c r="H399" s="1536"/>
      <c r="I399" s="1536"/>
      <c r="J399" s="1536"/>
      <c r="K399" s="1536"/>
      <c r="L399" s="1536"/>
      <c r="M399" s="1534"/>
      <c r="N399" s="1534"/>
      <c r="O399" s="1534"/>
      <c r="P399" s="1534"/>
      <c r="Q399" s="1534"/>
      <c r="R399" s="1534"/>
      <c r="S399" s="1534"/>
      <c r="T399" s="1534"/>
      <c r="U399" s="1534"/>
      <c r="V399" s="1534"/>
      <c r="W399" s="1534"/>
      <c r="X399" s="1294"/>
      <c r="Y399" s="1294"/>
      <c r="Z399" s="1294"/>
      <c r="AA399" s="1294"/>
      <c r="AB399" s="1294"/>
      <c r="AC399" s="1294"/>
      <c r="AD399" s="1294"/>
      <c r="AE399" s="1294"/>
      <c r="AF399" s="1294"/>
    </row>
    <row r="400" spans="2:32" ht="18.75" x14ac:dyDescent="0.3">
      <c r="B400" s="1537"/>
      <c r="C400" s="1294"/>
      <c r="D400" s="1534"/>
      <c r="E400" s="1206" t="s">
        <v>26</v>
      </c>
      <c r="F400" s="1206" t="s">
        <v>1909</v>
      </c>
      <c r="G400" s="1206" t="s">
        <v>28</v>
      </c>
      <c r="H400" s="1206" t="s">
        <v>27</v>
      </c>
      <c r="I400" s="1206" t="s">
        <v>30</v>
      </c>
      <c r="J400" s="1206" t="s">
        <v>31</v>
      </c>
      <c r="K400" s="1206" t="s">
        <v>25</v>
      </c>
      <c r="L400" s="1206" t="s">
        <v>1907</v>
      </c>
      <c r="T400" s="1534"/>
      <c r="U400" s="1534"/>
      <c r="V400" s="1534"/>
      <c r="W400" s="1534"/>
      <c r="X400" s="1294"/>
      <c r="Y400" s="1294"/>
      <c r="Z400" s="1294"/>
      <c r="AA400" s="1294"/>
      <c r="AB400" s="1294"/>
      <c r="AC400" s="1294"/>
      <c r="AD400" s="1294"/>
      <c r="AE400" s="1294"/>
      <c r="AF400" s="1294"/>
    </row>
    <row r="401" spans="2:32" ht="18.75" x14ac:dyDescent="0.3">
      <c r="B401" s="1538" t="s">
        <v>2041</v>
      </c>
      <c r="C401" s="1294"/>
      <c r="D401" s="1539" t="s">
        <v>1914</v>
      </c>
      <c r="E401" s="1206">
        <f>COUNTIFS(('FORMULAIRE PGA Eaux usées'!H605:H610),'MENU DÉROULANT'!$C$111)</f>
        <v>0</v>
      </c>
      <c r="F401" s="1206">
        <f>COUNTIFS(('FORMULAIRE PGA Eaux usées'!H613:H614),'MENU DÉROULANT'!$C$111)</f>
        <v>0</v>
      </c>
      <c r="G401" s="1206">
        <f>COUNTIFS(('FORMULAIRE PGA Eaux usées'!H617:H618),'MENU DÉROULANT'!$C$111)</f>
        <v>0</v>
      </c>
      <c r="H401" s="1206">
        <f>COUNTIFS(('FORMULAIRE PGA Eaux usées'!H621:H622),'MENU DÉROULANT'!$C$111)</f>
        <v>0</v>
      </c>
      <c r="I401" s="1206">
        <f>COUNTIFS(('FORMULAIRE PGA Eaux usées'!H625:H627),'MENU DÉROULANT'!$C$111)</f>
        <v>0</v>
      </c>
      <c r="J401" s="1206">
        <f>COUNTIFS(('FORMULAIRE PGA Eaux usées'!H630:H631),'MENU DÉROULANT'!$C$111)</f>
        <v>0</v>
      </c>
      <c r="K401" s="1206">
        <f>COUNTIFS(('FORMULAIRE PGA Eaux usées'!H634:H636),'MENU DÉROULANT'!$C$111)</f>
        <v>0</v>
      </c>
      <c r="L401" s="1206" t="s">
        <v>1910</v>
      </c>
      <c r="T401" s="1534"/>
      <c r="U401" s="1534"/>
      <c r="V401" s="1534"/>
      <c r="W401" s="1534"/>
      <c r="X401" s="1294"/>
      <c r="Y401" s="1294"/>
      <c r="Z401" s="1294"/>
      <c r="AA401" s="1294"/>
      <c r="AB401" s="1294"/>
      <c r="AC401" s="1294"/>
      <c r="AD401" s="1294"/>
      <c r="AE401" s="1294"/>
      <c r="AF401" s="1294"/>
    </row>
    <row r="402" spans="2:32" ht="18.75" x14ac:dyDescent="0.3">
      <c r="B402" s="1537"/>
      <c r="C402" s="1294"/>
      <c r="D402" s="1539" t="s">
        <v>1915</v>
      </c>
      <c r="E402" s="1206">
        <f>'FORMULAIRE PGA Eaux usées'!H604</f>
        <v>0</v>
      </c>
      <c r="F402" s="1206">
        <f>'FORMULAIRE PGA Eaux usées'!H612</f>
        <v>0</v>
      </c>
      <c r="G402" s="1206">
        <f>'FORMULAIRE PGA Eaux usées'!H616</f>
        <v>0</v>
      </c>
      <c r="H402" s="1206">
        <f>'FORMULAIRE PGA Eaux usées'!H620</f>
        <v>0</v>
      </c>
      <c r="I402" s="1206">
        <f>'FORMULAIRE PGA Eaux usées'!H624</f>
        <v>0</v>
      </c>
      <c r="J402" s="1206">
        <f>'FORMULAIRE PGA Eaux usées'!H629</f>
        <v>0</v>
      </c>
      <c r="K402" s="1206">
        <f>'FORMULAIRE PGA Eaux usées'!H633</f>
        <v>0</v>
      </c>
      <c r="L402" s="1206">
        <f>'FORMULAIRE PGA Eaux usées'!H638</f>
        <v>0</v>
      </c>
      <c r="T402" s="1534"/>
      <c r="U402" s="1534"/>
      <c r="V402" s="1534"/>
      <c r="W402" s="1534"/>
      <c r="X402" s="1294"/>
      <c r="Y402" s="1294"/>
      <c r="Z402" s="1294"/>
      <c r="AA402" s="1294"/>
      <c r="AB402" s="1294"/>
      <c r="AC402" s="1294"/>
      <c r="AD402" s="1294"/>
      <c r="AE402" s="1294"/>
      <c r="AF402" s="1294"/>
    </row>
    <row r="403" spans="2:32" ht="18.75" x14ac:dyDescent="0.3">
      <c r="B403" s="1538" t="s">
        <v>2042</v>
      </c>
      <c r="C403" s="1294"/>
      <c r="D403" s="1539" t="s">
        <v>1914</v>
      </c>
      <c r="E403" s="1206">
        <f>COUNTIFS(('FORMULAIRE PGA Eaux usées'!M605:M610),'MENU DÉROULANT'!$C$111)</f>
        <v>0</v>
      </c>
      <c r="F403" s="1206">
        <f>COUNTIFS(('FORMULAIRE PGA Eaux usées'!M613:M614),'MENU DÉROULANT'!$C$111)</f>
        <v>0</v>
      </c>
      <c r="G403" s="1206">
        <f>COUNTIFS(('FORMULAIRE PGA Eaux usées'!M617:M618),'MENU DÉROULANT'!$C$111)</f>
        <v>0</v>
      </c>
      <c r="H403" s="1206">
        <f>COUNTIFS(('FORMULAIRE PGA Eaux usées'!M621:M622),'MENU DÉROULANT'!$C$111)</f>
        <v>0</v>
      </c>
      <c r="I403" s="1206">
        <f>COUNTIFS(('FORMULAIRE PGA Eaux usées'!M625:M627),'MENU DÉROULANT'!$C$111)</f>
        <v>0</v>
      </c>
      <c r="J403" s="1206">
        <f>COUNTIFS(('FORMULAIRE PGA Eaux usées'!M630:M631),'MENU DÉROULANT'!$C$111)</f>
        <v>0</v>
      </c>
      <c r="K403" s="1206">
        <f>COUNTIFS(('FORMULAIRE PGA Eaux usées'!M634:M636),'MENU DÉROULANT'!$C$111)</f>
        <v>0</v>
      </c>
      <c r="L403" s="1206" t="s">
        <v>1910</v>
      </c>
      <c r="T403" s="23"/>
      <c r="U403" s="1534"/>
      <c r="V403" s="1534"/>
      <c r="W403" s="1534"/>
      <c r="X403" s="1294"/>
      <c r="Y403" s="1294"/>
      <c r="Z403" s="1294"/>
      <c r="AA403" s="1294"/>
      <c r="AB403" s="1294"/>
      <c r="AC403" s="1294"/>
      <c r="AD403" s="1294"/>
      <c r="AE403" s="1294"/>
      <c r="AF403" s="1294"/>
    </row>
    <row r="404" spans="2:32" ht="18.75" x14ac:dyDescent="0.3">
      <c r="B404" s="1537"/>
      <c r="C404" s="1294"/>
      <c r="D404" s="1539" t="s">
        <v>1915</v>
      </c>
      <c r="E404" s="1206">
        <f>'FORMULAIRE PGA Eaux usées'!M604</f>
        <v>0</v>
      </c>
      <c r="F404" s="1206">
        <f>'FORMULAIRE PGA Eaux usées'!M612</f>
        <v>0</v>
      </c>
      <c r="G404" s="1206">
        <f>'FORMULAIRE PGA Eaux usées'!M616</f>
        <v>0</v>
      </c>
      <c r="H404" s="1206">
        <f>'FORMULAIRE PGA Eaux usées'!M620</f>
        <v>0</v>
      </c>
      <c r="I404" s="1206">
        <f>'FORMULAIRE PGA Eaux usées'!M624</f>
        <v>0</v>
      </c>
      <c r="J404" s="1206">
        <f>'FORMULAIRE PGA Eaux usées'!M629</f>
        <v>0</v>
      </c>
      <c r="K404" s="1206">
        <f>'FORMULAIRE PGA Eaux usées'!M633</f>
        <v>0</v>
      </c>
      <c r="L404" s="1206">
        <f>'FORMULAIRE PGA Eaux usées'!M638</f>
        <v>0</v>
      </c>
      <c r="T404" s="1534"/>
      <c r="U404" s="1534"/>
      <c r="V404" s="1534"/>
      <c r="W404" s="1534"/>
      <c r="X404" s="1294"/>
      <c r="Y404" s="1294"/>
      <c r="Z404" s="1294"/>
      <c r="AA404" s="1294"/>
      <c r="AB404" s="1294"/>
      <c r="AC404" s="1294"/>
      <c r="AD404" s="1294"/>
      <c r="AE404" s="1294"/>
      <c r="AF404" s="1294"/>
    </row>
    <row r="405" spans="2:32" ht="18.75" x14ac:dyDescent="0.3">
      <c r="B405" s="1537"/>
      <c r="C405" s="1294"/>
      <c r="D405" s="1534"/>
      <c r="E405" s="1534"/>
      <c r="F405" s="1534"/>
      <c r="G405" s="1534"/>
      <c r="H405" s="1534"/>
      <c r="I405" s="1534"/>
      <c r="J405" s="1534"/>
      <c r="K405" s="1534"/>
      <c r="L405" s="1534"/>
      <c r="M405" s="2621"/>
      <c r="N405" s="2622" t="s">
        <v>2167</v>
      </c>
      <c r="O405" s="2621"/>
      <c r="P405" s="1534"/>
      <c r="Q405" s="1534"/>
      <c r="R405" s="1534"/>
      <c r="S405" s="1534"/>
      <c r="T405" s="1534"/>
      <c r="U405" s="1534"/>
      <c r="V405" s="1534"/>
      <c r="W405" s="1534"/>
      <c r="X405" s="1294"/>
      <c r="Y405" s="1294"/>
      <c r="Z405" s="1294"/>
      <c r="AA405" s="1294"/>
      <c r="AB405" s="1294"/>
      <c r="AC405" s="1294"/>
      <c r="AD405" s="1294"/>
      <c r="AE405" s="1294"/>
      <c r="AF405" s="1294"/>
    </row>
    <row r="406" spans="2:32" ht="18.75" x14ac:dyDescent="0.3">
      <c r="B406" s="1537"/>
      <c r="C406" s="1294"/>
      <c r="D406" s="1540" t="s">
        <v>2077</v>
      </c>
      <c r="E406" s="1541" t="str">
        <f>'FORMULAIRE PGA Eaux usées'!G638</f>
        <v/>
      </c>
      <c r="F406" s="1534" t="s">
        <v>1908</v>
      </c>
      <c r="G406" s="1534"/>
      <c r="H406" s="1534"/>
      <c r="I406" s="1534"/>
      <c r="J406" s="1534"/>
      <c r="K406" s="1534"/>
      <c r="L406" s="1534"/>
      <c r="M406" s="2275" t="s">
        <v>1879</v>
      </c>
      <c r="N406" s="2620">
        <f>IF($I$33=1,L404,IF($I$41=1,L402,ROUNDDOWN(AVERAGE(L402,L404),0)))</f>
        <v>0</v>
      </c>
      <c r="O406" s="1534"/>
      <c r="P406" s="1534"/>
      <c r="Q406" s="1534"/>
      <c r="R406" s="1534"/>
      <c r="S406" s="1534"/>
      <c r="T406" s="1534"/>
      <c r="U406" s="1534"/>
      <c r="V406" s="1534"/>
      <c r="W406" s="1534"/>
      <c r="X406" s="1294"/>
      <c r="Y406" s="1294"/>
      <c r="Z406" s="1294"/>
      <c r="AA406" s="1294"/>
      <c r="AB406" s="1294"/>
      <c r="AC406" s="1294"/>
      <c r="AD406" s="1294"/>
      <c r="AE406" s="1294"/>
      <c r="AF406" s="1294"/>
    </row>
    <row r="407" spans="2:32" ht="18.75" x14ac:dyDescent="0.3">
      <c r="B407" s="1294"/>
      <c r="C407" s="1294"/>
      <c r="D407" s="1542" t="s">
        <v>2078</v>
      </c>
      <c r="E407" s="1543" t="str">
        <f>'FORMULAIRE PGA Eaux usées'!L638</f>
        <v/>
      </c>
      <c r="F407" s="1534" t="s">
        <v>1908</v>
      </c>
      <c r="G407" s="1294"/>
      <c r="H407" s="1294"/>
      <c r="I407" s="1294"/>
      <c r="J407" s="1294"/>
      <c r="K407" s="1294"/>
      <c r="L407" s="1294"/>
      <c r="M407" s="2275" t="s">
        <v>122</v>
      </c>
      <c r="N407" s="920" t="e">
        <f>IF($I$33=1,E407,IF($I$41=1,E406,ROUNDDOWN(AVERAGE(E406,E407),0)))</f>
        <v>#DIV/0!</v>
      </c>
      <c r="O407" s="1294"/>
      <c r="P407" s="1294"/>
      <c r="Q407" s="1294"/>
      <c r="R407" s="1294"/>
      <c r="S407" s="1294"/>
      <c r="T407" s="1294"/>
      <c r="U407" s="1294"/>
      <c r="V407" s="1294"/>
      <c r="W407" s="1294"/>
      <c r="X407" s="1294"/>
      <c r="Y407" s="1294"/>
      <c r="Z407" s="1294"/>
      <c r="AA407" s="1294"/>
      <c r="AB407" s="1294"/>
      <c r="AC407" s="1294"/>
      <c r="AD407" s="1294"/>
      <c r="AE407" s="1294"/>
      <c r="AF407" s="1294"/>
    </row>
  </sheetData>
  <sheetProtection password="C518" sheet="1" objects="1" scenarios="1"/>
  <mergeCells count="81">
    <mergeCell ref="P21:P23"/>
    <mergeCell ref="L22:N22"/>
    <mergeCell ref="K23:K24"/>
    <mergeCell ref="L24:N24"/>
    <mergeCell ref="E46:H47"/>
    <mergeCell ref="K21:K22"/>
    <mergeCell ref="E44:H45"/>
    <mergeCell ref="K27:K28"/>
    <mergeCell ref="E28:F29"/>
    <mergeCell ref="L28:N28"/>
    <mergeCell ref="K29:K30"/>
    <mergeCell ref="L30:N30"/>
    <mergeCell ref="K31:K32"/>
    <mergeCell ref="L32:N32"/>
    <mergeCell ref="E34:H35"/>
    <mergeCell ref="E36:H37"/>
    <mergeCell ref="M61:M62"/>
    <mergeCell ref="N61:N64"/>
    <mergeCell ref="M63:M64"/>
    <mergeCell ref="E49:F49"/>
    <mergeCell ref="E54:H54"/>
    <mergeCell ref="I54:L54"/>
    <mergeCell ref="K25:K26"/>
    <mergeCell ref="L26:N26"/>
    <mergeCell ref="E52:H52"/>
    <mergeCell ref="I52:L52"/>
    <mergeCell ref="E53:H53"/>
    <mergeCell ref="I53:L53"/>
    <mergeCell ref="E38:H39"/>
    <mergeCell ref="E42:H43"/>
    <mergeCell ref="H190:H191"/>
    <mergeCell ref="O190:O191"/>
    <mergeCell ref="K189:L189"/>
    <mergeCell ref="Q161:Q162"/>
    <mergeCell ref="Q127:Q128"/>
    <mergeCell ref="Q129:Q130"/>
    <mergeCell ref="Q151:Q152"/>
    <mergeCell ref="Q153:Q154"/>
    <mergeCell ref="Q155:Q156"/>
    <mergeCell ref="L146:N146"/>
    <mergeCell ref="H192:H198"/>
    <mergeCell ref="O192:O198"/>
    <mergeCell ref="F265:G265"/>
    <mergeCell ref="H265:I265"/>
    <mergeCell ref="J265:K265"/>
    <mergeCell ref="M265:N265"/>
    <mergeCell ref="O248:P248"/>
    <mergeCell ref="O265:P265"/>
    <mergeCell ref="H201:H202"/>
    <mergeCell ref="K201:K209"/>
    <mergeCell ref="H203:H209"/>
    <mergeCell ref="D200:E200"/>
    <mergeCell ref="L293:N293"/>
    <mergeCell ref="S301:T301"/>
    <mergeCell ref="V301:W301"/>
    <mergeCell ref="D221:E221"/>
    <mergeCell ref="F248:G248"/>
    <mergeCell ref="H248:I248"/>
    <mergeCell ref="J248:K248"/>
    <mergeCell ref="M248:N248"/>
    <mergeCell ref="U298:W298"/>
    <mergeCell ref="S299:U299"/>
    <mergeCell ref="V299:W299"/>
    <mergeCell ref="I376:N376"/>
    <mergeCell ref="S303:U303"/>
    <mergeCell ref="X303:Y303"/>
    <mergeCell ref="V303:W303"/>
    <mergeCell ref="I328:N328"/>
    <mergeCell ref="I352:N352"/>
    <mergeCell ref="I91:J91"/>
    <mergeCell ref="K91:L91"/>
    <mergeCell ref="L115:N115"/>
    <mergeCell ref="X301:Y301"/>
    <mergeCell ref="X298:Y298"/>
    <mergeCell ref="X299:Y299"/>
    <mergeCell ref="Q157:Q158"/>
    <mergeCell ref="Q159:Q160"/>
    <mergeCell ref="Q123:Q124"/>
    <mergeCell ref="Q125:Q126"/>
    <mergeCell ref="Q121:Q122"/>
    <mergeCell ref="Q119:Q120"/>
  </mergeCells>
  <conditionalFormatting sqref="S120:V120">
    <cfRule type="expression" dxfId="392" priority="18">
      <formula>OR($I$110=1,$I$110=4)</formula>
    </cfRule>
  </conditionalFormatting>
  <conditionalFormatting sqref="S122:V122">
    <cfRule type="expression" dxfId="391" priority="19">
      <formula>OR($I$111=1,$I$111=4)</formula>
    </cfRule>
  </conditionalFormatting>
  <conditionalFormatting sqref="S124:V124">
    <cfRule type="expression" dxfId="390" priority="17">
      <formula>OR($I$112=1,$I$112=4)</formula>
    </cfRule>
  </conditionalFormatting>
  <conditionalFormatting sqref="S126:V126">
    <cfRule type="expression" dxfId="389" priority="16">
      <formula>OR($I$113=1,$I$113=4)</formula>
    </cfRule>
  </conditionalFormatting>
  <conditionalFormatting sqref="S128:V128">
    <cfRule type="expression" dxfId="388" priority="15">
      <formula>OR($I$114=1,$I$114=4)</formula>
    </cfRule>
  </conditionalFormatting>
  <conditionalFormatting sqref="S130:V130">
    <cfRule type="expression" dxfId="387" priority="14">
      <formula>OR($I$115=1,$I$115=4)</formula>
    </cfRule>
  </conditionalFormatting>
  <conditionalFormatting sqref="W120:Z120">
    <cfRule type="expression" dxfId="386" priority="13">
      <formula>OR($I$110=2,$I$110=4)</formula>
    </cfRule>
  </conditionalFormatting>
  <conditionalFormatting sqref="W122:Z122">
    <cfRule type="expression" dxfId="385" priority="12">
      <formula>OR($I$111=2,$I$111=4)</formula>
    </cfRule>
  </conditionalFormatting>
  <conditionalFormatting sqref="W124:Z124">
    <cfRule type="expression" dxfId="384" priority="11">
      <formula>OR($I$112=2,$I$112=4)</formula>
    </cfRule>
  </conditionalFormatting>
  <conditionalFormatting sqref="W126:Z126">
    <cfRule type="expression" dxfId="383" priority="10">
      <formula>OR($I$113=2,$I$113=4)</formula>
    </cfRule>
  </conditionalFormatting>
  <conditionalFormatting sqref="W128:Z128">
    <cfRule type="expression" dxfId="382" priority="9">
      <formula>OR($I$114=2,$I$114=4)</formula>
    </cfRule>
  </conditionalFormatting>
  <conditionalFormatting sqref="W130:Z130">
    <cfRule type="expression" dxfId="381" priority="8">
      <formula>OR($I$115=2,$I$115=4)</formula>
    </cfRule>
  </conditionalFormatting>
  <conditionalFormatting sqref="Z299 Z301 Z303">
    <cfRule type="iconSet" priority="1">
      <iconSet iconSet="5Rating" showValue="0">
        <cfvo type="percent" val="0"/>
        <cfvo type="num" val="1" gte="0"/>
        <cfvo type="num" val="2" gte="0"/>
        <cfvo type="num" val="3" gte="0"/>
        <cfvo type="num" val="4" gte="0"/>
      </iconSet>
    </cfRule>
  </conditionalFormatting>
  <conditionalFormatting sqref="AA120:AD120">
    <cfRule type="expression" dxfId="380" priority="2">
      <formula>OR($I$110=3,$I$110=4)</formula>
    </cfRule>
  </conditionalFormatting>
  <conditionalFormatting sqref="AA122:AD122">
    <cfRule type="expression" dxfId="379" priority="3">
      <formula>OR($I$111=3,$I$111=4)</formula>
    </cfRule>
  </conditionalFormatting>
  <conditionalFormatting sqref="AA124:AD124">
    <cfRule type="expression" dxfId="378" priority="4">
      <formula>OR($I$112=3,$I$112=4)</formula>
    </cfRule>
  </conditionalFormatting>
  <conditionalFormatting sqref="AA126:AD126">
    <cfRule type="expression" dxfId="377" priority="5">
      <formula>OR($I$113=3,$I$113=4)</formula>
    </cfRule>
  </conditionalFormatting>
  <conditionalFormatting sqref="AA128:AD128">
    <cfRule type="expression" dxfId="376" priority="6">
      <formula>OR($I$114=3,$I$114=4)</formula>
    </cfRule>
  </conditionalFormatting>
  <conditionalFormatting sqref="AA130:AD130">
    <cfRule type="expression" dxfId="375" priority="7">
      <formula>OR($I$115=3,$I$115=4)</formula>
    </cfRule>
  </conditionalFormatting>
  <pageMargins left="0.70866141732283472" right="0.70866141732283472" top="0.62992125984251968" bottom="0.59055118110236227" header="0.31496062992125984" footer="0.31496062992125984"/>
  <pageSetup paperSize="3" scale="50" fitToHeight="0" orientation="landscape" r:id="rId1"/>
  <headerFooter>
    <oddFooter xml:space="preserve">&amp;L&amp;10Version 1.0    © CERIU, 2023&amp;R&amp;10Onglet CALCULS eaux usées
Page &amp;P de &amp;N </oddFooter>
  </headerFooter>
  <rowBreaks count="7" manualBreakCount="7">
    <brk id="57" max="16383" man="1"/>
    <brk id="104" max="16383" man="1"/>
    <brk id="170" max="16383" man="1"/>
    <brk id="230" max="16383" man="1"/>
    <brk id="274" max="16383" man="1"/>
    <brk id="307" max="16383" man="1"/>
    <brk id="357" max="16383" man="1"/>
  </rowBreaks>
  <ignoredErrors>
    <ignoredError sqref="L25" 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28</vt:i4>
      </vt:variant>
    </vt:vector>
  </HeadingPairs>
  <TitlesOfParts>
    <vt:vector size="45" baseType="lpstr">
      <vt:lpstr>INTRODUCTION</vt:lpstr>
      <vt:lpstr>MODE D'EMPLOI</vt:lpstr>
      <vt:lpstr>IDENTIFICATION</vt:lpstr>
      <vt:lpstr>MENU DÉROULANT</vt:lpstr>
      <vt:lpstr>FORMULAIRE PGA Eau potable</vt:lpstr>
      <vt:lpstr>CALCULS Eau potable</vt:lpstr>
      <vt:lpstr>SOMMAIRE PGA Eau potable</vt:lpstr>
      <vt:lpstr>FORMULAIRE PGA Eaux usées</vt:lpstr>
      <vt:lpstr>CALCULS Eaux usées</vt:lpstr>
      <vt:lpstr>SOMMAIRE PGA Eaux usées</vt:lpstr>
      <vt:lpstr>FORMULAIRE PGA Eaux pluviales </vt:lpstr>
      <vt:lpstr>CALCULS Eaux pluviales</vt:lpstr>
      <vt:lpstr>SOMMAIRE PGA Eaux pluviales</vt:lpstr>
      <vt:lpstr>CALCULS Eau</vt:lpstr>
      <vt:lpstr>SOMMAIRE PGA EAU</vt:lpstr>
      <vt:lpstr>Liste municipalités</vt:lpstr>
      <vt:lpstr>AIDE</vt:lpstr>
      <vt:lpstr>'CALCULS Eau'!Impression_des_titres</vt:lpstr>
      <vt:lpstr>'CALCULS Eau potable'!Impression_des_titres</vt:lpstr>
      <vt:lpstr>'CALCULS Eaux pluviales'!Impression_des_titres</vt:lpstr>
      <vt:lpstr>'CALCULS Eaux usées'!Impression_des_titres</vt:lpstr>
      <vt:lpstr>IDENTIFICATION!Impression_des_titres</vt:lpstr>
      <vt:lpstr>'Liste municipalités'!Impression_des_titres</vt:lpstr>
      <vt:lpstr>'MENU DÉROULANT'!Impression_des_titres</vt:lpstr>
      <vt:lpstr>'MODE D''EMPLOI'!Impression_des_titres</vt:lpstr>
      <vt:lpstr>'SOMMAIRE PGA Eau potable'!Impression_des_titres</vt:lpstr>
      <vt:lpstr>'SOMMAIRE PGA Eaux pluviales'!Impression_des_titres</vt:lpstr>
      <vt:lpstr>'SOMMAIRE PGA Eaux usées'!Impression_des_titres</vt:lpstr>
      <vt:lpstr>AIDE!Zone_d_impression</vt:lpstr>
      <vt:lpstr>'CALCULS Eau'!Zone_d_impression</vt:lpstr>
      <vt:lpstr>'CALCULS Eau potable'!Zone_d_impression</vt:lpstr>
      <vt:lpstr>'CALCULS Eaux pluviales'!Zone_d_impression</vt:lpstr>
      <vt:lpstr>'CALCULS Eaux usées'!Zone_d_impression</vt:lpstr>
      <vt:lpstr>'FORMULAIRE PGA Eau potable'!Zone_d_impression</vt:lpstr>
      <vt:lpstr>'FORMULAIRE PGA Eaux pluviales '!Zone_d_impression</vt:lpstr>
      <vt:lpstr>'FORMULAIRE PGA Eaux usées'!Zone_d_impression</vt:lpstr>
      <vt:lpstr>IDENTIFICATION!Zone_d_impression</vt:lpstr>
      <vt:lpstr>INTRODUCTION!Zone_d_impression</vt:lpstr>
      <vt:lpstr>'Liste municipalités'!Zone_d_impression</vt:lpstr>
      <vt:lpstr>'MENU DÉROULANT'!Zone_d_impression</vt:lpstr>
      <vt:lpstr>'MODE D''EMPLOI'!Zone_d_impression</vt:lpstr>
      <vt:lpstr>'SOMMAIRE PGA EAU'!Zone_d_impression</vt:lpstr>
      <vt:lpstr>'SOMMAIRE PGA Eau potable'!Zone_d_impression</vt:lpstr>
      <vt:lpstr>'SOMMAIRE PGA Eaux pluviales'!Zone_d_impression</vt:lpstr>
      <vt:lpstr>'SOMMAIRE PGA Eaux usées'!Zone_d_impression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2023-12-01T14:54:37Z</dcterms:modified>
</cp:coreProperties>
</file>